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<sst xmlns="http://schemas.openxmlformats.org/spreadsheetml/2006/main" count="37428" uniqueCount="14629">
  <si>
    <t>STT</t>
  </si>
  <si>
    <t>MESSAGE</t>
  </si>
  <si>
    <t>TIME</t>
  </si>
  <si>
    <t>POST ID</t>
  </si>
  <si>
    <t>LIKE</t>
  </si>
  <si>
    <t>SHARE</t>
  </si>
  <si>
    <t>COMMENT</t>
  </si>
  <si>
    <t>TYPE</t>
  </si>
  <si>
    <t>USER NAME</t>
  </si>
  <si>
    <t>USER ID</t>
  </si>
  <si>
    <t>HASHTAG</t>
  </si>
  <si>
    <t>SOURCE ID</t>
  </si>
  <si>
    <t>SOURCE TYPE</t>
  </si>
  <si>
    <t>CATEGORY</t>
  </si>
  <si>
    <t>CÓ PHẢI REVIEW KHÔNG</t>
  </si>
  <si>
    <t>CÓ PHẢI ASK KHÔNG</t>
  </si>
  <si>
    <t>PHÂN VÂN</t>
  </si>
  <si>
    <t>CATE LEVEL 2</t>
  </si>
  <si>
    <t>CATE LEVEL 3</t>
  </si>
  <si>
    <t xml:space="preserve">TITLE
</t>
  </si>
  <si>
    <t>TỪ KHÓA CHÍNH</t>
  </si>
  <si>
    <t>TỪ KHÓA PHỤ</t>
  </si>
  <si>
    <t>NOTE</t>
  </si>
  <si>
    <t>ĐỀ XUẤT THÊM VÀO CATE KHÁC</t>
  </si>
  <si>
    <t>#drmorita #mask #ask 
Đã ai dùng mask nay chưa ạ? Cho em xin review nó tốt ko. 
Em mới mua 1 hộp mà ko biết auth ko =)) mua web ebay coi kỹ seller 100% legit. Mà lúc đắp thì nó hới xót tí với mát. Mùi thì dịu nhẹ lắm.</t>
  </si>
  <si>
    <t>2019-10-22 04:31:54</t>
  </si>
  <si>
    <t>POST</t>
  </si>
  <si>
    <t>Ellie Nguyen</t>
  </si>
  <si>
    <t>100004239373154</t>
  </si>
  <si>
    <t xml:space="preserve">#ask #mask #drmorita </t>
  </si>
  <si>
    <t>367089020688300</t>
  </si>
  <si>
    <t>Group</t>
  </si>
  <si>
    <t>Làm đẹp</t>
  </si>
  <si>
    <t>No</t>
  </si>
  <si>
    <t>Yes</t>
  </si>
  <si>
    <t>Chăm sóc da mặt</t>
  </si>
  <si>
    <t>Mặt nạ</t>
  </si>
  <si>
    <t>Cả nhà cho em xin review về mask Dr.morita với ạ</t>
  </si>
  <si>
    <t>Dr.Morita,Mask,auth</t>
  </si>
  <si>
    <t>mọi người ơi mặt em lên 3 tháng rồi ạ được 1 chị tư vấn uống hết liệu trình thuốc myspa 2 tháng rồi mà mụn mãi không hết... Mà da thì cứ trắng bệch như da cgai,môi khô liên tục rồi nhiều lúc còn đỏ nữa... Mọi người chỉ với ạ</t>
  </si>
  <si>
    <t>2019-11-24 14:05:09</t>
  </si>
  <si>
    <t>Manh Duc</t>
  </si>
  <si>
    <t>100023238258210</t>
  </si>
  <si>
    <t>Trị mụn da mặt</t>
  </si>
  <si>
    <t xml:space="preserve">Tham khảo về liệu trình trị mụn Myspa </t>
  </si>
  <si>
    <t>Trị mụn,Liệu trình trị mụn,Thuốc trị mụn myspa</t>
  </si>
  <si>
    <t>da trắng bệch,môi khô,mụn đỏ</t>
  </si>
  <si>
    <t xml:space="preserve">Mọi người giúp e vs ạ :((
Mái em bị chỉa với bị cong, tự nhiên ngay góc nó lại bị chỉa ra rồi tóc còn lại nó cứ xoăn xoăn vậy í ạ :((( đặt biệt mỗi lần gội đầu xong là nó càng chỉa:(
Nếu ra tiệm sửa thì bảo ngta làm như nào ạ :(( em hông có nhiều kinh nghiệm về tóc mn thông cảm 
</t>
  </si>
  <si>
    <t>2019-12-11 01:53:35</t>
  </si>
  <si>
    <t>Mun Lươngg</t>
  </si>
  <si>
    <t>100026253390424</t>
  </si>
  <si>
    <t xml:space="preserve"> </t>
  </si>
  <si>
    <t>#trangda
Chào mọi người, cho mình xin review về một loại sữa dưỡng thể thiên về dưỡng trắng da, lưu hương lâu được không ạ ! Đang phân vân giữa em Vaseline của Thái nhưng thấy mẫu mã khá nhiều và giá cũng rất chênh lệch không phân biệt được thật giả luôn, nhưng nghe nhiều review dưỡng trắng cực tốt. Và em Purite sữa ong chúa hoa hồng - thấy nhiều review dưỡng trắng khá tốt và mùi hương cực kì ưng ý nữa ?</t>
  </si>
  <si>
    <t>2019-08-01 00:11:32</t>
  </si>
  <si>
    <t>Hoàng Nghi</t>
  </si>
  <si>
    <t>100026214824653</t>
  </si>
  <si>
    <t xml:space="preserve">#trangda </t>
  </si>
  <si>
    <t>Chăm sóc thân thể</t>
  </si>
  <si>
    <t>Kem dưỡng ẩm</t>
  </si>
  <si>
    <t>Mọi người cho em gợi ý về sữa dưỡng thể trắng da và giữ mùi lâu với ạ</t>
  </si>
  <si>
    <t>trắng da,sữa dưỡng thể,Vaseline,Vaselin Thái,giữ mùi,dưỡng trắng,Purite,sữa ong chúa,Purite sữa ong chúa hoa hồng</t>
  </si>
  <si>
    <t>giá thànhauth</t>
  </si>
  <si>
    <t xml:space="preserve">
#goccantuvan
#triseomun
Có chị em bạn dì nào có cách trị sẹo mụn nhanh hết ko chỉ mình với nè. Da mình như này có cứu đc ko. Chứ nhìn rầu quá :((</t>
  </si>
  <si>
    <t>2019-10-22 23:17:12</t>
  </si>
  <si>
    <t>Vivi Lanchie</t>
  </si>
  <si>
    <t>100015009585609</t>
  </si>
  <si>
    <t xml:space="preserve">#triseomun #goccantuvan </t>
  </si>
  <si>
    <t>Em đăng bài lần 2 mong ad duyệt ạ 
Dạ anh chị em nào biết cách trị thâm hiệu quả ko ạ , mặt e mụn ẩn qtr , e mới nặng tối hôm qua , ai có sản phẩm nào trị thâm hiệu quả ko ạ , gần tết rồi rầu quá huhuh</t>
  </si>
  <si>
    <t>2019-12-17 01:38:31</t>
  </si>
  <si>
    <t>huỳnh nhựt duy</t>
  </si>
  <si>
    <t>100005443993261</t>
  </si>
  <si>
    <t>Mọi người ơi cho e hỏi mụn như trên mặt e thì nên dùng spham nào để đỡ đi ạ :(( trên trán cực kì nhiều , hầu như toàn mụn con , sờ vào sợ lắm ạ . E cảm ơn ạ !!</t>
  </si>
  <si>
    <t>2019-12-13 00:52:05</t>
  </si>
  <si>
    <t>Luu Hoang Vi</t>
  </si>
  <si>
    <t>100013358584602</t>
  </si>
  <si>
    <t xml:space="preserve">
Mọi người ơi, em muốn hỏi về cách trị mụn mọc li ti nhiều dưới mắt ạ😞😞, nhìn cứ sần sùi mất thẫm mĩ lắm...thêm phần mụn đầu đen trên mũi; bonus thêm vài đốm tàn nhan(Da em là da dầu ạ)
Em còn muốn hỏi trong nhóm ai đã phá nốt ruồi chưa ạ, em cần tư vấn 1 pp an toàn hiệu quả vì e đã bắn tia 1 lần nhưng nó ko hế.Với trên mặt nên sợ dễ để lại vết sau này..
Em cảm ơn♥️</t>
  </si>
  <si>
    <t>2019-11-18 04:50:55</t>
  </si>
  <si>
    <t>Nguyễn Hoàng Trâm</t>
  </si>
  <si>
    <t>100014318717066</t>
  </si>
  <si>
    <t>Em cũng từng sửa dụng MTM cho tới khi nghe mọi người nói về chất lượng nên em ngưng luôn. Là e xài hết mấy chai r đó mọi người. Lúc ngưng da bị mụn ẩn sần sùi. Hôm nay dọn tủ thấy nên em đem ra coi thử. Lúc em ngưng sử dụng là còn đầy chai luôn, tầm 2 tháng thì nó cạn khô mà toàn là bả đen gì không luôn á. Cái em thắc mắc là tại sao em đưa vô đèn UV nó lại dạ quang ạ.</t>
  </si>
  <si>
    <t>2019-11-01 15:32:46</t>
  </si>
  <si>
    <t>Ngọc Thảo</t>
  </si>
  <si>
    <t>100040354953829</t>
  </si>
  <si>
    <t>#innisfree #myrealsqueezemaskex
Chào mọi người, em đang hoang mang vì không biết em có mua phải hàng fake hay không ạ?
Bên trái là em mua ở store VN, còn bên phải là mua săn sale ở Trung hôm 11.11 hic
Mọi người nhìn qua cũng thấy rất khác nhau ở nhiều điểm rồi haizz, mà bên shop thì kêu đây là mask bản Trung, khác bao bì thôi ấy. Nhưng mình cảm thấy cứ sai sai 😢
Mình mong trong group có ai từng dùng qua chia sẻ với mình với ạ
Rất mong admin duyệt bài</t>
  </si>
  <si>
    <t>2019-11-25 12:42:22</t>
  </si>
  <si>
    <t>Đỗ Hồng Nhung</t>
  </si>
  <si>
    <t>100011035472088</t>
  </si>
  <si>
    <t xml:space="preserve">#myrealsqueezemaskex #innisfree </t>
  </si>
  <si>
    <t>Giúp mình phân biệt mask My real squeeze mask ex của Innisfree với nhé</t>
  </si>
  <si>
    <t>Innisfree,mặt nạ Innisfree,My real squeeze mask ex,phân biệt auth,fake</t>
  </si>
  <si>
    <t>mask bản Trung,phân biệt</t>
  </si>
  <si>
    <t>#tuvan #damặtbịnổigânmáu 
Tâm sự của một đứa đăng bài chưa bao giờ được duyệt 😭 
 ( add ơi làm ơn duyệt giùm em đi )!
 Trong nhóm này có ai bị như tau không các mày ơi . 
Da mặt tau nó bị dãn mao mạch hai bên má từ khi nhỏ , lúc tau mới 7-8tuổi mẹ tau nói nó đã thế rồi ,  rất là mất thẩm mỹ và buồn tủi hic . 
Sau này tau lấy chồng và sinh con thì ngực , bụng , đùi , mông bị rạn . Dĩ nhiên cái mặt nó dãn mạch máu ra thêm . 
Đi khám bsĩ nói do cơ địa và gen di truyền . 😔 thật sự giờ tau rất buồn và tự ti mỗi khi nói chuyện vs người đối diện . Nhỏ lớn chưa từng xài kem vì da quá mỏng . Hiện tại mua bộ mphẩm glutathione 700 xài được 3 hôm thì thấy da cải thiện trắng ra nhưng trắng da thì lộ rõ mạch máu nên tau ngưng xài . Giờ tau phải làm sao đây các mày ơi . 
Thật sự tau soi gương thấy rất tự ti mặc cảm 😔 
 Có cách gì chữa k vậy các m 😭😔😔</t>
  </si>
  <si>
    <t>2019-04-30 04:25:55</t>
  </si>
  <si>
    <t>Xuan Nhien</t>
  </si>
  <si>
    <t>100029259371249</t>
  </si>
  <si>
    <t xml:space="preserve">#damặtbịnổigânmáu #tuvan </t>
  </si>
  <si>
    <t>Lê Dương Bảo Lâm: "Cứ 10 ngày tôi phải thẩm mỹ một lần, cưa hết răng cũ đi thay răng mới"</t>
  </si>
  <si>
    <t>2019-12-04 14:18:51</t>
  </si>
  <si>
    <t>Trung Thuận</t>
  </si>
  <si>
    <t>100009928570045</t>
  </si>
  <si>
    <t>#đẹpchanhxả
Các chị em nhà ta cho em xin review một vài loại son lâu trôi đy ạ, nhìu khi đy ăn mà phải zô toa lét trét lại wai.
Tks cả nhà.</t>
  </si>
  <si>
    <t>2019-07-31 16:07:46</t>
  </si>
  <si>
    <t>Phương Thủy</t>
  </si>
  <si>
    <t>100005037943691</t>
  </si>
  <si>
    <t xml:space="preserve">#đẹpchanhxả </t>
  </si>
  <si>
    <t>#review #xịt_quần_áo #fabric_perfume
🤣🤣Cái này thấy dạo này HOT quá nên cũng xí mứng mua những 2 chai về test xem sao. Đây là chai xịt thơm quần áo Fabric Perfume của Hàn Quốc, khá rẻ, mình mua ở 1 shop xách tay có 135k/chai 250ml thôi, để dùng cũng khá là lâu ý.
❄Thật sự thì tuy thiết kế có khá dễ thương vs 3 mùi nghe cũng hấp dẫn nhưng mình thấy nó cũng khá bình thường, mùi rất nhẹ và không giữ được lâu, khoảng nửa tiếng là bay sạch trơn. Còn nếu siêng hơn thì vừa ủi quần áo vừa xịt thì ẻm sẽ giữ mùi tròn khoảng 1 tiếng,sau đó thì như chưa hề dùng =))))), mình thấy nhìu chỗ còn quảng cáo cái này là body mist mới ghê 🤣🤣🤣🤣
NÓI CHUNG LÀ: VÔ THƯỞNG VÔ PHẠT, MUA CHO BIẾT THÌ MUA 1 CHAI THÔI</t>
  </si>
  <si>
    <t>2019-10-07 10:04:42</t>
  </si>
  <si>
    <t>AO Hashue</t>
  </si>
  <si>
    <t>100003115830535</t>
  </si>
  <si>
    <t xml:space="preserve">#fabric_perfume #xịt_quần_áo #review </t>
  </si>
  <si>
    <t>Mùi hương</t>
  </si>
  <si>
    <t>Xịt khử mùi</t>
  </si>
  <si>
    <t>Xịt thơm quần áo Fabric Perfume Hàn Quốc</t>
  </si>
  <si>
    <t>xịt quần áo,fabric perfume,xịt quần áo Hàn Quốc,3 mùi hương</t>
  </si>
  <si>
    <t>giá thành rẻ,thiết kế đẹp,mùi hấp dẫn,giữ mùi</t>
  </si>
  <si>
    <t>#Đẹp_chanh_Sả
#Viêm_lỗ_chân_lông 
Cả nhà ơi , e bị viêm lỗ chân lông cx khá là lâu rồi ah , trước e có dùng các loại kem tẩy tế bào chết , cx dùng qua kem pizu ( nhưng được biết là kem trộn ) ::((( giờ da càng nặng thêm , có ai có cách nào chỉ e vs chứ viêm lỗ chân lông tự ti mặc quần ngắn lắm ạ 
Khóc một dòng sông 😭😭😭😭</t>
  </si>
  <si>
    <t>2019-11-19 09:46:25</t>
  </si>
  <si>
    <t>Hiếu Hiếu</t>
  </si>
  <si>
    <t>100043173229466</t>
  </si>
  <si>
    <t xml:space="preserve">#Viêm_lỗ_chân_lông #Đẹp_chanh_Sả </t>
  </si>
  <si>
    <t>#gópý 
mình muốn góp ý một chút. Có một vài lên trên group post mấy bài về kem trộn và ở dưới comment có rất nhiều bạn đưa ra những hãng kem dưỡng da của việt nam mà thậm chí một người có nhiều kiến thức về skincare như mình còn chưa nghe đến bao giờ và hỏi đấy có phải kem trộn không. Mình thắc mắc là tại sao mọi người không tìm hiểu về những sản phẩm dưỡng da của những thương hiệu lớn nước ngoài như kiểu cetaphil, la roche possay, mario badescu hay phổ biến hơn là the body shop để sử dụng cho an tâm hơn. Thà là chi một khoản tiền lớn nhưng có tác dụng còn hơn là chi vào những sản phẩm không rõ tên tuổi như vậy xong tiền mất tật mang. Đây là ý kiến riêng của mình, mong mọi người sẽ không quá gay găt</t>
  </si>
  <si>
    <t>2019-11-30 00:53:32</t>
  </si>
  <si>
    <t>Trịnh Minh Ngọc</t>
  </si>
  <si>
    <t>100017486345402</t>
  </si>
  <si>
    <t xml:space="preserve">#gópý </t>
  </si>
  <si>
    <t>#mangthai #mongtaygia #sonmoi
Mình nghĩ trong gr cũng có khá nhiều người có baby rồi nên muốn hỏi vài việc làm đẹp khi mang thai ạ. 
Có thai không được sơn móng tay vậy mang móng giả có được không các b? Mang lúc đi tiệc rồi tháo ra thôi k mang suốt ạ.
Với lại mình có nên dùng son cho bà bầu hay vẫn sử dụng được các loại son thường ạ? Mấy loại son cho bà bầu mình thấy nó bóng bóng, với màu cũng k đẹp nên chán k muốn sài, mà dùng son thường sợ ảnh hưởng e bé . 
Tết tới rồi bầu bì cũng muốn bon chen làm đẹp mà sợ tùm lum thứ 🥺</t>
  </si>
  <si>
    <t>2019-11-26 07:58:53</t>
  </si>
  <si>
    <t>Phạm Tường Vân</t>
  </si>
  <si>
    <t>100000768587078</t>
  </si>
  <si>
    <t xml:space="preserve">#sonmoi #mongtaygia #mangthai </t>
  </si>
  <si>
    <t>Tư vấn giúp e với ạ, da e lỗ chân lông to, sau khi dùng thuốc tây mụn lên và thâm chưa hết ạ</t>
  </si>
  <si>
    <t>2019-11-25 11:25:56</t>
  </si>
  <si>
    <t>Vy Vy</t>
  </si>
  <si>
    <t>100043386363405</t>
  </si>
  <si>
    <t>Mong ad duyệt bài ạ ... E cảm ơn
Da mặt e nhạy cảm thuộc tiếp da dầu mụn ... nên lúc có mụn thâm e thoa sr này lên ... Thấy da trắng nhưng mà bị sần ... tại e có mic thêm sr mụn của Dr skincare... E ngừng sr lại thì da hết sầm ... Dr skincare vẫn duy trì thì da vẫn bthg. E thử dừg Dr và dùng sr lại lần 2 thì thấy nó lên sần lại ... 
E ngửi sr thấy có mùi hơi kỳ ... kh thơm mà dạng như bị lên men xíu ạ ... Cho e hỏi e phải làm sao ạ .. E cảm ơm</t>
  </si>
  <si>
    <t>2019-10-22 05:07:12</t>
  </si>
  <si>
    <t>Nguyên Hạnh</t>
  </si>
  <si>
    <t>100027284713573</t>
  </si>
  <si>
    <t>#moctoc
Chào mọi người. Chả em có mái tóc vốn mỏng, thêm gần đây stressed nhiều nên càng rụng dữ nữa. Mẹ em thấy thế nên mới hỏi một bác cũng khá thân quen (chuyên bán thực phẩm xách tay từ Mỹ về) thì được bác ấy giới thiệu cho lọ GNC Women's Ultra Nourish-Hair - Viên uống bổ sung dưỡng chất giúp mọc tóc này.
Em ngoi lên đây muốn hỏi xem có ai từng uống viên này chưa ạ, mọi người thấy có tác dụng rõ rệt kích thích mọc tóc ko hay uống vào cũng chỉ vô thưởng vô phạt thôi. Em phân vân lắm vì ko rành về hãng này nên chả biết tốt xấu ra sao, mà một lọ 120 viên giá khá chát (800k) nên em càng phải tìm hiểu cẩn thận trước. Nhân tiện cho em hỏi luôn lọ này 800k có hợp lý ko các anh các chị, em search google thì thấy có nơi bán 600k nên cũng hơi hoang mang. Em cảm ơn nhiều ☺️.</t>
  </si>
  <si>
    <t>2019-11-25 23:32:51</t>
  </si>
  <si>
    <t>Thanh Trần</t>
  </si>
  <si>
    <t>100030085581726</t>
  </si>
  <si>
    <t xml:space="preserve">#moctoc </t>
  </si>
  <si>
    <t>Có chị em nào đã sử dụng qua sản phẩm này để trị thâm mụn không ạ? Cho em xin ít review với</t>
  </si>
  <si>
    <t>2019-12-08 01:16:22</t>
  </si>
  <si>
    <t>Lê Ngọc Bảo Thơ</t>
  </si>
  <si>
    <t>100010405417402</t>
  </si>
  <si>
    <t xml:space="preserve"> #munnoitiet
Da em kiểu mụn nội tiết- với cũng mụn nhiều giống 3 em với cô em hồi trẻ ( di truyền hay sao á mng 😢) mà lúc chưa sài kem da mịn lắm lun. Da em là do 1 phần do 3 năm trước em có dùng kem trộn nên giờ mụn em nó cứ tái đi tái lại. Em có điều trị mụn 1 lần, lúc ấy da đẹp lắm ạ. Sau 6 tháng nó lại nổi vậy nè mng. Mẹ em bảo t6 này đi da liễu khám. Em có nên đi da liễu khong ạ ?? Hay nặn mụn sạch ròi sài pg cho lành da nhanh ạ. T6 này đi ròi nên mng giúp em tl câu hỏi dới ạ. Tks mng lắm luôn. 
Ad duyệt giúp em với ạ.</t>
  </si>
  <si>
    <t>2019-10-10 04:34:55</t>
  </si>
  <si>
    <t>Nguyễn Đoàn Van Anh</t>
  </si>
  <si>
    <t>100019072118066</t>
  </si>
  <si>
    <t xml:space="preserve">#munnoitiet  </t>
  </si>
  <si>
    <t>#ask #huxley #taydachet
Mọi người ơi giúp em với. E dùng tdc huxley này thích lắm nên dùng hết đi mua thêm lọ nữa. Lọ bên trái là e dùng gần hết lọ bên phải mới mua. E về check thấy nó khác nhau quá kbiet có phải e mua phải hàng fake k ạ :((( Đằng sau hai lọ khác nhau hoàn toàn luôn mn ạ :(((</t>
  </si>
  <si>
    <t>2019-10-27 12:23:47</t>
  </si>
  <si>
    <t>An Nhi</t>
  </si>
  <si>
    <t>100009180906414</t>
  </si>
  <si>
    <t xml:space="preserve">#taydachet #huxley #ask </t>
  </si>
  <si>
    <t>#ask 
#đepchanhsa 
#tiêmfiller 
Em đang có ý định đi tiêm filler má baby mà em có một số câu hỏi muốn các chị giúp em với ạ 😬
1 - có nên tiêm má hay không ạ ?
2 - sau khi tiêm co bị chảy qua vùng khác hay có biến chứng gì không ạ ?
3- sau khi tiêm có sử dụng được các máy làm đẹp như máy rửa mặt , đẩy tinh chất không ạ ? 
4 - cần phải tránh những gì khi tiêm filler ạ ? 
**  má em rất hóp , em đã tìm hiểu các pp làm đẹp khác như hifu , ultra .. nhưng mọi người đều nói chỉ cải thiện được cho những người có mỡ mặt hay nét mặt không đều , không giải quyết được má hóp . Hiệu quả lại ngắn ( 3,4 tháng ) 
Em tha thiết một pp làm đẹp giúp em cải thiện má hóp 😭😭
Mong ad duyệt bài cho em ạ .</t>
  </si>
  <si>
    <t>2019-09-27 03:24:07</t>
  </si>
  <si>
    <t>Key Ly</t>
  </si>
  <si>
    <t>100016233220954</t>
  </si>
  <si>
    <t xml:space="preserve">#tiêmfiller #đepchanhsa #ask </t>
  </si>
  <si>
    <t>Phẫu thuật thẩm mĩ</t>
  </si>
  <si>
    <t>má</t>
  </si>
  <si>
    <t>Tiêm filler má baby cải thiện má hóp</t>
  </si>
  <si>
    <t>tiêm filler,má baby,hifu,ultra,má hóp,hiệu quả ngắn</t>
  </si>
  <si>
    <t>KHÔNG PHẢI REVIEW</t>
  </si>
  <si>
    <t>#đẹpchanhxã #review #tuvanson
Nằm trong nhóm đã lâu nay e viết bài này xin được cái chị chỉ giáo giúp e với ạ vì e không rành về son cho lắm , chã là e được tặng 2 cây con mac màu CHILI và màu DUBONNET  nói sơ qua 2 cây son thì e thấy cầm nặng tay khá chắc mùi son thì là mùi vani thơm ngọt dễ chịu nhưn 1 cây màu CHILI thì mùi hơi hắc hơn ạ không biết là bị trúng hàng fake hay không , nhìn tổng quan võ thì e thấy có khá nhiều điễm khác nhau nên e sợ bị dính phãi hàng fake , chị nào trong nhóm mình là tín đồ của son mac thì xin chỉ giúp 2 cây này cây nào là auth cây nào là fake với ạ ( CHILI nằm bên trái còn DUBONNET nằm bên phãi ). Mong  chị hằng duyệt bài giúp e ạ ❤️❤️</t>
  </si>
  <si>
    <t>2019-09-10 12:42:47</t>
  </si>
  <si>
    <t>Hân Gia</t>
  </si>
  <si>
    <t>100040485450715</t>
  </si>
  <si>
    <t xml:space="preserve">#tuvanson #review #đẹpchanhxã </t>
  </si>
  <si>
    <t xml:space="preserve">
#giamcangiambeo
#bodyshaming
Mong ad duyệt bài giúp em
Trong nhóm mình các chị có ai đã giảm cân thành công không ạ? Các chị cho em xin phương pháp đã áp dụng được không ạ.
Em năm nay 20 tuổi, chỉ 1m51 nhưng tận 50kg, tạng người trước đây không phải là béo, nhưng bị béo bụng (em bị béo bụng từ năm lớp 8 lớp 9), lên cấp 3 người vẫn nhỏ nhắn bình thường cho dù e ăn cỡ nào cũng không bị nhích cân. Nhưng đến  cuối năm nhất đại học em đi làm thêm, do tính chất công việc ngồi nhiều, ít vận động nên em bị béo đùi, bụng và cả bắp chân bắp tay, vai em cũng to ra trông thấy, người em lên cân nhanh đến nỗi da đùi bị rạn rõ rệt. 
Rồi em cũng bị stress khi mấy đứa bạn thân cả trai cả gái body shaming mình, có những lời nói đùa nhưng thật sự em thấy rất khó chịu kiểu như "đùi mày phải to bằng bụng con N" "eo ôi m cứ như con lợn ấy", "khiếp, m không định giảm cân à", "nó mà gầy gì, nhìn cái đùi nó kia kìa haha" "m đừng mua cái váy đó, mặc nhìn m béo lắm" ,... Thực sự em khó chịu vô cùng mà lại còn là từ những đứa bạn thân của mình nữa.
Em đã từng giảm cân bằng các phương pháp như GM diet như quảng cáo 1 tuần giảm 7kg (em chỉ có ý định thử với 1-1,5kg thôi) nhưng không hiệu quả, em không giảm đc kg nào.
Hiện tại em đang uống nước chanh mật ong nhưng vẫn chưa thấy khả quan mấy, em có đi bộ nhanh tầm 30-40p 1 ngày, em rất rất ít khi uống trà sữa, hiện tại em cũng đang ăn ít tinh bột trong ngày nhưng em lại bị nghiện đồ ăn vặt vào đêm, em đang cố gắng cắt giảm từ từ.
Em thực sự cần giảm cân, các chị cho em xin bí quyết được không ạ? Nhất là giảm phần ĐÙI và BẮP CHÂN. (công việc của em ngồi nhiều và em cũng không có thời gian tập thể dục, em chỉ có thể đi bộ như trên thôi ạ) em cũng không bị béo mặt ạ. 
Em thật sự cảm ơn các chị rất nhiều.
#xintipsgiambeo</t>
  </si>
  <si>
    <t>2019-05-07 14:43:42</t>
  </si>
  <si>
    <t>An Hy</t>
  </si>
  <si>
    <t>100036547414777</t>
  </si>
  <si>
    <t xml:space="preserve">#xintipsgiambeo #bodyshaming #giamcangiambeo </t>
  </si>
  <si>
    <t>Khác - Chăm sóc thân thể</t>
  </si>
  <si>
    <t>Trong nhóm mình các chị có ai đã giảm cân thành công không ạ? Các chị cho em xin phương pháp đã áp dụng được không ạ.</t>
  </si>
  <si>
    <t>Giảm cân,phương pháp,GM diet,đi bộ nhanh</t>
  </si>
  <si>
    <t>Stress,body shaming,béo bụng,bí quyết,đùi,bắp chân</t>
  </si>
  <si>
    <t>#Review #redpeel #redC
Hello mọi người, sau 2 tháng chăm chỉ như một chú ong skincare phục hồi da sau mụn. Tới giờ thì em đã tự tin lên đây chia sẻ cùng mọi người quá trình trị thâm mụn đầy gian nan của em. 
2 tháng trước em dính combo tới mùa dâu và bị stress vì công việc dồn dập, deadline dí làm ăn uống không đúng giờ, ngủ không đủ giấc. Và mọi thứ stress ấy nó đổ dồn lên trên mặt em. Mụn nổi lên không kiểm soát luôn ạ, hai bên má, trên trán nữa. Và rồi em lăn lội đi spa để soi da và tìm cách để trị mụn và sau đó là trị thâm. 
Hằng này em chăm chỉ skincare bắt đầu buổi sáng với toner, sau đó là kcn Tới tối về thì tẩy trang, sữa rửa mặt, toner và sau đó là dùng sản phẩm trị mụn. cấp ẩn cho da bằng xịt khoáng trong cả ngày luôn ạ.Em luôn chú ý tới làm sạch da để bớt đi những lí do có thể gây ra mụn, tẩy trang sạch rồi rửa mặt kèm với máy rửa mặt nữa, toner thì không bao giờ thiếu rồi, dùng combo trị mụn được chị tư vấn viên của spa chỉ ngoài ra bên trong thì còn ráng ăn uống đều hơn, uống nước nhiều để thanh lọc cơ thể nữa. 
Các sản phẩm mà em dùng thì vẫn luôn có kcn Innisfree, tẩy trang simple, toner Mario badescu, bộ đôi của evoluderm, bộ sản phẩm trị mụn của spa  và em red C trị thâm.
Kcn của innis thì em thấy rất là tiện, dạng thỏi nhỏ gọn,bỏ cặp dễ đang đi, lên tone 1 chút da vừa đủ sáng, em k bị bí da. Tẩy trang simple sạch mà lại rất nhẹ dịu, không bị khô rát da chút nào đâu. Toner thì quá chuẩn rồi, em này thơm dịu dịu, cân bằng da tốt. dùng còn làm nhỏ lcl nữa. Xịt khoáng của evoluderm thì em dùng cấp ẩm da cả ngày, thơm nhẹ nhẹ.
Sau hơn 1 tháng trị mụn thì da em đã đỡ hẳn mụn nhưng vấn đề lớn hơn là các vết thâm mụn còn lại hơi đốm đóm da làm da không đều màu rất xấu xí. Em được tư vấn nên dùng vitamin C để trị thâm mụn. Em này màu đỏ đặc biệt, kiểu nhìn là thấy vitamin tươi rồi, spa có chỉ là mỗi khi dùng 2-3 giọt xong apply lên mặt, có dặn là nên mĩ với toner để da quen với vitamin C nhưng em muốn công dụng nhanh nên vẫn cho thẳng 3 giọt lên mặt trực tiếp thì nó lại rất ổn, thấm khá nhanh, có thể do da em khỏe nên không bị châm chích khi dùng vitamin C. Có cái là em này là vitamin C tươi nên dùng xong phải bỏ tủ lạnh để giữ cho nó luôn tươi.
Sau hơn 2 tháng dùng thì giờ da đã ổn định lại rồi, không có vết mụn sung viêm nữa, cũng sáng da hơn và mờ thâm nữa ý. 
Dù là chăm sóc da như thế nào thì em khuyên mọi người vẫn nên chú ý phải kiên trì và chăm chỉ đừng bỏ qua vì lười nhé.</t>
  </si>
  <si>
    <t>2019-09-28 07:45:03</t>
  </si>
  <si>
    <t>Vy Max</t>
  </si>
  <si>
    <t>100005915325911</t>
  </si>
  <si>
    <t xml:space="preserve">#redC #redpeel #Review </t>
  </si>
  <si>
    <t>#ask #sonmoi
Chả là e rất nghiện son đậm. E đã thử qua nhiều loại và thấy ưng son lì của maybelyn. Nhưng e k thể nào đánh đc vào trong lòng môi nên luôn tạo ra 2 màu trông rất sợ. Nhất là khi nói sẽ có.  Các ce cho e xin cách khắc phục vs ah.</t>
  </si>
  <si>
    <t>2019-11-09 01:36:55</t>
  </si>
  <si>
    <t>Thuy Dungg</t>
  </si>
  <si>
    <t>100003556107815</t>
  </si>
  <si>
    <t xml:space="preserve">#sonmoi #ask </t>
  </si>
  <si>
    <t xml:space="preserve">
#ask
#cắtmí
Các chị ơi mắt em nhấn 1 lần sụp mí xong đi cắt mini deep lấy mỡ tới nay 1 năm rồi. Lúc đầu nếp cũng đẹp và căng nhưng bây giờ lại đang có hiện tượng da chùng làm nếp mí xấu, đuôi mắt rẻ quạt nữa. E có nên cắt nữa ko ạ, e hỏi nhiều người nói cắt tiếp nếu lỡ quá tay sẽ dễ bị trợn lắm. Mắt em nó khó chiều quá đi huhu</t>
  </si>
  <si>
    <t>2019-11-08 13:47:01</t>
  </si>
  <si>
    <t>Nhã Phương Nguyễn</t>
  </si>
  <si>
    <t>100004123837441</t>
  </si>
  <si>
    <t xml:space="preserve">#cắtmí #ask </t>
  </si>
  <si>
    <t xml:space="preserve">Đến mùa là lại bị nẻ ,da khô, bong da, ngứa nữa ý ạ
Nên dùng gì ạ?  
Cho cả mặt, cả body 
Em bé 1 tuổi thì dùng chung với người lớn được hay phải dùng riêng ạ, riêng thì loại nào lành cho em bé ạ. 
Em cảm ơn 
#hoidap
#nẻ 
</t>
  </si>
  <si>
    <t>2019-12-10 08:19:31</t>
  </si>
  <si>
    <t>Nguyễn Ánh</t>
  </si>
  <si>
    <t>100010114027108</t>
  </si>
  <si>
    <t xml:space="preserve">#nẻ #hoidap </t>
  </si>
  <si>
    <t>#aks #pttm
E chào các c ạ! E đang có ý định làm mũi, tình trạng mũi của e thì sống mũi k bị tẹt lắm nhưng đầu mũi và cánh mũi to, thô. Nên e đang cân nhắc giữa 2 phương pháp chỉnh sửa. 
- 1 là nâng mũi cấu trúc, đập đi xây lại cả mũi luôn.
- 2 là nâng sống mũi, kết hợp thu hẹp cánh mũi. Cái này là sửa tách riêng. 
E phân vân vì nghe nói k nên nâng mũi cấu trúc vì đã làm rồi là k rút ra được hoặc rất khó để sửa lại khi có vấn đề, còn làm tách ra như phương pháp 2 thì có thể dễ dàng sửa hơn. Anh chị nào đã từng làm thì có thể cho e ý kiến dc k ạ.
Tiếp đến là chọn nơi để thực hiện, e chọn Thu Cúc, m.n thấy lm ở đó ổn k ạ, hoặc k thì có thể tư vấn cho e xem có chỗ nào ổn k. 
E xin chèn thêm 1 ảnh mũi e lúc chụp ngang nữa ạ. Sống mũi có, nhưng k thẳng ạ.
E cảm ơn!!!!!!!!</t>
  </si>
  <si>
    <t>2019-06-02 03:24:03</t>
  </si>
  <si>
    <t>Trịnh Minh Phương</t>
  </si>
  <si>
    <t>100005338775690</t>
  </si>
  <si>
    <t xml:space="preserve">#pttm #aks </t>
  </si>
  <si>
    <t xml:space="preserve">Cho em hỏi đây có phải là đồi mồi không ạ? Em muốn biết n là gì và phải trị ntn 😭😭 Em bị từ lúc nhỏ ngay ngón áp út nhưng càng lớn thì càng rộng ra ( ảnh hiện tại ấy ạ )
Em đã đi khám da liễu và bệnh viện nhưng họ khẳng định em bị thiếu vitamin C
Em đã uống nước chanh, nước cam, viên sủi C trong 1 năm nhưng nó vẫn như vậy mà không khá hơn
Em mong các chị giúp em, em cảm ơn các chị rất nhiều 🤗❤
</t>
  </si>
  <si>
    <t>2019-11-21 00:51:24</t>
  </si>
  <si>
    <t>Truc Nguyen</t>
  </si>
  <si>
    <t>100014713921647</t>
  </si>
  <si>
    <t>#trimun
Cho e hỏi có ai từng sử dụng kem fresh skin(ins: @theskintreatment) rồi bị lên mụn dữ dội chưa ạ, da e bây giờ mỏng yếu lắm ah, em nên làm thế nào đây các c, e có đi da liễu bsi kê liệu trình gần 6tr mà e sv nên chưa có tiền chữa được mà lại sắp đến tết nữa, bây giờ e hoang mang quá ạ. Các c cho e biết có phải e bị nhiễm corticoid rồi đúng không ạ :(( 
Hiện tại e chỉ tẩy trang Chacott srm laroche posay kcn make prem ạ
Mong ad duyệt giúp e ạ 😬</t>
  </si>
  <si>
    <t>2019-12-13 09:33:37</t>
  </si>
  <si>
    <t>Thu Ngân</t>
  </si>
  <si>
    <t>100014057406975</t>
  </si>
  <si>
    <t xml:space="preserve">#trimun </t>
  </si>
  <si>
    <t>#help 
Hi, tụi m.
Năm nay t 25 rồi nên xưng hô m t cho dễ nhé ^^ 
Chuyện là t bị thâm nách chúng m ạ, không biết có phải bẩm sinh từ bé ko nhưng mà từ khi t bắt đầu dậy thì và quan tâm thân thể của mình hơn thì t đã thấy nó bị thâm nặng ròii chúng m ạ 😞 
Thật sự t rất là buồn, t đã dùng nhiều cách như chanh, đường phèn, bột nghệ bla bla, nói chung trên mạng có cách nào t cũng đã thử qua. Và t đã đi triệt lông luôn rồi vì t nghe ngta nói triệt lông cũng giúp làm vùng nách bớt thâm 😞 nhưng kết quả vẫn hong thay đổi 😞 
Chúng m có ai bị như t ko? Và chúng m có cách nào trị thâm hiệu quả ko? Hoặc là thẩm mỹ viện nào trị thâm ok cũng đc. 
T cũng có công việc ổn định nên vấn đề tiền bạc ko phải suy nghĩ quá nhiều, nhưng nhiều khi muốn diện áo 2 dây hoặc bikini cũng cực kì khó khăn vì t rất tự ti ở vùng nách 😞 
Chúng m hãy giúp t với. Cám ơn chúng m rất nhiều. 
À t ở tphcm luôn nhé. Đừng chỉ t những địa chỉ ở Hà Nội t ko bay ra đc đâu huhu 😞 
HÌNH ẢNH LÀ T LẤY TRÊN MẠNG VÌ NÓ CŨNG GIỐNG TÌNH TRẠNG NÁCH CỦA T HIỆN TẠI 😞
Mong chị Hằng duyệt bài giúp em ạ, thanks chị</t>
  </si>
  <si>
    <t>2019-03-17 02:56:53</t>
  </si>
  <si>
    <t>Tran Lan Chi</t>
  </si>
  <si>
    <t>100012121519241</t>
  </si>
  <si>
    <t xml:space="preserve">#help </t>
  </si>
  <si>
    <t>Chuyện là t bị thâm nách chúng m ạ</t>
  </si>
  <si>
    <t>thâm nách</t>
  </si>
  <si>
    <t>chanh,đường phèn,bột nghệ,triệt lông,thâ,nặng,trị thâm</t>
  </si>
  <si>
    <t>Sau khi nâng mũi . Mắt em bị thâm quầng như trong hình luôn ạ. Mà được gần 2 năm rồi vẫn k hết. E đã tiêm thâm quầng mắt mà chỉ bớt 30% . E phải làm ntn mới hết được ạ. E stress lắm luôn. E cảm ơn ạ</t>
  </si>
  <si>
    <t>2019-11-30 11:20:19</t>
  </si>
  <si>
    <t>Phạm Yến Nhi</t>
  </si>
  <si>
    <t>100024689767137</t>
  </si>
  <si>
    <t>Các nàng đẹp phân biệt giúp mình hàng fake kem chống nắng #The_seam với ạ
Lọ k not for sale gửi từ Hàn về, lọ có " not for sale" là hàng của ng khác. Họ nói đồ của mình là fake, hơi bị hoang mang</t>
  </si>
  <si>
    <t>2019-08-10 00:37:41</t>
  </si>
  <si>
    <t>Nguyễn Hường</t>
  </si>
  <si>
    <t>100024569975151</t>
  </si>
  <si>
    <t xml:space="preserve">#The_seam </t>
  </si>
  <si>
    <t>#maithaomoc
#dungKenDy
#huynhthingocphuong
Chào cả nhà.
Cho phép t xưng hô m  t , t cũng 27 tuổi r.
Sự việc t đề cập ở đây xảy ra đêm hôm qua. Nhưng căn nguyên xa xôi của nó là từ rất lâu rồi, khi cuộc chiến của các page, nhóm với Mai Thảo Mộc bắt đầu. Ai cũng biết thừa là bọn bán thứ này bất chấp thủ đoạn và vô cùng hung hãn khi ai độg đến chúng nó. T cũng thường xuyên share và cmt những bài viết này. 
Trong một lần t vô tình thấy nó cmt lôi kéo một Mẹ Bầu xài MTM, t đã phản bác, và cap cmt đó lại, đăng vào bài phốt nó của page ( t có che mặt nó). Vì là bài viết công khai trên page nên ngay lập tức nó kéo đồng bọn vào chửi rủa, body shaming t. Ko dừng lại ở đó, #huynhthingocphuong về fb cá nhân, mang hình ảnh con t, mang hoàn cảnh sống của mc t ra chửi rủa với cái lý do là " không không cái bị t chửi", lần nào chửi bới t nó cungy dùng lý do đó. Vì sự việc đó, t đã lên bài vạch mặt nó trên Đẹp chanh sả. Sau khi bị quá nhiều người chỉ trích thì nó xoá, xóa hết những gì cmt nghịch ý nó,block những ng bảo vệ t, r xoá bài, hack Facebook #nguyễn_hải_trang của t.
Khi con t và t bị động chạm, chửi bới, mà lại bảo t Thích nhai lại chuyện cũ khi t nhắc về chuyện đó trong những post khác về MTM. Tạm lắng một.thời gian, khi có quyết định thu hồi MTM của cơ quan chức năng, hai đứa #dung #phượng bắt đầu tìm cách bán tống bán tháo MTM, trog khi truoc do Hùng hồn tuyên bố Nhờ mtm mà làm giàu, còn loại "nhà quê" như t ghen ăn tức ở vs nó nên " không không kiếm chuyện chửi, phốt nó". Đừng ngạc nhiên, nó đi cắ.n người xong nó hay diễn vai mất trí nhớ v đó. Lúc đó có một mem của Đcs ( mình ko tiện nêu tên) đã cap màn hình đoạn nc bán tống bán tháo MTM của tụi nó, r lên bài, và nhắc lại chuyện nó từng vì MTM mà chửi rủa t. Nó ( Phượng, Dung) nghĩ đó là do t, nên lại càng ghim hận. T ko biết nó mở block fb t từ bao giờ. Nhưng gần đây, khi xảy ra vụ việc 39ng trong container, t đã viết.1 tus nêu quan điểm t rằng Họ phạm pháp mà ch.ế.t thì ko được đòi hỏi. Ko đáng tiếc thương. Có người cap stt t lại, phản bác t kêu t máu lạnh. Nó " buồn ngủ gặp chiếu manh", share stt đó về, chửi bới t cùng đồng bọn, block hết những ai vô cmt đứng về phía t, t vô đọc stt đó, thấy nó rủ người đánh t, thậm chí đòi *hốt cốt* mẹ con t. Từ *hốt cốt* này là nó nói ra trước, share tus phản đối t về gây hấn lại vs t cũng là nó.t vô cmt đáp trả, và thế là tối và đêm hôm qua, sự lưu  manhe, côn đồ, đầu trâu mặt ngựa của con dung con phượng nó lên tới đỉnh điểm : NÓ KÉO NHAU VÀ KÉO THẰNG N.Y CỦA NÓ TỚI TRƯỚC CỔNG NHÀ T CHỬI BỚI HẾT SỨC DƠ BẨN VÀ THÔ TỤC, ĐE DOẠ, NÉM ĐÁ VÀO NHÀ T, ( một mình t đơn thân vs một đứa con gái ba tuổi), lý do của tụi nó vẫn như cũ là T đụng nó đâu chửi đó, t đòi hốt cốt nó ( trong khi nó đòi làm điều đó trước). T lâm thế bị động, cổng nhà t đã khoá. Nó ném đá, ném dép vào, t chỉ kịp giấu con gái t vô nhà, r tronge cơn bức xúc ( thử.là t xem có ai ko bức xúc), chúng nó hô hào chửi bới t, đòi hành hung mẹ con t, nhưng lại đòi ý Mở cổng để nói chuyện. T ko mở, t nói t ko tiếp ch.ó d.ại  trong nhà. Tụi nó cứ đứng cổng, dựng chuyện thoá mạ, chửi bới t ko ngừng t mới xúc gạo muối ra rải nhằm Tiễn vong nó. T gọi công an nhưng họ phản ứng chậm. Họ xuống đến thì nó cút r
Lúc t gọi điện nó thấy nên nó rút lui. Luc chửi bới tục tĩu trước cổg nhà t, nó có quay clip lại r về fb đăng lên NHỤ.C MẠ t tiếp, VÀ DỰNG NÊN NHỮNG CÂU CHUYỆN VÔ CÙNG HOANG ĐƯỜNG, KINH KHỦNG, BẨN THIỂU. ( T làm mẹ đơn thân, t sống một mình vs con gái t, nó viết là t Dắt trai về đ** bậy, nói con t là con hoang, nói t có thêm đứa con này r đem bán....nói t sống ch.ó nên ko ai ưa, tới mức ba t bỏ đi :))))  ( ủa t ko ck, nếu t có đ** ai mà k phải ck nó t có cần xin.phép nó ko?, 2, t và ba t bất hòa, mẹ t ko còn, ba t có vợ bé, lộng hành quá nên t  hay thường xuyên tranh cãi, mà đó là chuyện gia cang nhà t, nó lấy tư cách gì mang.đó ra làm lý do cho nó XÚC PHẠM DANH DỰ NHÂN.PHẨM MẸ CON T, UY HIẾP, ĐẬP PHÁ NHÀ T)... VÌ  nó hành động quá đỗi chợ búa. T viết tus bên một nhóm anti mp trộn. Mọi người ở đó bức xúc quá giùm t. Nên vào fb nó chửi, yêu cầu nó chấm dứt hành động tấn công hành hung t. Nó quy kết rằng Tất cả những cmt chửi nó, lên án.nó là do t lập fb ảo chửi.nó. nó xoá hết block hết tất cả, r tự thẩm du vs đồng bọn tiếp, thấy mọi y phản ứng,lên án tiếp LÚC GẦN 23H NÓ QUAY LẠI NHÀ T LẦN THỨ 2. LẦN NÀY MỨC ĐỘ HUNG HÃN HƠN, KHỐN NẠN HƠN, NÓ VỪA CHỬI BỚI, VỪA NÉM ĐÁ, R PHÁ Ổ KHÓA CỔNG NHÀ T XÔNG VÀO ĐỨNG TRƯỚC CỬA CHÍNH NHÀ T RỦA XẢ, NHÀO VÔ PHÒNG KHÁCH PHÁ TỦ XÉ SÁCH VỞ DẠY HỌC CỦA T.
T buộc phải để con t co cụm trong phòng, điện thoại t lúc ấy còn có 1%pin nên t dùng gọi típ công an TP Phan Rang tháp chàm chứ k quay clip hay ghi âm lại được. 
Nó đi gây hấn còn tuyên bố T có phốt nó càng nổi, nó ko sợ, nó cúi k sợ lở, ko còn gì để mất, còn mẹ con t còn đi học, còn đi làm thì sẽ có ngày nó đánh bằng được. 
Hỏi t hối hận khi đối đầu tụi nó ko. T sẽ tl Không. Vì nó buôn bán thứ hại người. Ko hại t nó sẽ hại rất rất nhiều người.
Nhưng thực sự t bấn loạn, bấn loạn vì lo ngại cho sự an toàn của con t. Hôm qua nó hành xử luu manh nhường ấy, nhưng vẫn về fb khoe, vẫn cmt các post là chi muốn nc, do t hok hợp tác, do t chơi dơ rải gạo muối nó.
T biết chuyện này sẽ ko dừng lại ở đây. Nên t viết tus này, để nhắn lại rằng, THỜI GIAN SẮP TỚI  NẾU CÓ BẤT CỨ NGUY HIỂM NÀO VỀ THÂN THỂ, MẤT MÁT NÀO VỀ TÀI SẢN VS MẸ CON T, THÌ CON HUỲNH THỊ NGỌC PHƯỢNG VÀ CON DUNG KENDY LÀ THỦ PHẠM.
Chính.miệng chúng nó tuyên bố như vậy đó.</t>
  </si>
  <si>
    <t>2019-11-16 00:27:14</t>
  </si>
  <si>
    <t>Nguyen Hai Trang</t>
  </si>
  <si>
    <t>100019178670504</t>
  </si>
  <si>
    <t xml:space="preserve">#phượng #dung #nguyễn_hải_trang #huynhthingocphuong #huynhthingocphuong #dungKenDy #maithaomoc </t>
  </si>
  <si>
    <t>Mong ad duyệt bài ạ . Do em ngại dùng fb ảo. 
Da em hiện tại vừa lấy mụn em vẫn lấy thường xuyên , thải chì ạ
- Em bị lỗ chân lông khá to, hay đổ dầu nhiều, mụn ở hàm, và thâm sau mụn. E đang dùng srm + nước muối. Mọi ng ai biết về cấp ẩm trị thâm mụn và điều trị làm mát từ bên trong giúp em với huhu</t>
  </si>
  <si>
    <t>2019-12-09 00:27:30</t>
  </si>
  <si>
    <t>Nhi Thanh</t>
  </si>
  <si>
    <t>100029484483159</t>
  </si>
  <si>
    <t>Khác - Chăm sóc da mặt</t>
  </si>
  <si>
    <t>không phải bài review</t>
  </si>
  <si>
    <t>trị thâm mụn</t>
  </si>
  <si>
    <t>lấy mụn thường xuyê,thải chì,lỗ chân lông to,đổ dầu,thâm sau mụn</t>
  </si>
  <si>
    <t xml:space="preserve">
#ask
Em mới được tặng bộ này, ce nào dùng chưa cho em xin ít review .
Da em trong tình trạng cũng khá kích ứng , hay nổi mụn ở dưới cằm và phần dưới má . Hiện nay đang điều trị thâm và sáng da</t>
  </si>
  <si>
    <t>2019-10-28 10:25:56</t>
  </si>
  <si>
    <t>Đinh Thu Huyền</t>
  </si>
  <si>
    <t>100002888088584</t>
  </si>
  <si>
    <t xml:space="preserve">#ask </t>
  </si>
  <si>
    <t>#ask #toc
Mặt dài, tóc mỏng mà cắt kiểu tóc như Jennie thì có hợp ko mọi người? Mình thấy bạn này cắt xinh ghê, cũng muốn đu theo mà sợ lỡ ko hợp mặt thì chết mất. Mặt dài thì nên để kiểu tóc nào hợp đây ạ, mình đã từng cắt mái ngang, thưa nhưng ko hợp mặt nên nhìn fail lắm</t>
  </si>
  <si>
    <t>2019-10-22 23:15:51</t>
  </si>
  <si>
    <t>Kimmie Js</t>
  </si>
  <si>
    <t>100013368487174</t>
  </si>
  <si>
    <t xml:space="preserve">#toc #ask </t>
  </si>
  <si>
    <t>Dạ ad duyệt bài giúp em
Em hỏi vấn đề không liên quan mấy ah
Các chị em cho em xin ý kiến kiểu tóc nào phù hợp với bé gái 6 tuổi không ah
Tóc bé dài ngang vai, tóc bình thường,ko dày cũng ko mỏng lắm, cảm ơn cả nhà mình nhiều ah</t>
  </si>
  <si>
    <t>2019-12-21 09:36:07</t>
  </si>
  <si>
    <t>Đỗ Thị Hồng Nhung</t>
  </si>
  <si>
    <t>100008963734774</t>
  </si>
  <si>
    <t>Mọi người ơi tư vấn giúp mình với! Đây là bộ chăm sóc da của mình mà dùng mãi k thấy da đẹp lên.da mình hỗn hợp thiên khô,mình dùng HA sau toner sau đó bôi thêm lớp lotion có ổn k ạ?  Qui trình skincare của mình là sáng thì rửa mặt bằng srm innisfree bằng tay,sau đó lotion rồi kem chống nắng. Tối tẩy trang xong rửa mặt bằng máy rửa mặt Hailio,sau đó toner,HA,lotion,skl,kem mắt ahc,kem v7.có hôm thì mình k dùng lotion và ski mà thay vào teana.tuần tẩy tbc 2 lần,đắp mặt 2 lần.mình dùng như vậy khoảng 4 tháng rồi mà da hiện tại vẫn lỗ chân lông to,thi thoảng nổi vài mụn rồi thâm,da cảm giác xỉn k sáng!</t>
  </si>
  <si>
    <t>2019-11-25 00:33:37</t>
  </si>
  <si>
    <t>Kimchi Vu</t>
  </si>
  <si>
    <t>100003867982121</t>
  </si>
  <si>
    <t>Chào các chị em. Hôm nay e lên đây nhờ mng tư vấn. Chẳng may e bị ngã xe. Đập mặt xuống đường bị mẻ 3 cái răng. Có ng bảo e nên đi bọc, có ng bảo nên đi hàn lại. Các chị tư vấn giúp e vs ạ. Nếu hàn thì nhìn có thẩm mĩ vs cả có lộ rõ vết hàn ko ạ. E xin cảm ơn</t>
  </si>
  <si>
    <t>2019-12-13 12:56:44</t>
  </si>
  <si>
    <t>Thơ Bae</t>
  </si>
  <si>
    <t>100004465325707</t>
  </si>
  <si>
    <t>han</t>
  </si>
  <si>
    <t>#tuvan #munlung
Mọi người ơi giúp em với. Lưng em ngày xưa lúc mới dậy thì cũng có nổi mụn nhưng sau đó tự nhiên hết và sạch bong. Em rất thích mặc áo dây và áo trễ vai 😭 3 tháng nay em bắt đầu bị mụn lưng lại, em stress lắm luôn chỉ mặc áo thun ra đường. Mỗi lần nhìn gương là muốn khóc, em thấy mọi người chia sẻ sữa tắm lifeboy khổ qua em cũng xài kết hợp với muối tắm crevil nhưng vẫn không giảm, em đọc thấy có mấy chị nói có thể do rối loạn nội tiết mà em không biết làm sao. Mọi người chia sẻ bí quyết cho em với, chứ em stress quá em nhìn tủ quần áo mà em chán luôn. Tết tới nơi rồi huhu</t>
  </si>
  <si>
    <t>2019-12-06 07:35:18</t>
  </si>
  <si>
    <t>Thanh Thanh</t>
  </si>
  <si>
    <t>100037067243404</t>
  </si>
  <si>
    <t xml:space="preserve">#munlung #tuvan </t>
  </si>
  <si>
    <t>#ask
 Mọi ngườii ơi có cách nào trị mụn ở mũi vầy không ạ, em bị xung quanh vùng mũi cả dưới cằm nữa. Cũng có nặn rồi nó cũng lên lại ạ, không làm sao hết được. Nhìn vào thấy đen đen dơ dơ nên cũng tự ti ghê í. Em có sử dụng srm tro núi lửa với máy Foreo cũng không ăn thua :(((
Mong được duyệt, em cảm ơn ạ .</t>
  </si>
  <si>
    <t>2019-11-25 05:21:12</t>
  </si>
  <si>
    <t>Lan Ngọc</t>
  </si>
  <si>
    <t>100027014383811</t>
  </si>
  <si>
    <t>Khác</t>
  </si>
  <si>
    <t>Mọi ngườii ơi có cách nào trị mụn ở mũi vầy không ạ</t>
  </si>
  <si>
    <t>ask,trị mụn</t>
  </si>
  <si>
    <t>srm tro núi lửa,máy foreo</t>
  </si>
  <si>
    <t>Không phải bài review</t>
  </si>
  <si>
    <t>1. Mình type da ngâm, môi từ nhỏ k tươi, sau này dùng son nhiều quá môi mình bị thâm viền môi với cả nguyên vùng môi trên. Mn review cho mình các cách cũng như là sp nào hiệu quả đi.
Note Ảnh 1 là chụp cam sau, ảnh 2 mình chụp cam trước, đều là cam thường
2. Mình mua lọ vasaline này 50k nghi là hàng fake quá. Mở ra nó bị chảy lên cả nắp luôn</t>
  </si>
  <si>
    <t>2019-12-01 14:09:52</t>
  </si>
  <si>
    <t>Ninh Anh</t>
  </si>
  <si>
    <t>100043198296688</t>
  </si>
  <si>
    <t>Dưỡng môi</t>
  </si>
  <si>
    <t>thâm viền môi,vasaline</t>
  </si>
  <si>
    <t>da ngâm,son</t>
  </si>
  <si>
    <t>#kichungda #ahc 
Chào các chế
Có chế nào dùng serum AHC chưa ạ.
E mới dùng serum lần đầu, dùng 3 ngày thì bị nổi  đỏ đỏ như hình nhưng ko ngứa.
Có phải da e bị kích ứng ko hợp loại này phải ko ạ?
Bị nổi như vậy có tự hết hay phải làm thế nào ạ
Tks ad đã duyệt bài cho e</t>
  </si>
  <si>
    <t>2019-03-10 07:58:05</t>
  </si>
  <si>
    <t>Thảo Ly</t>
  </si>
  <si>
    <t>100004149731991</t>
  </si>
  <si>
    <t xml:space="preserve">#ahc #kichungda </t>
  </si>
  <si>
    <t xml:space="preserve"> #góccầntưvấn
Ad đẹp trai xinh gái duyệt bài giúp e nhé.
Mn oi giúp e với ạ. Đây là tình trạng da e sau đợt quân sự vừa rồi. Cái tay với cái mặt như là của 2 người khác nhau dị á. Vì lúc đó e chưa tìm đc kcn cho mặt phù hợp mà chỉ bôi chân ái kcn body của đời mình hoi nên mới bị tình trạng trên. Sau khi trị đc mấy cục mụn mủ, mụn sưng, mụn viêm 7749 lớp thì chỉ còn thâm xíu xíu trên trán. Còn mụn ẩn cứng đầu và dai như đỉa thì vẫn tồn tại giống như mấy chị gái dụ e mua kem trộn mỗi ngày dị á🙃.”Ui e gái oi, đã xài kem cho tay chân thì xài lun mặt cho full combo lun nè.” Nghe mà tức méo mỏ lun mấy chị ạ. Đi học lại mà mấy đủy bạn thân cứ trêu “mặt thì như cục kít trôi sông mà tay thì như bông hồng Đà Lạt”. 😩Thấy mà tức tím người lun á chòi. Các chị em xinh đẹp đề cử cho e loại nào làm sáng da mặt với. Sắp tết oi mà các cái mặt già như trái cà này về thì ớn lắm 😓
Edit: thấy nhiều b hỏi nên e xin đề cử kcn body Bioré uv anti pollution nhé</t>
  </si>
  <si>
    <t>2019-11-18 12:03:18</t>
  </si>
  <si>
    <t>Thao Phan</t>
  </si>
  <si>
    <t>100015852401193</t>
  </si>
  <si>
    <t xml:space="preserve">#góccầntưvấn </t>
  </si>
  <si>
    <t>#isotretinoin #ask 
Có ai đã trị mụn thành công với iso chưa ạ ?em đi da liễu được bs kê uống iso tầm hơn 2 tháng nay rồi mà mụn cứ đẩy lên ồ ạt , cho em hỏi tầm bao lâu thì nó mới hết đẩy lên ạ chứ dạo này nhìn da chán quá 😞😞😞</t>
  </si>
  <si>
    <t>2019-10-19 17:08:34</t>
  </si>
  <si>
    <t>Mi Linh</t>
  </si>
  <si>
    <t>100015311942841</t>
  </si>
  <si>
    <t xml:space="preserve">#ask #isotretinoin </t>
  </si>
  <si>
    <t>#ask#tuvan#đepchanhsa#trimunan.
Mong ad duyệt giúp e ạ
Anh chị cho e hỏi mặt e bị mụn này có nên ra Spa nặn ko ạ. 
Em bôi thuốc Mobti và Dermaforte của Da Liễu thì ko hết đc ạ
Em xin cảm ơnq</t>
  </si>
  <si>
    <t>2019-07-26 02:09:16</t>
  </si>
  <si>
    <t>Trang Cao</t>
  </si>
  <si>
    <t>100038943072968</t>
  </si>
  <si>
    <t xml:space="preserve">#trimunan #đepchanhsa #tuvan #ask </t>
  </si>
  <si>
    <t>#review #songel #sonmongtay
~~~~~~~🖤
Nằm vùng lâu rồi nhưng vẫn chưa thấy ai hỏi về vấn đề này. Không biết ở đây có ai thích sơn móng tay không ạ????  Em cực ghiền nên muốn tự mua sơn về sơn, các chị có thể review những loại sơn tốt cho móng được khong ạaa ?Và nếu mình thường xuyên sơn móng như vậy có ảnh hưởng gì đến sức khỏe không ạ ???
Em cảm ơn ad và mọi người, mong bài đc duyệt.. ❤️</t>
  </si>
  <si>
    <t>2019-10-26 15:58:21</t>
  </si>
  <si>
    <t>Chang Áaa</t>
  </si>
  <si>
    <t>100024123684364</t>
  </si>
  <si>
    <t xml:space="preserve">#sonmongtay #songel #review </t>
  </si>
  <si>
    <t>#ask #tiemfiller
Trong hội mình đã có ai tiêm filler chưa ạ? Có an toàn không vậy mọi người. Mình định tiêm má cho đỡ hóp nhưng đang phân vân 😭😭</t>
  </si>
  <si>
    <t>2019-09-16 21:47:23</t>
  </si>
  <si>
    <t>Nguyễn Hiền</t>
  </si>
  <si>
    <t>100007580582139</t>
  </si>
  <si>
    <t xml:space="preserve">#tiemfiller #ask </t>
  </si>
  <si>
    <t>#đẹpchanhxả #kemtrôn #kemkhôngrõnguồngốc #corticoid 
Chào mn trong gr .hôm nay e viết bài này cho mn hiểu về kem trộn nhé. Mong ađ duyệt
CORTICOID là gì
.corticoid hoạt chất kháng viêm mạnh được dùng trong điều trị các bệnh lý viêm nhiễm theo chỉ định của bs đường bôi hoặc uống và tiêm.
Tuy nhiên nếu làm dụng corticoid để làm trắng không đúng chỉ định của bs sẽ gây tai biến da
KEM TRỘN
Mn đã đọc ở trên biết corticoid là gì rồi đúng hông thế liên quan gì đến kem trộn? Hôm nay e sẽ khai sáng mn nhé !
Kem trộn sẻ có tác dụng rất nhanh như là dùng trong 7 ngày đầu da sẽ đẹp trắng hết mụn hết thâm hết nám căng mọng đầy sức sống do có chứa corticoid nên tác dụng rất nhanh chị e rất thích mà cứ bôi. tốt như vậy hiệu quả nhanh ngu sao không dùng? Có ng nói như vậy đúng không ạ! Đó là chưa biết tác hại thôi.
TÁC HẠI
Tác hại của kem trộn gây ra không kể nói hết được .khi ngưng kem hoặc không ngưng kem trộn sẽ quật không trốn đi đâu đc
Sao khi mn ngưng da sẽ có biểu hiện đỏ. nổi mụn nước liti. Mụn mủ dày đặc thâm nám bắt đầu phát triển.nếu tiếp tục dùng da sẻ k có biểu hiện nêu trên tuy nhiên da sẽ bị bào mỏng đi từng ngày có thể nhìn thấy mao mạch
Cho đến khi da quá mỏng không còn chịu được tác nhân bên ngoài khi sẽ đỏ lên đỏ hoài dù không ngưng kem củg đỏ mao mạch xuất hiện ngày càng nhiều tạo điều kiện cho Demodex tăng sinh
CÁCH NHẬN BIẾT KEM TRỘN
Hiện nay thị trường mỹ phẩm việt nam mọc nhiều như nấm các loại kem trộn k như nghĩa đen của nó là nhiều kem trộn lại mà là dùng cho những mỹ phẩm không rõ nguồn gốc hoặc có nguồn gốc nhưng dùg 1 tgian có tác hại như kem trộn
Thế làm sao để nhận ra đâu là kem trộn đâu là kem uy tín. Khi thông tin kem uy tín khá ít còn kem trộn chỉ sện là ra cả trăm bài fakeback làm chị e điên đảo.kem trộn thường gắn mác dược mỹ phẩm thảo mọc thiên nhiên thuốc bắc đông y
Hay khoe giấy tờ chứng nhận từ bộ y tế vv giấy xét nghiệm mẫu kem(cái này ngu nè)các cơ sở chỉ xét nhiệm đc kim loại nặng thôi còn corti méo có xét nghiệm được nhé !.nghệ sỹ vn livetream rầm rộ.các đại lý đua nhau khoe tiền cọc cọc bán kem trộn mau giàu😂😂
 Cái kem hay serum bất cứ cái nào tuyển đại lý chi nhánh chị e nó xa nhé càng xa càng tốt 
Các boss ms 20 30t như trần mu 
Tuổi lol gì tuổi này bác sĩ tiến sĩ dược sĩ nào nghiên cứu mà sản xuất ra rồi làm boss
Chất kem màu ngà ngà vàng nhìn là thèm bánh su kem 😂 nhìn là biết kem trộn
Mấy chị tiến sỹ trộn kem ở nhà rồi vào hộp gắn mác làm kem thương hiệu  riêng
.kem trộn rất đa dạng từ sữa rửa mặt .serum. cream .gel .dầu gọi đầu.vv.
Có ng sẽ thắc mắc sữa rửa mặt mà đâu trộn đâu củg như nói ở trên từ kem trộn không như nghĩa đen của nó!
Mệt quá nói nhìu đủ r. lần đầu viết bài có gì sai sót xin bỏ qua
Tóm lại corticoid k có hại nếu đừg lạm dụng nó
Có rất nhiều mỹ phẩm đến từ hãng uy tín có corticoid với nhu cầu chống kích ứng khi dùg các thành phần nặg đô .
Mog ađ duyệt giúp e soạn bài hơn 30p
Edit
Thêm ảnh.
Mấy bạn mà cmt tus hỏi kem này kem kia có trộn k thì là trộn hết nha</t>
  </si>
  <si>
    <t>2019-09-15 01:17:19</t>
  </si>
  <si>
    <t>Duy Nguyen</t>
  </si>
  <si>
    <t>100022466423270</t>
  </si>
  <si>
    <t xml:space="preserve">#corticoid #kemkhôngrõnguồngốc #kemtrôn #đẹpchanhxả </t>
  </si>
  <si>
    <t xml:space="preserve">Các chị em ơi, ai khóc cho nỗi đau này!
3 năm gần đây,  răng e bị thưa như hình, mùa đông gió thổi khô cả họng.😫
Em thuộc cái dạng cười k bgio ngậm đc mồm.
Các chị đẹp cho e lời khuyên với ạ. Giá cả tầm bn thì có thể cười tự tin và thoải mái?
#rang
</t>
  </si>
  <si>
    <t>2019-12-08 03:52:39</t>
  </si>
  <si>
    <t>Tuổi Heo</t>
  </si>
  <si>
    <t>100027152689453</t>
  </si>
  <si>
    <t xml:space="preserve">#rang </t>
  </si>
  <si>
    <t>Chăm sóc răng miệng</t>
  </si>
  <si>
    <t xml:space="preserve">3 năm gần đây,  răng e bị thưa như hình.Các chị đẹp cho e lời khuyên với ạ. </t>
  </si>
  <si>
    <t xml:space="preserve">#rang,răng </t>
  </si>
  <si>
    <t xml:space="preserve"> #ask #trimun #innisfree
Chào mọi người, em 16 tuổi, da em là dan dầu mụn và đây là tình hình da của em hiện tại ạ. Ban đầu da của em cũng có một ít mụn ở hai bên má nhưng chủ yếu là ở trán ạ. Thế nhưng sau khi dùng sửa rửa mặt Innisfree Bija trouble facial foam thì ở cằm và hai bên má em bây giờ nổi lên rất nhiều mụn. Cho em hỏi là sửa rửa mặt này có đẩy mụn ẩn hay không ạ? Hay là em bị dị ứng ạ? Em có nên tiếp tục dùng sửa rửa mặt này hay không ạ?
Anh chị cho em hỏi là skincare của em như thế này có vấn đề gì không ạ? 
Đây là những thứ em dùng ạ: 
Tẩy trang L’oréal nắp xanh
Sửa rửa mặt Innisfree Bija trouble facial foam
Bioderma Sebium Pore Refiner
Innisfree Super Volcanic Pore Clay Mask 2X 
Gel Chống Nắng Senka</t>
  </si>
  <si>
    <t>2019-06-03 10:31:12</t>
  </si>
  <si>
    <t>Bánh Đậu</t>
  </si>
  <si>
    <t>100026371038141</t>
  </si>
  <si>
    <t xml:space="preserve">#innisfree #trimun #ask  </t>
  </si>
  <si>
    <t>Ad duyệt bài em vs ạ.
Xin chào mn , em lên đây cần tư vấn loại trị thâm cho mình ạ
Da e thì loại hỗn hợp , phần mũi thì da dầu.
Mụn gần như đã hết nhưng để lại vết thâm rất nhiều 
Em cần mn tư vấn 1 loại trị thâm nhanh để kịp đón tết 
#helpme</t>
  </si>
  <si>
    <t>2019-12-25 12:23:29</t>
  </si>
  <si>
    <t>Hồng Duyên</t>
  </si>
  <si>
    <t>100024812440819</t>
  </si>
  <si>
    <t xml:space="preserve">#helpme </t>
  </si>
  <si>
    <t xml:space="preserve"> #góchỏihan #matnathaidoc
Mình thấy 2 cô dv này quảng cáo hay quá, xem là muốn mua liền nhưng dặn lòng lên đây hỏi đã :)) Vì da này đẹp do app đt hay 2 cô này làm gì mà đẹp vậy. Đã ai dùng loại này chưa ạ?? Tên là Detox blanc đó. Thanh you!</t>
  </si>
  <si>
    <t>2019-05-28 03:02:21</t>
  </si>
  <si>
    <t>Nguyễn Phương Linh</t>
  </si>
  <si>
    <t>100000999861599</t>
  </si>
  <si>
    <t xml:space="preserve">#matnathaidoc #góchỏihan  </t>
  </si>
  <si>
    <t>Mọi người có ai từng làm hồng nhũ hoa cho em xin ít review với được không ạ?
Nhũ hoa em nó cứ bị xỉn xỉn, mất hết cả tự tin ạ 😔</t>
  </si>
  <si>
    <t>2019-10-28 16:33:26</t>
  </si>
  <si>
    <t>Hoang Vy</t>
  </si>
  <si>
    <t>100034036672765</t>
  </si>
  <si>
    <t>Nhờ ad duyệt bài cho mình với ạ! Da mìh bị rỗ rỗ lúc nào mình không để ý đến khi nhìn lại thấy da đã bị rồi chắc phải đc 10 năm hồi đó mình từng bị thuỷ đậu nhưg luc bé cơ đến lớn thì cũg có bị mụn nhug k bị nhiều ! Mình lại lười dùng mỹ phẩm hay đắp mặt nạ lắm! Giờ da mình bị rỗ vs lỗ chân lông cug to và bị mụn ẩn mụn đầu đen ! Da mình thế này mn tư vấn cho mình làm gì để trị hết sẹo rỗ lõm ạ vs mụn đầu đen mụn ẩn ạ! Mình xin cảm ơn! Mình có nghe nói lăn kim hay phi kim gì đó thì không biết có được không? Nhìn da chán lắm mn ơi buồn lắm ! Da mình thì hình như k có dị ứng trước kia mình từng sài kem ốc sên tùng dùng qua thuốc bắc rượu thuốc nhưng rồi không kiên trì dùng xong mình bỏ! Giờ chỉ mong làm sao trị hết sẹo rỗ thôi!</t>
  </si>
  <si>
    <t>2019-12-10 04:07:29</t>
  </si>
  <si>
    <t>Vân Vân</t>
  </si>
  <si>
    <t>100004896036219</t>
  </si>
  <si>
    <t xml:space="preserve">
Trời lạnh nên da em khô bong tróc luôn mọi người ạ. Trong nhóm ai biết cách chăm da đỡ khô hoặc sp nào cấp ẩm dành cho da yếu và nhạy cảm  chỉ em với 😭</t>
  </si>
  <si>
    <t>2019-12-07 12:42:43</t>
  </si>
  <si>
    <t>Van Anh</t>
  </si>
  <si>
    <t>100015493082651</t>
  </si>
  <si>
    <t>#Help
Mọi người ơi cho em hỏi tý ạ
Mọi người có thể review son đỏ mà không phải base hồng được không ạ?
Đỏ tươi, đỏ lạnh, đỏ cam, đỏ cam đất (Em da ngăm ạ)
Em cảm ơn ạ, chứ base hồng thì tô được lúc nó lại hồng cánh sen, sợ lắm ạ!🙏
Ảnh chống trôi ạ</t>
  </si>
  <si>
    <t>2019-10-20 06:57:26</t>
  </si>
  <si>
    <t>Trần Thủy</t>
  </si>
  <si>
    <t>100003578355707</t>
  </si>
  <si>
    <t xml:space="preserve">#Help </t>
  </si>
  <si>
    <t>Anh chị nào rành check giúp em với.
Em được bạn tặng cây mac powder kiss lipstick này. Đồ mua của shop gì được chứng nhận trên lazada ấy ạ. Mà em tô lên cảm giác nó ngứa như kim đâm ấy, mùi lại nặng cực kỳ nữa. Hơn nữa lên màu không đều và cực kỳ xấu!!😣😣
Em đã gg và son có in chìm chữ mac. Nhưng vẫn chưa yên tâm lắm. Mong anh chị giúp em em cám ơn ạ.🙆‍♀️
#help</t>
  </si>
  <si>
    <t>2019-12-07 10:51:16</t>
  </si>
  <si>
    <t>Tiêu Bạch Kình</t>
  </si>
  <si>
    <t>100008225628005</t>
  </si>
  <si>
    <t>#skincare #gócchiasẻ
Sau mấy bài của chị em chia sẻ về tác dụng mướp đắng (hay còn gọi là khổ qua) thì mình quyết định bắt tay thử nghiệm... Đây là ảnh thật do mình chụp buổi sáng sớm sau khi rửa mặt. Thật không thể ngờ sau 3 ngày da mình nhìn sáng và nổi hết nhân mụn ẩn lên.. Công thức làm thì mình làm giống mấy chị em: Mướp đắng, sữa tươi + sữa chua (mình dùng sữa của mộc châu và cả 2 ko đường), mật ong, muối hạt xay lẫn rồi cho vào tủ đá. Cách dùng thì sáng sớm và đêm trước khi đi ngủ mỗi lần lấy 1 viên ra xoa đều khắp da mặt, đến khi đá tan thì mát xa thêm 2-3p cho khô lại. Có thể rửa lại bằng nước lã cho sạch hoặc để nguyên đi ngủ đến sáng hôm sau. Mình thì chọn cách đi ngủ luôn
Chúc các chị em thành cônggg ❤️❤️❤️</t>
  </si>
  <si>
    <t>2019-07-13 16:30:24</t>
  </si>
  <si>
    <t>Tuấnn Nuộtt</t>
  </si>
  <si>
    <t>100037817869431</t>
  </si>
  <si>
    <t xml:space="preserve">#gócchiasẻ #skincare </t>
  </si>
  <si>
    <t>#Cushion#kemchongnang#
Da hh thiên khô dùng cushion nào tốt hả mn ??? Da t chỉ bị đổ dầu ở vùng chưa T và ngoài bị thâm mụn vs quầng thâm mắt ra hầu như ko có khuyết điểm nào khác , chỉ là do tính chất công vc vs lười nên t muốn tìm 1 loại cushion nào đó che đc luôn cái quầng thâm gấu trúc của t mà đỡ phải tốn tg  dùng thêm che khuyết điểm =))) T có tham khảo đc 2 loại của Laneige với Missha mà chưa biết ntn ???? 
-Tiện đây vì thấy loại kcn t đang dùng bị khô da nên t cũng xin mn rv loại kem chống nắng phù hợp với da hh thiên khô của t luôn ❤❤❤</t>
  </si>
  <si>
    <t>2019-06-06 12:21:36</t>
  </si>
  <si>
    <t>Không Tên</t>
  </si>
  <si>
    <t>100037627513248</t>
  </si>
  <si>
    <t xml:space="preserve">#kemchongnang #Cushion  </t>
  </si>
  <si>
    <t>NO</t>
  </si>
  <si>
    <t xml:space="preserve">
DA CHẢO DẦU, MỤN LI TI 
xin chào các chị thông thái.  Da em siêu dầu luôn ạ , nhìn cái tóc mái là mọi người biết rồi ạ , em mới gội sáng mà tối đã như này rồi
Da em không bị mụn nhưng lcl to và đặc biệt là bị sần sùi như trong ảnh ạ , sờ vào cũng thấy sần sùi luôn ấy ạ 
Các chị cho em hỏi em nên dùng cái gì để trị đây chứ bản thân bất lực thật rồi , em bị như thế gần 1 năm rồi ạ 
Mắt em thì thâm không cứu được nữa
EM NÓI KHÔNG VỚI KEM TRỘN.  MẤY CHỊ KEM TRỘN THA CHO EM  🙏🙏🙏</t>
  </si>
  <si>
    <t>2019-11-29 13:58:22</t>
  </si>
  <si>
    <t>Trần Thị Thu Hương</t>
  </si>
  <si>
    <t>100006354690870</t>
  </si>
  <si>
    <t>Hiện tại da em là da dầu nhờn hay nhiều mụn ẩn với lại em bị hình như gọi là đồi mồi 2 bên má . Mọi người có ai biết dùng gì cho ht mụn ẩn do da dầu  vs lại điều trị hay dùng cái gì nó hêtd 2 bên má không ạ. Chỉ em đi mọi người ơi huhu 😔</t>
  </si>
  <si>
    <t>2019-11-21 05:39:26</t>
  </si>
  <si>
    <t>Trần Thị Mỹ Thương</t>
  </si>
  <si>
    <t>100012146493289</t>
  </si>
  <si>
    <t>M.n cho e hỏi mặt  vây để tóc gì hợp  và trẻ ak  . tóc ngắn hay tóc dài đc ạ 
Em sn 93</t>
  </si>
  <si>
    <t>2019-12-25 04:12:57</t>
  </si>
  <si>
    <t>Nhân Hậu Trịnh</t>
  </si>
  <si>
    <t>100035407254308</t>
  </si>
  <si>
    <t>Xin chào mn,
Em vào nhóm cũng được một thời gian rồi ạ, em thấy mn tronh group chia sẻ rất nhiệt tình về các cách skincare và làm đẹp nói chung, e có dùng theo thì thấy rất thích! 
Nhưng em chưa thấy một bài post nào về review đồ dưỡng chống lão hoá cả. Đa phần thì khi 25t trở lên, chúng ta nên bắt đầu bước chống lão hoá rồi.
Cơ mà em chưa biết nên dùng loại nào và bắt đầu các bước cơ bản ra sao cả. Em có nghe nói của Dior dùng rất tốt, nhưng e muốn được nghe review kĩ càng hơn.
Ai đã và đang dùng các loại sản phẩm gì chống lão hoá có thể cho e xin tên sản phẩm và review được không ạ?! Người thật việc thật em cảm thấy yên tâm hơn là xem quảng cáo của các vlogger và các bài chạy bán hàng ạ. 
Em cảm ơn mn nhiều ạ. 💚
E để ảnh vậy thôi chứ k liên quan gì đâu ạ. 😅</t>
  </si>
  <si>
    <t>2019-10-31 12:22:19</t>
  </si>
  <si>
    <t>Nhi Tran</t>
  </si>
  <si>
    <t>100002759148669</t>
  </si>
  <si>
    <t>Anh chị ơi da em đen nhẻm luôn á - em muốn mua các loại makup dành cho body ạ ...
Em sắp đi đám cưới rồi mà da đen như cục đất ấy ạ ...
Em mong anh chị review giùm em nha 
Em cảm ơn ạ</t>
  </si>
  <si>
    <t>2019-12-23 12:21:57</t>
  </si>
  <si>
    <t>Thữa Huân</t>
  </si>
  <si>
    <t>100043094401360</t>
  </si>
  <si>
    <t>Làm không lo làm chỉ chăm chăm sài nick ảo spam dụ dỗ khách kém sang thì chỉ có ăn cức ăn đầu b**</t>
  </si>
  <si>
    <t>2019-12-10 11:44:54</t>
  </si>
  <si>
    <t>#ThịMuối #makeup 
Hê lổ~~, it's me, do u remember meee~~~
Muối đã quay lại với make up tone cam mà rất nhiều bạn yêu cầu. Ko biết có ưng mắt các bạn ko? 
* Sản phẩm:
- Kem lót L.A girl Pro prep HD smoothing face primer. 
- Kem nền Maybelline Fit me matte &amp; poreless màu 128.
- Che khuyết điểm Maybelline Instant age rewind 140.
- Khối và má hồng Benefit Cheek parade màu Hoola và Galifornia. 
- Highlight BH cosmetics Duolight highlight pallette màu Top it off. 
- Kẻ mày Innisfree Auto eyebrow pencil màu 02.
- Bảng phấn mắt Menglang Cagelling Erinneyes các màu Nightingale (nude da), Spoonbill (cam nâu) và Canary (vàng sẫm).
- Liner VDIVOV Eyecut brush liner. 
- Bấm mi The face shop. 
- Mascara Maybelline Lash sensational. 
- Mi giả Luu's mã 3D</t>
  </si>
  <si>
    <t>2019-08-06 02:46:13</t>
  </si>
  <si>
    <t>Thị Muối</t>
  </si>
  <si>
    <t>100022937588645</t>
  </si>
  <si>
    <t xml:space="preserve">#makeup #ThịMuối </t>
  </si>
  <si>
    <t>Trong này chắc có nhiều chị vẫn đâu đầu về cân nặng như em 
19t nhưng chưa bh đạt đến mốc 39kg toàn 37kg -1m55 
Giờ em muốn các c tư vấn bộ môn thể hình tập nhẹ nhàng mà tăng cân không ah
Tại cơ thể của em cũng hay ốm yếu nên việc lên cân rất là khó mà em lại đến giờ cơm cảm giác không muốn ăn nhiều 😭😭😭
Do cách chụp nên nhìn cao vậy thôi
Mong ad duyệt bài ah 😞</t>
  </si>
  <si>
    <t>2019-11-24 10:19:23</t>
  </si>
  <si>
    <t>Quỳnh Nguyễn</t>
  </si>
  <si>
    <t>100007162089653</t>
  </si>
  <si>
    <t xml:space="preserve">
Em muốn xin mọi người tư vấn cho em 1 số sản phẩm make up cơ bản với ạ.
27 mùa khoai rồi nhưng em chỉ có mỗi 1 hộp phấn nước và thỏi son thôi ạ. Tiệc tùng e toàn ra tiệm, đi làm em cũng k trang điểm, chỉ tô mỗi son thôi.
Em muốn sắm những thứ cơ bản, không cầu kỳ quá đâu ạ, nên mọi người giới thiệu e 1 vài sản phẩm cần mua với nhé.
Em cảm ơn ạ.</t>
  </si>
  <si>
    <t>2019-11-26 06:45:30</t>
  </si>
  <si>
    <t>Đỗ Uyên</t>
  </si>
  <si>
    <t>100041866569596</t>
  </si>
  <si>
    <t>Mụn đi là thâm nó đến vs em mn ạ
Tình trạng thâm của e không dừng tại một hai cái mà nó nhiều cực luôn í😭😭
 Ai đó đi qua thì giúp e cách trị vs ạ!!!
(Các sản phẩm lành tính giá hạt dẻ ạ)</t>
  </si>
  <si>
    <t>2019-12-03 15:28:49</t>
  </si>
  <si>
    <t>Hoàng Mỹ Hảo</t>
  </si>
  <si>
    <t>100035818396270</t>
  </si>
  <si>
    <t>Mọi người ơi cho e hỏi vấn đề này với ạ. Ko hiểu sao e chụp hình cam sau mặt cứ bị lệch lệch đi ấy ạ 😞 phải xoay ảnh lại nhìn mới giống lúc mình soi gương. Cho e hỏi là nhìn 2 tấm em có khác và lệch lắm không hay là do em ko quen nhìn ấy nhỉ? Nhìn lệch khủng khiếp mà đưa ai xem cũng bảo bt :((
#mặt_lệch
Em cảm ơn ạaa ☺️</t>
  </si>
  <si>
    <t>2019-12-23 03:38:45</t>
  </si>
  <si>
    <t>Hồ Út Nhàn</t>
  </si>
  <si>
    <t>100010528691299</t>
  </si>
  <si>
    <t xml:space="preserve">#mặt_lệch </t>
  </si>
  <si>
    <t>#help
Mong ad duyệt bài giúp em với ạ 
Em mới mua được chai tẩy trang bioderma này mà thấy packaging lạ quá, lên mạng check thì không thấy mẫu này :((( em mới dùng đc 2 ngày mà thấy lên mụn kích ứng nhiều quá nên nghi fake. Cả nhà check giúp em với đây là auth hay fake ạ. Em cảm ơn ạ</t>
  </si>
  <si>
    <t>2019-11-07 11:33:26</t>
  </si>
  <si>
    <t>Thu Tra</t>
  </si>
  <si>
    <t>100009172071249</t>
  </si>
  <si>
    <t>Ở đây có ai điều trị thâm môi bằng công nghệ lazer hoặc phun môi chưa ạ? 
Giúp mình với. Có đau hoặc sưng không ?</t>
  </si>
  <si>
    <t>2019-12-01 12:18:51</t>
  </si>
  <si>
    <t>Smart Chanh</t>
  </si>
  <si>
    <t>100003701278701</t>
  </si>
  <si>
    <t>Mn ơi giúp e với, da e bị như này thì nên làm gì ạ, 
mn có thể tư vấn giúp e nên dùng sản phẩm gì k ạ. Đến spa lấy nhân mụn thì họ bảo phải đi nhiều lần nhưng e chỉ đi có 2 lần r 2 tuần nay e chưa đi tiếp, e có nên đi lấy nhân mụn tiếp k ạ , lấy nhân mụn xong thì mk nên dùng gì ạ . E cám ơn🤗</t>
  </si>
  <si>
    <t>2019-12-02 11:13:18</t>
  </si>
  <si>
    <t>Ci Ci</t>
  </si>
  <si>
    <t>100031312329894</t>
  </si>
  <si>
    <t>#đepchanhxa
#tuvanvetoc
Chuyện là lúc nhỏ em có 1 mái tóc thẳng mượt, đẹp lắm ạ. Nhưng không biết sao khi lên cấp 2 tóc em nó xoăn tít như trong  ảnh (người ta gọi là tóc rể tre), trông đầu em không khác gì bờm sư tử. Em còn đi học nên thấy tóc mấy bạn đẹp lắm cơ, đôi lúc em còn tự ti vì mái tóc :(( em có duỗi lúc hè nhưng 3-4 tháng sau tóc mới mọc ra và nó lại như cũ :( 1 năm em duỗi 2 lần. Nhưng càng duỗi tóc nó càng khô. K biết có ai trong hội tóc như em không và đã từ tóc rể tre thành tóc thẳng chưa ạ :( có dầu gội nào giúp tóc mềm và đỡ xù k ạ. Em cám ơn ạ</t>
  </si>
  <si>
    <t>2019-12-20 10:13:42</t>
  </si>
  <si>
    <t>Trương Hồng</t>
  </si>
  <si>
    <t>100038487720882</t>
  </si>
  <si>
    <t xml:space="preserve">#tuvanvetoc #đepchanhxa </t>
  </si>
  <si>
    <t>#Kemtriseo 
Núp lùm hơi lâu, nay em rảnh ngoi lên review cả nhà một số loại kem trị sẹo em đã và hay sài. Do cái tật hậu đậu, tay lái yếu mà em hay té xe vcl, ngừa hậu quả nên cũng mua kem trị sẹo về xài cho an tâm. Thật ra cơ địa em cũng khá tốt nữa 😚😚😚
1. Contractubex: Em k thích mùi của nó lắm, hơi hăng, em xài thì k thấy giảm thâm lắm. Không biết phải do ngày bôi lần không mà thấy k có mấy tác dụng
2. Skin curcumin: khuyên các bác k nên mua làm gì, xài chơi thì được hoặc chiên đồ ăn bị văng dầu thì bôi thôi, vì không có hiệu quả gì luôn
3. Hiruscar: Giá khoảng 190k thì phải, xài khá ổn, mùi dễ chịu, chăm thoa ngày 2 - 3 lần thì cũng mờ thâm đáng kể đấy ạ
4. Dermatix: Best luôn, cái đứa lười thoa như em mà phải công nhận tốt vcl 👆👆. Giảm thâm, giảm sẹo hẳn, nếu chăm xài thì mờ đi khá nhanh, một thời gian thì hầu như không còn thấy vết tích ấy. Giá hơi đắt tẹo nhưng xứng đáng ạ, mùi và chất kem cũng ok.
Nói lun bác nào bị bỏng bô, thì ngay lập tức bôi dầu mù u hoặc tuyp Levigatus nhanh lành và hạn chế bị rộp nhé, k thoa liền thì vết bỏng nổi bọng nước thì khó lành lắm ạ.
Noted: Khuyên dùng với sẹo mới hình thành hoặc dưới 1 năm thì có tác dụng hơn ạ. Sẹo lâu năm thì chắc phải chăm chỉ và cố gắng dữ lắm may ra cũng có tí tác dụng</t>
  </si>
  <si>
    <t>2019-03-30 15:10:20</t>
  </si>
  <si>
    <t>Lê Nguyệt</t>
  </si>
  <si>
    <t>100001811334397</t>
  </si>
  <si>
    <t xml:space="preserve"> #Kemtriseo </t>
  </si>
  <si>
    <t>#trangdabody
Em thắc mắc là các chị dùng gì mà da trắng thế nhỉ ? Share bí quyết đi các c ơi !</t>
  </si>
  <si>
    <t>2019-09-16 12:09:44</t>
  </si>
  <si>
    <t xml:space="preserve">#trangdabody </t>
  </si>
  <si>
    <t>#Help #Phánốtruồi
Mong ad duyệt bài giúp em ạ. Em cám ơn. Chuyện là hôm trước em mới đi đốt laser nốt ruồi trên mặt như trong hình. Lúc đốt Bác sĩ có nói, có vài nốt chân sâu nên phải đốt hơi nặng tay. Nhưng đúng là nặng tay thật, cái chỗ đốt xong nó thành lỗ to và rất rất sâu luôn ạ 😭. Từ hôm đốt về đến nay là ngày thứ 2 mà em stress cực kì. Bác sĩ chỉ cho 1 tuýp thuốc về, ngày bôi 2 lần sáng - tối vào chỗ đốt sau khi vệ sinh. Em chỉ sợ nó để lại sẹo sâu thôi ạ, vì cơ địa em dễ sẹo lắm 😞. Mọi người có ai từng đốt rồi có thể chỉ em cách chăm nốt ruồi sau khi đốt không ạ, hoặc biết thuốc gì bôi không để sẹo thì chỉ giúp em với, em cám ơn nhiều nhiều 😭</t>
  </si>
  <si>
    <t>2019-10-12 01:06:19</t>
  </si>
  <si>
    <t>Loan Phụng</t>
  </si>
  <si>
    <t>100029737837538</t>
  </si>
  <si>
    <t xml:space="preserve">#Phánốtruồi #Help </t>
  </si>
  <si>
    <t xml:space="preserve">
#taytrangbypha
#hangfake
Các chị mẹ phân biệt giúp em hai lọ này lọ nào real lọ nào fake với ạ.
Hai lọ khác nhau quá. Em check mạng ra mẫu 1 là thật, nhưng đứa dùng thử lọ 1 bảo lọ 1 xót. Nó hay dùng dòng này mà ko bị xót nt. :((( em hoang mang quá. Mùi lọ 1 nồng hơn lọ 2 và dính dính trên da nhiều hơn lọ 2. 
Mn cg cho em vài típ mua tẩy trang hàng real đi ạ huhu 😭</t>
  </si>
  <si>
    <t>2019-12-18 05:42:41</t>
  </si>
  <si>
    <t>Lan Hương</t>
  </si>
  <si>
    <t>100023331224053</t>
  </si>
  <si>
    <t xml:space="preserve">#hangfake #taytrangbypha </t>
  </si>
  <si>
    <t xml:space="preserve">#help
Mọi ng giúp e với ạ. Chuyện là thằng e trai e bị tai nạn có để lại sẹo. Mấy c thoing thái chỉ giúp e loại nào trị sẹo ok ạ. Để v tội e nó 😪😪😪
</t>
  </si>
  <si>
    <t>2019-11-22 10:13:58</t>
  </si>
  <si>
    <t>Tường Vy</t>
  </si>
  <si>
    <t>100005828286682</t>
  </si>
  <si>
    <t>#ask
#danmaomach #noimachmau
Trong hội mình có chị em nào bị nổi gân máu trên mặt như em không ạ, có cách nào chữa trị hoặc giảm bớt không ạ. Da mỏng rồi cứ nổi gân máu lên nhìn chán lắm, đôi lúc khá tự ti, em không xài nhiều mỹ phẩm, chỉ xài srm ponds ( edit thêm là srm ponds em chỉ mới xài tầm 2th đổ lại thui ạ, nghe mn bảo bào da cũng muốn đổi mà chưa tìm dc loại ưng ý thay thế 😭😭😭) và kem dưỡng( face tái sinh của CC WHITE) , vì da yếu nên cứ đổi sang loại khác là lên mụn ngay.</t>
  </si>
  <si>
    <t>2019-08-18 15:36:27</t>
  </si>
  <si>
    <t>Trần Hương</t>
  </si>
  <si>
    <t>100006345991294</t>
  </si>
  <si>
    <t xml:space="preserve">#noimachmau #danmaomach #ask </t>
  </si>
  <si>
    <t>#review 
Mọi người giúp em với. Em còn gái mà lỗ chân lông to như hố boom trên mặt như trong hình. Có cách nào cải thiện không ạ?
Em nghe nói 3 phương pháp: laser, peel với lăn kim có hiệu quả 80% không biết có ai làm chưa?
Cho em xin review với huhu :((((((((</t>
  </si>
  <si>
    <t>2019-08-29 04:36:27</t>
  </si>
  <si>
    <t>Nguyễn Ngọc Hân</t>
  </si>
  <si>
    <t>100002925502415</t>
  </si>
  <si>
    <t xml:space="preserve">#review </t>
  </si>
  <si>
    <t>#tuvan
Hôm nay em xin mn một vài tips phối đồ cho người cao 1m56,nặng tầm 47kg ( mà đùi hơi to ạ) ,phần gần vai em hơi bị gù chút xíu nên mặc đồ gì em cũng thấy xấu hết trơnnn á.Tiện đây mn cho em xin cách phối đồ vs quần baggy jean với ạ (bụng em hơi béo chút nên em hong mặc đc croptop hic 😢)
Mong ad duyệt bài giúp em.</t>
  </si>
  <si>
    <t>2019-11-26 15:30:13</t>
  </si>
  <si>
    <t>Đỗ Nguyễn Kim Ngân</t>
  </si>
  <si>
    <t>100011705359878</t>
  </si>
  <si>
    <t xml:space="preserve">#tuvan </t>
  </si>
  <si>
    <t>Mấy chị cho em hỏi da mặt chồng em bị thế này.
Đi thẩm mỹ hay có thuốc gì chữa được không ạ!
Cảm ơn ad duyệt bài!!</t>
  </si>
  <si>
    <t>2019-12-07 13:20:36</t>
  </si>
  <si>
    <t>Hilary Taku</t>
  </si>
  <si>
    <t>100008571579626</t>
  </si>
  <si>
    <t xml:space="preserve">
#Góchỏihan
Chị em mình có ai sài loại dưỡng da body này chưa cho e xin ít “ rì viuu “ với. 
Dành cả thanh xuân dưỡng da body mà ko trắng nỗi tết đến nơi rồi 😂</t>
  </si>
  <si>
    <t>2019-12-14 03:08:09</t>
  </si>
  <si>
    <t>Trần Thị Huệ Trinh</t>
  </si>
  <si>
    <t>100013482014112</t>
  </si>
  <si>
    <t xml:space="preserve">#Góchỏihan </t>
  </si>
  <si>
    <t>#ask
Mn ơi cứu da em với. ‼️‼️‼️‼️‼️‼️
Do em làm mũi nên uống nhìu kháng sinh giờ da em, đổ cực nhìu dầu, lên mụn vùng trán và cung quanh mặt và ngứa quá trời, tháo nẹp ra thì chỗ dán băng keo nó dị ứng đỏ lên và lỗ chân long vùng mũi to đùng lên. Em cần các sp hiệu quả để làm se khít lỗ chân long, chấm mụn, kiềm dầu, phục hồi da ạ. Từng loại sp nào có hiệu quả ạ.</t>
  </si>
  <si>
    <t>2019-11-21 10:58:44</t>
  </si>
  <si>
    <t>Lynh Tuyết</t>
  </si>
  <si>
    <t>100004309836760</t>
  </si>
  <si>
    <t>Mấy cao nhân cho em xin các loại kem chống nắng dành cho face and body với ạ ❤ da em da dầu ạ :(( tiêu chí ngon - bổ - rẻ nha mấy cao nhân ❤
 #ask</t>
  </si>
  <si>
    <t>2019-08-17 12:56:26</t>
  </si>
  <si>
    <t>100027684992605</t>
  </si>
  <si>
    <t xml:space="preserve">#ask  </t>
  </si>
  <si>
    <t>Chào mọi người ạ
Da em bị thâm do mụn, lỗ chân lông to chị em tư vấn giúp em dùng sản phẩm nào giúp da đều màu, với khít lỗ chân lông với ạ. 
Em cảm ơn.</t>
  </si>
  <si>
    <t>2019-12-13 05:07:31</t>
  </si>
  <si>
    <t>Út Lụa</t>
  </si>
  <si>
    <t>100012723824822</t>
  </si>
  <si>
    <t>Em xin vài tip đánh bay mấy bé mụn này với ạ! 
Cảm ơn ạ.
#Hoidap</t>
  </si>
  <si>
    <t>2019-11-24 14:02:48</t>
  </si>
  <si>
    <t>Lương Như Ngọc Trinh</t>
  </si>
  <si>
    <t>100030258440881</t>
  </si>
  <si>
    <t xml:space="preserve">#Hoidap </t>
  </si>
  <si>
    <t xml:space="preserve">
Xin chào các chị đẹp trong gr đẹp chanh sả lại là em đây hihi 😝 
Hôm nay em xin chia sẻ với các chị về cách phối đồ cho người lưng dài chân ngắn và bắp tay to như em ạ 😝 dạ em cũng k có giỏi hay khoe gì em chỉ muốn chia sẻ một chút về hiểu biết của em còn chị nào góp ý thì cmt cho em biết với ạ 😎
Lưng dài mặc gì : đối với em khuyết điểm lớn nhất của con gái là lưng dài tại nhìn trông k đ cân đối cho lắm nên các chị hãy chọn những áo hở bụng và cao một xí và mặc quần cạm cao ( dài ngắn tuỳ vào sở thích mỗi người ) mặc như thế sẽ giúp chân chị nhìn dài ra và lưng thu ngắn lại làm hài hoà và sexy hơn ạ ❤️ 
Vai đô mặc gì : đối với em vai đô thì e sẽ chia thành hai loại một là che hai là khoe hết 😝 che thì bằng cách mặc những áo tay phồng hoặc áo trễ vai sẽ làm nhìn trong nhỏ hơn đáng yêu hơn còn khoe theo xách của em là mặc áo yếm hoặc hai dây để cho nhìn tổng thể mình nhỏ lại là tay sẽ cũng nhỏ lại 😝 
Chân ngắn nên mang guốc sao : haha ai cũng mong muốn đ một cặp dò dài như siêu mẫu thì mọi người nên mang guốc đầu nhọn nhé tin em đi mang đầu nhọn sẽ làm cho chân mình cảm giác dài hơn và nhìn quyễn gũ nữa tha hồ dụ trai 😝 và nếu cá tính hơn nữa thì có thể mang guốc boots cao như em nhìn chân sẽ dài ra hẵn ấy ạ 😝
Em xin hết ạ hihi sắp tới em sẽ ra thêm nhiều video chia sẻ makeup mong đ admin duyệt để vui cùng xị em 😝😝❤️❤️❤️</t>
  </si>
  <si>
    <t>2019-10-13 00:07:36</t>
  </si>
  <si>
    <t>Trịnh Hiếu</t>
  </si>
  <si>
    <t>100007050046317</t>
  </si>
  <si>
    <t>Chào mấy chị, hôm nay em ngoi lên đây để complain về con mắt của em. Tuy em không bị cận nhưng lúc nào nó cũng dại dại như vầy, không biết sao luôn :(((. Mấy chị có thể cứu rỗi tâm hồn em được không
P/s: ảnh dưới là 2 con mắt của em. Mong ad duyệt :(((</t>
  </si>
  <si>
    <t>2019-12-23 16:11:29</t>
  </si>
  <si>
    <t>Bao Truc</t>
  </si>
  <si>
    <t>100028532513376</t>
  </si>
  <si>
    <t>#tangchieucao#tuoidaythi
Năm nay e 16 tuổi và cao tầm 1m55 đổ lại . Nay e tha thiết nhờ các ace trong gr chia sẻ những tip giúp tăng chiều cao tốt trong tuổi dậy thì ... Em thật sự muốn đc cao lên tầm 1m65 hơn vì tạng người em là tạng người xương to nên người lúc nào trông cũng bị thô và to mặc dù em cân nặng của em cũng vừa phải . Vì nhận thức đc độ tuổi của mình là đang trong và cũng sắp kết thúc vc phát triển chiều cao nên em chỉ muốn cố gắng hết sức mình để sau này ko bị hối tiếc vì mình đã ko nỗ lực hết sức . 
P/s : Bắt đầu 1 tháng đổ lại đây ngày nào em cũng uống vitamin D , trước có uống mà thỉnh thoảng mới uống vì hay quên . Đồng thời trước em cũng có uống thêm ống canxi calcium corb ière nhưng do thấy nhiều người bảo hại thận nên đã bỏ .</t>
  </si>
  <si>
    <t>2019-06-02 02:45:23</t>
  </si>
  <si>
    <t>Khả Hân</t>
  </si>
  <si>
    <t>100036183545598</t>
  </si>
  <si>
    <t xml:space="preserve">#tuoidaythi #tangchieucao </t>
  </si>
  <si>
    <t xml:space="preserve">Da mặt này khi có em bé lên nhiều mụn, xong em có đi da liễu khám thì uống thuốc cũng đỡ mà lâu lâu nổi ntn ạ???!  
Mn rw giúp em loại sữa rửa mặt hay serum nào tốt với ạ. Nào giờ chỉ dùng sữa rửa mặt nghệ chứ da em rất nhạy cảm 😭😭😭😭😭
</t>
  </si>
  <si>
    <t>2019-12-06 07:45:22</t>
  </si>
  <si>
    <t>Vy Nguyen</t>
  </si>
  <si>
    <t>100009574088537</t>
  </si>
  <si>
    <t>Em mới vô nhóm. Chỉ xin ce cứu vớt em cách trị thâm nách. Em bị cả do zona nữa cần 1 phương pháp trị dứt điểm đến hè diện đồ hở được</t>
  </si>
  <si>
    <t>2019-11-27 03:11:01</t>
  </si>
  <si>
    <t>Đặng Quỳnh</t>
  </si>
  <si>
    <t>100033317414179</t>
  </si>
  <si>
    <t>#mụn #hỏiđáp 
Mình hỏi giúp bà chị họ do bà chị mình hầu như ko dùng facebook ạ. Da chị mình là hỗn hợp dầu vùng chữ T, trước giờ chưa bao giờ bị mụn to và đỏ như hình mà chỉ bị nổi vài nốt mụn nhỏ mỗi khi tới tháng thôi. Không hiểu sao 2,3 tháng trở lại đây bà chị mình lại bị nổi mụn to như thế này, lỗ chân lông lúc trước cũng to nhưng từ khi bị nổi mụn thì càng to và rõ hơn, bị 1 bên mặt, còn bên kia bị nổi mụn đầu đen thì chị mình đã nặng nên giờ bị thâm. Vì là lần đầu bị nên chị mình cũng hoang mang không biết nên làm gì, chị mình có biết La roche posay (nghe bạn bè chỉ) nên đã mua 2 sp như hình về dùng được khoảng 1 tuần rồi vẫn chưa thấy bớt. 
Chị mình dùng dầu tẩy trang hadalabo, rửa mặt xanh La roche posay như hình, toner, xịt khoáng vichy, dou+, essence, cream. Toner, essence và cream chị mình dùng của Kose (ng thân đi Nhật mua về tặng) dùng cũng 1 năm rồi ko bị gì cả ạ.
Chị mình dùng 2 sp của La roche như vậy có đúng ko ạ? Mụn như chị mình có phải mụn nội tiết không ạ? Và làm cách nào để trị ạ? Cả việc thu nhỏ lỗ chân lông nữa ạ? 
Ad duyệt giúp mình để chị mình biết đường dưỡng da ăn Tết với ạ. Cám ơn ad ạ ❤️</t>
  </si>
  <si>
    <t>2019-12-20 22:14:15</t>
  </si>
  <si>
    <t>Yin Zin</t>
  </si>
  <si>
    <t>100007626963118</t>
  </si>
  <si>
    <t xml:space="preserve">#hỏiđáp #mụn </t>
  </si>
  <si>
    <t xml:space="preserve">
mọi người ơi cho em hỏi cách dưỡng lông mi với ạ. nhìn em như không có lông mi luôn ấy ạ :((((</t>
  </si>
  <si>
    <t>2019-08-06 08:47:32</t>
  </si>
  <si>
    <t>Lê Minh Ngọc</t>
  </si>
  <si>
    <t>100007217746521</t>
  </si>
  <si>
    <t>#mụn #trịmụn 
Em chào mọi người, em lên đây xin mn tư vấn hộ em cách giảm bớt tình trạng mụn của em ạ, em năm nay 15t, như trong hình thì tình trạng mụn của em khá nặng(mụn mủ, đầu đen, mụn cám, em từng bị mụn viêm thành chùm,...)
Em từng đi 2 bsi da liễu và tính tới giờ thì là bsi t3 nhưng tình trạng mụn của em vẫn không đỡ mấy khiến em stress vô cùng ạ, da em là da dầu, và hiện giờ ngoài đi bsi da liễu và thoa+uống thuốc của bác thì em chỉ dùng srm ạ
Mong các anh chị có nhiều kinh nghiệm chỉ giúp em, em nên dùng/làm gì để trị mụn ạ, hiện giờ em đang rất hoang mang, tự ti về gương mặt của mình ạ😩😥, em cảm ơn các ac ạ
Phía dưới là hình tình trạng mặt em, lúc này em có thoa kem của bsi nên hơi lầy ạ</t>
  </si>
  <si>
    <t>2019-10-14 11:48:43</t>
  </si>
  <si>
    <t>Pham Minh Anh</t>
  </si>
  <si>
    <t>100036735943611</t>
  </si>
  <si>
    <t xml:space="preserve">#trịmụn #mụn </t>
  </si>
  <si>
    <t>#help #ask #tưvấn
Da e hhtd, nhiều lcl &amp; nhờn ,mụn đầu đen và mụn ẩn nhiều ạ. Có cách nào thu nhỏ lỗ chân lông và trị hết mụn không ạ.</t>
  </si>
  <si>
    <t>2019-12-02 11:15:26</t>
  </si>
  <si>
    <t>Phạm Thị Lan</t>
  </si>
  <si>
    <t>100011338948147</t>
  </si>
  <si>
    <t xml:space="preserve">#tưvấn #ask #help </t>
  </si>
  <si>
    <t xml:space="preserve">Có aai tay bị như em chưa ạ, vào nhà thuốc thì bảo bị viêm da cũng có kê thuốc uống , e cũng ỉ i k quan tâm tới cứ nghĩ uống thuốc sẽ hết nên ra đường nắng cũng k mang bao tay  , đi làm thì mấy bà chị bảo nám rồi nên mua thuốc bôi , mọi người cho e xin tí thông tin với :((
</t>
  </si>
  <si>
    <t>2019-12-07 12:42:25</t>
  </si>
  <si>
    <t>Hyy Thar</t>
  </si>
  <si>
    <t>100023752351670</t>
  </si>
  <si>
    <t>#serumb5_ #danhaycam
Các ce trong hội ai dùng e này r cho e xin ít review ạ. Da e bị mụn nhiều e đã mua srm và duo+ của laroche về dùng mụn đã thuyên giảm còn thâm và 1 vài nốt mụn mới nên e tính mua e này về sài có đk ko ạ? Vì duo+ e bôi full mặt cho đẩy mụn nên da e giờ rất khô căng ạ, và nếu bôi e nên bôi trước hay sau duo+ chấm mụn ạ. Da e mỏng yếu,nhạy cảm lm ạ.Thanks mn 😍</t>
  </si>
  <si>
    <t>2019-11-04 07:16:27</t>
  </si>
  <si>
    <t>Hai Anh</t>
  </si>
  <si>
    <t>100041915681200</t>
  </si>
  <si>
    <t xml:space="preserve">#danhaycam #serumb5_ </t>
  </si>
  <si>
    <t xml:space="preserve">
#help 
mọi người có thể suggest cho e 1 vài bodymist hoặc nước hoa có mùi đào hoặc mùi ngọt ngọt như kẹo được không ạ 😭 
many thanks ah 🍑</t>
  </si>
  <si>
    <t>2019-03-10 15:50:03</t>
  </si>
  <si>
    <t>Thụcc Anhh</t>
  </si>
  <si>
    <t>100003035463798</t>
  </si>
  <si>
    <t>Em bị viêm da tiết bã 1 dạng của viêm da cơ địa. Hồi trv có dùng thuốc của nhà thuốc này xong được 1 thời gian lại tái lại. Bây giờ e chấp nhận sống chung với bệnh luôn. Nhưng a này thất đức lắm e đã nói nhiều lần xong khóa nick e lại. Giờ a lại lấy hình e để đăng bài bán thuốc nữa. 
Mong mọi người ai bị bệnh da liễu đừng cả tin vào trang này tiền mất tật mang ạ.</t>
  </si>
  <si>
    <t>2019-12-16 07:16:43</t>
  </si>
  <si>
    <t>Nguyễn Phương Thúy</t>
  </si>
  <si>
    <t>100003858856412</t>
  </si>
  <si>
    <t xml:space="preserve">
Em đang tìm mua máy triệt lông để làm sạch vùng bikini &amp; underarm. Em đang phân vân giữa:
* Braun pro 5
* Smoothskin gold
* Và Panasonic wh96 nội địa Nhật 
Anh chị nào trong group mình đã sử dụng qua các dòng trên rồi cho em xin ít review ạ.
Em đã đóng tiền cho spa trọn gói rồi cũng bỏ dỡ vì ko có tgian đi ra ngoài theo lịch hẹn; nên muốn mua máy tự làm ở nhà cho tiện. Máy Pana em hơi nghi ngại vì tia sáng chưa được FDA chứng nhận an toàn. Smoothskin được ở cái giá tốt nhất 😁😁 ko được đánh giá cao bằng Braun &amp; cũng ko có đầu nhỏ thay vào để phù hợp cho những vùng da nhỏ hơn, em nghe nói hơi đau cho bạn nào da nhạy cảm hic... Braun là em thấy hoàn hảo nhất thì giá gấp rưỡi các máy khác, có cần cố với braun lun ko ạ? 
Mong các anh chị chia sẽ kinh nghiệm giúp em 🥰</t>
  </si>
  <si>
    <t>2019-10-28 11:17:43</t>
  </si>
  <si>
    <t>Oanh Tran</t>
  </si>
  <si>
    <t>100000728804717</t>
  </si>
  <si>
    <t>#Đẹp_chanh_sả
Mọi người cho em xin review về dòng kcn này với ạ. Da e thuộc loại da dầu nhạy cảm, dễ nổi mụn. Mong ad duyệt bài, em cảm ơn.</t>
  </si>
  <si>
    <t>2019-11-17 07:52:07</t>
  </si>
  <si>
    <t>Trang Bui</t>
  </si>
  <si>
    <t>100011970018074</t>
  </si>
  <si>
    <t xml:space="preserve">#Đẹp_chanh_sả </t>
  </si>
  <si>
    <t>Mấy chị cho e hỏi mắt e bị thâm như này có hết không? 
Em đi đốt mỡ mắt mà họ bảo 15 -30 het thâm h đã hơn 1 thang r chưa hết.  Tết nay e đám hỏi nữa.  Ai bjk cách chỉ e với.  E stress quá.</t>
  </si>
  <si>
    <t>2019-12-08 11:44:25</t>
  </si>
  <si>
    <t>Trần Thu Nhi</t>
  </si>
  <si>
    <t>100001615996453</t>
  </si>
  <si>
    <t>#skincare
Mọi người tư vấn cho da mình với ạ. Da mk dạo này nổi khá nhiều mụn, mk có tự nặn và để lại nhiều vết thâm. Da mk da dầu mụn ạ. Cảm ơn mọi người 💓</t>
  </si>
  <si>
    <t>2019-12-16 05:57:22</t>
  </si>
  <si>
    <t>Mỹ Như</t>
  </si>
  <si>
    <t>100009190764766</t>
  </si>
  <si>
    <t xml:space="preserve">#skincare </t>
  </si>
  <si>
    <t xml:space="preserve">
#help #trịmụn #trịthâm
GÓC XIN TIP TRỊ THÂM NGAY KHI ĐANG CÓ MỤN (KHÔNG THỂ HẾT SẠCH MỤN ĐƯỢC) VÀ NGĂN MỤN QUAY TRỞ LẠI.
Em chào tất cả các anh chị đẹp. Các anh chị cho em xin một số sản phẩm có thể trị thâm mà dùng được khi đang có mụn và ngăn mụn quay trở lại không ạ? Mặt em đang bung bét hết lên luôn cả thâm, mụn. Mỗi lúc kiểu như sắp hết mụn rồi để dùng trị thâm thì hôm sau y rằng mụn lại lên cả tấn luôn. Mụn thì em dùng dou+ ok rồi ạ nhưng mà dùng dou+ xẹp mụn lại để lại vết thâm (LOL). Nó kiểu cứ tái đi tái lại luôn ý. Em cảm ơn anh chị ạ.
Review một chút về dou+: em dùng thấy khá là hợp. Mụn nhỏ thì nhanh xẹp còn mụn siêu to khổng lồ thì mất mấy ngày liền. Không châm chích gì mấy đâu ạ, cũng không khô da. Nhưng khi mụn biến mất thì lại thâm ((
Phía dưới là sương sương bản mặt của em =.=</t>
  </si>
  <si>
    <t>2019-08-08 12:00:55</t>
  </si>
  <si>
    <t>하리</t>
  </si>
  <si>
    <t>100034705415049</t>
  </si>
  <si>
    <t xml:space="preserve">#trịthâm #trịmụn #help </t>
  </si>
  <si>
    <t>Có tbg nào dùng ok không mọi ng . Trắng da trị thâm căng da thôi ạ . Gần tết rồi nên e muốn dưỡng lại tí . E cũng dùng qua nhìu loại mà k ưng ce có loại nào ok cho e xin rv với xem da với . Da e cũng type nhạy cảm tí</t>
  </si>
  <si>
    <t>2019-12-02 13:33:41</t>
  </si>
  <si>
    <t>An Bé</t>
  </si>
  <si>
    <t>100003671925556</t>
  </si>
  <si>
    <t>#tipschiasekinhnghiem
Các chị e chia sẻ cách dưỡng da cũng như loại kem dưỡng thể body của mấy c đi ạ. E muốn tham khảo về tips dưỡng trắng da ạ. E cảm ơn. Đừng bơ e hihi &lt;3</t>
  </si>
  <si>
    <t>2019-11-28 11:12:51</t>
  </si>
  <si>
    <t>Duyên Phạm</t>
  </si>
  <si>
    <t>100011317216884</t>
  </si>
  <si>
    <t xml:space="preserve">#tipschiasekinhnghiem </t>
  </si>
  <si>
    <t>Hi mọi ng có ai trải qua cho e hỏi được k ạ ? E k biết e bị gì mà lúc mới lên thì nó ửng đỏ ngưa bây giờ thì tím lại k rõ nguyên nhân ! E chỉ mong  coa thể chữa hết vì e mua hè e thích mặc quần đùi mà bị như vậy thì giờ không biết chữa làm sao ??</t>
  </si>
  <si>
    <t>2019-12-19 05:15:41</t>
  </si>
  <si>
    <t>Phương Linh</t>
  </si>
  <si>
    <t>100003653844546</t>
  </si>
  <si>
    <t>Mọi người cho e hỏi.em bị sẹo bỏng bô ở chân(2 chân ) luôn.ảnh bên dưới . ở ngoài nhìn dị hơn.mà k biết sài kem gì cho hết sẹo bây h nhỉ?? Các chị có cao kiến gì chỉ giúp e với</t>
  </si>
  <si>
    <t>2019-11-11 12:37:45</t>
  </si>
  <si>
    <t>Mai Myt</t>
  </si>
  <si>
    <t>100007440993761</t>
  </si>
  <si>
    <t>Cho E hỏi. Mấy đầu khơp ngón tay tại sao nó cứ thâm đen. Nhìn cứ dơ dơ. E k biết lí do tại sao luôn. Mong mn có cách nào làm giảm thâm khớp ngón tay k ạ. Chỉ mình với 😭😭</t>
  </si>
  <si>
    <t>2019-12-18 13:44:08</t>
  </si>
  <si>
    <t>Penaldo Ho</t>
  </si>
  <si>
    <t>100031596904272</t>
  </si>
  <si>
    <t>Mong ad duyệt ạ.
Hiện tại em bị tụt nướu.. Mấy hôm đầu thì em thấy nó sưng lên mấy hôm sau có máu và bị tụt như hình ạ.. Ai có cách gì chỉ em phục hồi lại nướu hoặc ngăn tụt nướu lại được không ạ</t>
  </si>
  <si>
    <t>2019-12-19 10:34:01</t>
  </si>
  <si>
    <t>Hoàng Tuấn</t>
  </si>
  <si>
    <t>100021687523048</t>
  </si>
  <si>
    <t>Da em là da hỗn hợp bị nổi mụn liti, mụn ẩn và lcl to nên dùng sản phẩm nào đây ạ? 
Mong add duyệt bài</t>
  </si>
  <si>
    <t>2019-12-11 13:10:34</t>
  </si>
  <si>
    <t>Long Tỷ Tỷ</t>
  </si>
  <si>
    <t>100014163588947</t>
  </si>
  <si>
    <t>#goctuvan #trimun 
Chào mọi người em 18 tuổi. Hôm kia em đọc được 1 bài viết nói uống nước ép rau diếp cá rất tốt. Trị mụn hiệu quả. 
Mặt em cũng đã bị mụn từ lớp 6 tới nay có đỡ hơn nhưng hiện giờ vẫn còn thâm, mụn ẩn, mụn đầu trắng, và rải rác mụn sưng đỏ ở trán, da dầu. 
Nên em định uống rau diếp cá nhưng có nghe nói uống sẽ bị giảm cân.
Em hiện tại 1m60 40kg. Đang rất gầy. :( Muốn tăng cân nhưng ăn mãi không lên cân nào. 
Có ai cho em lời khuyên không ạ có nên uống rau diếp cá để trị mụn hay đợi tăng cân rồi mới uống??</t>
  </si>
  <si>
    <t>2019-04-13 08:21:41</t>
  </si>
  <si>
    <t>Liên Hương</t>
  </si>
  <si>
    <t>100029227987489</t>
  </si>
  <si>
    <t xml:space="preserve">#trimun #goctuvan </t>
  </si>
  <si>
    <t xml:space="preserve">
#ask #kemthậthaykemtrộn?
Các chị ơi cho em hỏi với ạ. Mẹ em hôm trước mua lọ kem dưỡng da mặt này tên là YHL, mà em nghi ngờ là kem trộn quá nhưng nói mẹ em không tin.
Tên mỹ phẩm là YHL, các chị xem giúp em xem đây có phải kem trộn không ạ?
Em cảm ơn nhiều ạ! ❤️</t>
  </si>
  <si>
    <t>2019-05-10 03:07:11</t>
  </si>
  <si>
    <t>Trần Thanh Hà</t>
  </si>
  <si>
    <t>100002810479250</t>
  </si>
  <si>
    <t xml:space="preserve">#kemthậthaykemtrộn #ask </t>
  </si>
  <si>
    <t xml:space="preserve"> #Munboc
Mn cho em xin tips trị mụn bọc mới mọc với ạ. Em bị mụn bọc ở mũi 2 hôm rồi, mũi sưng lên như quả cà chua luôn ạ 😔</t>
  </si>
  <si>
    <t>2019-12-23 11:02:27</t>
  </si>
  <si>
    <t>Tuyết Diễm Phạm</t>
  </si>
  <si>
    <t>100036501413644</t>
  </si>
  <si>
    <t xml:space="preserve">#Munboc  </t>
  </si>
  <si>
    <t>E bị ngã xe khâu 6 mũi, mn cho e hỏi sau khi rút chỉ nên dùng thuốc trị sẹo nào thì hiệu quả ạ
Mong ad duyệt bài giúp e với ạ</t>
  </si>
  <si>
    <t>2019-12-04 23:39:42</t>
  </si>
  <si>
    <t>Mộc Mộc</t>
  </si>
  <si>
    <t>100024733865909</t>
  </si>
  <si>
    <t>Mấy c ơi,bôi gì cho mờ vết dạn do bầu bí ạ,em sắp sinh rồi mà bụng dạn quá trời,thấy mn bảo lúc mới sinh trị luôn thì dễ mờ mà e chưa biết dùng gì?mn biết bày e với ạ ? 
Tiện cho e hỏi sau sinh bao nhiêu lâu thì dùng đc rượu gừng nghệ,vag nịt bụng đc ạ,hay dùng sp gì cho bụng săn chắc lại đc
 Em cảm ơn ạ</t>
  </si>
  <si>
    <t>2019-12-22 09:38:41</t>
  </si>
  <si>
    <t>Đỗ Thuỵ Hậu</t>
  </si>
  <si>
    <t>100009677438664</t>
  </si>
  <si>
    <t xml:space="preserve">
#Giảiđáp
Da mình da dầu, trước đây mũi hay mọc mụn bọc to đùng giờ lúc nào mũi cũng đỏ chẳng tự tin chút nào.
Do tìm hiểu không kỹ 1 lần chót dại nghe th đẹp trai bán rượu thuốc cùng với niềm khao khát khỏi được mụn. Mình dính rượu thuốc bôi được 18 ngày sáng mắt ra thì đã dừng được 4 ngày,nhưng da đang bong rồi😭
Giờ hoang mang quá, có bạn nào có kinh nghiệm chỉ cho mình giờ nên dùng sản phẩn skincare nào tiếp hay là đợi da đỡ đỏ và bong thì nên tiếp tục dùng. Mình mua timeless B5 và AHA BHA PHA 30 days mircale cream phục hồi kb có ổn k.</t>
  </si>
  <si>
    <t>2019-11-21 05:32:51</t>
  </si>
  <si>
    <t>Thanh Tuyền</t>
  </si>
  <si>
    <t>100008438862963</t>
  </si>
  <si>
    <t xml:space="preserve">#Giảiđáp </t>
  </si>
  <si>
    <t>Mọi người ơi mình bị khô ở da tay"bị chàm" nhưng bây giờ thì đang dưỡng da mụn nên tay mình phải thật sạch sẽ k gây vi khuẩn cho khuôn mặt mn ai có biết loại nước rửa tay nào dịu nhẹ k chất tẩy rửa quá cao k ạ ai biết chỉ giúp em với ạ
Cảm ơn tất cả mọi người ❤❤❤
#nuocruataydiunhe #nuocruatay 
Mong ad duyệt cho em với ạ ❤❤</t>
  </si>
  <si>
    <t>2019-12-13 05:10:19</t>
  </si>
  <si>
    <t>An Naii</t>
  </si>
  <si>
    <t>100009008968728</t>
  </si>
  <si>
    <t xml:space="preserve">#nuocruatay #nuocruataydiunhe </t>
  </si>
  <si>
    <t xml:space="preserve">
#gochoidap
M.n ơi ai sử dụng loại này chưa ạ cho e xin review với hic , có trị thâm mụn với tàn nhang như quảng cáo k ạ 😍</t>
  </si>
  <si>
    <t>2019-11-24 10:19:38</t>
  </si>
  <si>
    <t>Huỳnh Thị Kim Phượng</t>
  </si>
  <si>
    <t>100022662862979</t>
  </si>
  <si>
    <t xml:space="preserve">#gochoidap </t>
  </si>
  <si>
    <t>Hôm nay m muốn chia sẻ 1 loại kem trị thâm mắt mà một con gấu trúc như mình thâm mắt do cơ địa và bọng mắt to, suốt mười mấy năm đã đắp và kinh qua nhiều loại tự nhiên có kem dưỡng cao cấp có, uống thuốc hay massage đều đủ cả mà vẫn ko hết đc. Ngủ đủ cũng thâm mà mất ngủ thì ôi khỏi bàn, đi đâu ai cũng rủa nhiều lúc nghe mà mệt luôn i. Và chân ái mà mình đã tìm ra cách trị bớt thâm bọng và vết chân chim đó là kem mắt của RoC có chứa Retinol ( chắc nhiều người biết Retinol là gì còn ai chưa biết thì gg nhé). Mình dùng Retinol chủ yếu để trị vết chân chim vì mình cũng bị do yếu tố di truyền một lần cười là 2 bên mắt gập lại y như 2 cánh quạt í và nay mình kiên trì dùng được hơn 1 năm tất cả các vấn đề trên đều đc cải thiện đáng kể. Để thấy đc tác dụng của Retinol thì các bạn phải kiên trì dùng từ 1 tới 2 năm nhé
Lục lại ảnh cũ khó khăn lắm mới tìm đc tấm chụp bằng máy ảnh chưa qua chỉnh sửa, ko dùng kem che khuyết điểm ạ, để thấy độ thâm và quầng đen của mình năm 2017, tấm thứ 2 thì dùng app nhưng cũng ko che nổi 2 mắt thâm và quầng sâu như 2 cái chén của mình và pic 3 là vừa chụp dù dạo này mình mất ngủ đã 3 tháng nay rồi vừa mua saffaron để uống hy vọng hiệu quả 🥺, đối với mình thì kết quả này đã tốt lắm rồi í. Chúc các thánh gấu trúc   sớm trị đc hiệu quả nhé☺️🙏
Nhiều b hỏi nên mình xin edit chút về chỗ mua là mình mua ở Mỹ còn ở VN các bạn có thể tìm trên shopee chịu khó tìm hiểu các shop uy tín rồi mua nhé chứ mình ko giúp đc gì 🥺 giá tầm 400-450k ạ</t>
  </si>
  <si>
    <t>2019-11-06 05:46:40</t>
  </si>
  <si>
    <t>Rainy Song Yen</t>
  </si>
  <si>
    <t>100002199744483</t>
  </si>
  <si>
    <t>#xinloikhuyen
Dear các chế,
Chuyện là em có mua chai sữa rửa mặt la roche posay trên lazada mall của hãng (nên chắc ko phải fake) sau khi thấy tỉ review khen dùng mịn sạch các kiểu đà điểu. Thế nào mà dùng cái này xong da em cứ bị sần sần ý, kiểu nhìn qua vẫn mịn màng như nàng công túa, sờ vào mới thấy sần sùi thô ráp. Em đoán bị kích ứng nên đã ngưng dùng và chăm sờ kin ce hơn phục hồi da. Lại đọc được anh cá vàng rì viu hay quá nên da vừa ổn lại thì em bấm bụng múc luôn em kem dưỡng paula's choice clinical ceramide trên shop của hãng ở lotte (nên chắc cũng không phải fake) để bồi bổ cho làn da vừa vỡ vụn vì những tổn thương. Tđn mà dùng em này cái da em lại sần sùi y như cái srm kia. 
Chuyện của em thì hơi dài nhưng có chế nào biết lý do vì sao thì cho em xin nhời giải thích để em còn điều chỉnh kin ce và tránh mua các sản phẩm khác gây ra hiện tượng trên trong future ạ. 
Em cảm ơn các chế
Nhân tiện chế nào dùng hợp hai em trên thì múc lại hộ em chứ em tuyệt vọng vl rồi 😭</t>
  </si>
  <si>
    <t>2019-06-08 13:07:56</t>
  </si>
  <si>
    <t>Nguyễn Minh</t>
  </si>
  <si>
    <t>100001370706434</t>
  </si>
  <si>
    <t xml:space="preserve">#xinloikhuyen </t>
  </si>
  <si>
    <t>#ask. 
Chào mọi người. 
Tóc em  cứ  vuốt nhẹ lại thế này.?  Ko dám chải đầu luôn mn ơi, Vừa khô vừa rụng.😓  
Ai biết loại j trị rụng tóc ko chỉ em với.😭
#help me</t>
  </si>
  <si>
    <t>2019-12-19 14:01:43</t>
  </si>
  <si>
    <t>Võ Sương</t>
  </si>
  <si>
    <t>100005613541680</t>
  </si>
  <si>
    <t xml:space="preserve">#help #ask </t>
  </si>
  <si>
    <t>Em đang đau đầu với những em mụn đầu đen này mấy chị ạ 🥺 Mọi người có sd máy rửa mặt nào tốt cho em xin ít Rw đi ạ 😭😭 Em cảm ơn</t>
  </si>
  <si>
    <t>2019-12-19 15:11:02</t>
  </si>
  <si>
    <t>Cẩmm Ly</t>
  </si>
  <si>
    <t>100035461653512</t>
  </si>
  <si>
    <t>Em chỉ đăng lên kinh nghiệm trị mụn của mình thôi mấy chị nào cần thì cũng có thể tham khảo ạ
Da em từ khi bị dị ứng với nước máy khi chuyển trọ mới ( do trước giờ em ở nhà với ở trọ cũ toàn sử dụng nước giếng) nên em bị lên mụn như hình trên đã đi spa nặn mụn các kiểu nhưng vẫn bị và càng ngày càng thâm hơn sử dụng mĩ phẩm cũng vậy
Xong em bỏ hết tất cả mĩ phẩm chỉ sử dụng sửa rửa mặt chery của hàn mỗi sáng + tối em rửa với nước muối ấm( muối biển nấu sôi để ngụi nha) 
1 tuần em xông mặt bằng chanh+ muối + xả 3 lần
1 tuần đắp mặt vitamin C 3 lần( đây em dùng 20p trước tối khi đi ngủ)
và đắp sữa chua với nghệ + mật ong 2 lần trên tuần( sau khi xông mặt xong có thể đắp mặt nạ này luôn ạ)
em kiên trì trong 3 tháng thì da được như vầy trong khi em bị mụn cũng gần 1 năm đổ lại đây ạ
dù còn hơi bị thâm nhỏ nhỏ mờ nhưng k rõ lắm</t>
  </si>
  <si>
    <t>2019-12-04 12:39:54</t>
  </si>
  <si>
    <t>Nguyễn Thị Thanh Lộc</t>
  </si>
  <si>
    <t>100008217735337</t>
  </si>
  <si>
    <t>:(( Chào các thím 
- Tình hình là em muốn nhờ mọi người tv cho loại serum và kem trị nám với ạ.  E năm nay 20t nhưng mặt lại bị nám và thâm, do trước em có đi vi kim nên da giờ mỏng hơn ạ
- Da e thuộc da dầu vùng chữ T  và khô ở hai bên má, da e nhạy cảm và có nám ạ
- Mong mn tv cho e loại serum phù hợp :((
 #trinam 
Ảnh e lấy của 1 chị trên group nhưng kh nhớ tên ạ :(
Mong ad duyệt cho e ạ</t>
  </si>
  <si>
    <t>2019-12-19 01:00:32</t>
  </si>
  <si>
    <t>Linh Trang</t>
  </si>
  <si>
    <t>100012125174060</t>
  </si>
  <si>
    <t xml:space="preserve">#trinam  </t>
  </si>
  <si>
    <t>#skincare #nuochoahong
Có chị em nào đã từng sử dụng em này chưa ạ? Cho em xin một ít review với !!</t>
  </si>
  <si>
    <t>2019-10-17 02:31:26</t>
  </si>
  <si>
    <t>Anh Huynh</t>
  </si>
  <si>
    <t>100023833159820</t>
  </si>
  <si>
    <t xml:space="preserve">#nuochoahong #skincare </t>
  </si>
  <si>
    <t>#mascara
Xin chị/em trong ĐCS giúp với ạ 😭.Tình hình là mi mắt e ngắn và sụp,nên em  đang cần tìm 1 loại mascara có thể cong mi là đc r ạ,ko quan trọng việc làm dày mi (nếu có càng tốt). Em đã dùng thữ May vàng nhưng ko ăn thua,vẫn sụp lại như cũ và khó tẩy trang lắm luôn 😭</t>
  </si>
  <si>
    <t>2019-11-13 04:16:21</t>
  </si>
  <si>
    <t>Kim Huyen Le</t>
  </si>
  <si>
    <t>100003106267155</t>
  </si>
  <si>
    <t xml:space="preserve">#mascara </t>
  </si>
  <si>
    <t>#đepchanhsa
#kemtriseo
#review
#helpme
chào các chị em nhà đẹp, tình hình là 3 tuần nay e chả hiểu sao bị ngứa toàn thân, e đi khám da liễu thì bác sĩ có cho thuốc uống với thuốc bôi (ảnh) cho đỡ ngứa thôi. bác sĩ bảo ko có vấn đề gì chắc do con gì cắn. do ngứa quá nên e có gãi nên để lại sẹo này. hic. các c nào có kinh nghiệm dùng qua 2 loại thuốc trị sẹo Hiruscar hay Contractubex chỉ cho e với ạ. 
p/s: e bôi Hiruscar 1 tuần rồi ko đỡ thì có nên chuyển loại kia ko ạ</t>
  </si>
  <si>
    <t>2019-11-11 10:22:44</t>
  </si>
  <si>
    <t>Vàng Cá</t>
  </si>
  <si>
    <t>100038072405853</t>
  </si>
  <si>
    <t xml:space="preserve">#helpme #review #kemtriseo #đepchanhsa </t>
  </si>
  <si>
    <t>Mấy C ơi, da ngăm nên mặc màu gì hợp c nhỉ? Đen hay trắng ạ?</t>
  </si>
  <si>
    <t>2019-11-21 11:01:07</t>
  </si>
  <si>
    <t>Cẩm Giangg</t>
  </si>
  <si>
    <t>100026847004417</t>
  </si>
  <si>
    <t>#help
Group mình cho em hỏi là em đang bị trình trạng giống vậy. Cho em hỏi với tình trạng này em có thể đi làm tóc được không ạ? Ví dụ như uốn đuôi tóc thôi🧐
Có cách nào trị dứt điểm tình trạng này không chỉ em với😭</t>
  </si>
  <si>
    <t>2019-11-22 04:35:54</t>
  </si>
  <si>
    <t>Linh Hoang</t>
  </si>
  <si>
    <t>100024175175606</t>
  </si>
  <si>
    <t>#trimun 
E mình là nam 17t nhưng mặt bị mụn và thâm rất nhiều ce mình ai biết sản phẩm nào trị thâm tốt k ạ chỉ giúp e với. E cảm ơn ạ
Mong ad duyệt bài giúp e với ạ</t>
  </si>
  <si>
    <t>2019-11-30 15:22:39</t>
  </si>
  <si>
    <t>Xuân Diệu</t>
  </si>
  <si>
    <t>100005652066455</t>
  </si>
  <si>
    <t>#ask #help #belulu #foreomini2 
Chào các chị. Mặt em dạo này lên rất rất nhiều mụn ẩn và sợi bã nhờn ở cách mũi. 😭
E thì da mụn 6 năm nay rồi. Em đang đắn đo mua 1 trong 2 máy đó là foreo mini 2 hoặc belulu. E chỉ đủ tiền mua 1 trong 2 máy này. 
Máy foreo mini2 thì chỉ có 1 chức năng làm sạch da dùng hàng ngày đc còn theo em tìm hiểu belulu thì vừa làm sạch vừa đẩy dưỡng chất chỉ nên dùng 3 lần/1 tuần. Các chị cho em lời khuyên nên mua máy nào với ạ. Em cảm ơn</t>
  </si>
  <si>
    <t>2019-11-05 15:15:00</t>
  </si>
  <si>
    <t>Meo Meo</t>
  </si>
  <si>
    <t>100023148280611</t>
  </si>
  <si>
    <t xml:space="preserve">#foreomini2 #belulu #help #ask </t>
  </si>
  <si>
    <t>Depchanhsa #review #phunmoi
Chào mọi người, em đã lột xác môi thành công rồi mọi người ạ và đây là môi em sau 2 ngày phun đã bong hết ạ. Thấy các chị giờ môi ai cũng xinh quá nên sắp tết rồi em cũng phải làm tí chơi tết. Hno em đọc bài 1 chị review trong hội cũng muốn đi làm mà sợ vì làm 1 rồi mà bị loang lổ quá. Ai ngờ bong ra lên đúng chuẩn màu mình thích các chị ạ
Ảnh 1 môi làm đã đau còn hỏng
Ảnh 2 môi vừa phun mới  
Ảnh 3 môi sau khi ngủ dậy đã bắt đầu bong
Ảnh 4 môi đã bong hoàn toàn ạ
Chị làm cho em bảo là mới bong màu đã thế này vài ba hôm nữa đẩy màu lên đẹp nữa. Em đăng bài cho ce đi làm đẹp để yên tâm ăn tết, chỉ cần tìm đc bàn tay vàng trong làng nghệ thuột là xinh ngay ạ.
Mong ad duyệt bài cho em ạ huhu</t>
  </si>
  <si>
    <t>2019-12-03 09:57:02</t>
  </si>
  <si>
    <t>Nhung Ngô</t>
  </si>
  <si>
    <t>100002847150715</t>
  </si>
  <si>
    <t xml:space="preserve">#phunmoi #review </t>
  </si>
  <si>
    <t>#tocnhanhdai
Hic các c ai có bí quyết gì khiến tóc nhanh dài không ạ. Tóc e do quá khô xơ nên e đã cắt tóc ngắn hồi t6 mà bây giờ t11 rồi nó mới dài ra được tưng kia. E dùng dầu gội biotin màu tím n cũng k ăn thua lắm. Vs tóc e dầu ngày nào cũng phải gội k nhìn trông tóc bết như kiểu cả tuần mới gội ý. Các c cho e xin tip khiến tóc dài nhanh với</t>
  </si>
  <si>
    <t>2019-10-31 12:24:06</t>
  </si>
  <si>
    <t>Mai Mèo</t>
  </si>
  <si>
    <t>100003967893548</t>
  </si>
  <si>
    <t xml:space="preserve">#tocnhanhdai </t>
  </si>
  <si>
    <t>#ask #help #munsungdo
Chào mn, e năm nay 26t sống chung vs mụn chắc cũng đc 3 năm nay. Từ lúc chuyển vào SG sống là mụn cứ lên liên tục :(( đã dùng qua rượu thuốc và chữa trị bên Hami, cảm thấy da ổn sau hơn 1 năm. Thực sự rất kiên trì vất vả kiêng khem :(( ôi quãng thời gian nghĩ lại vẫn sợ ạ.
Nhưng da đẹp lại k đc bao lâu thì giờ bị lại. Đến mức e nản quá, k muốn làm gì nữa. Giờ e chỉ tẩy trang srm toner, thi thoảng đắp mask giấy cấp ẩm thôi. K dám dùng kcn luôn ạ. Vì cảm giác mỗi lần bôi tối về tình trạng nặng hơn. Lỡ mua cell fusion giờ bỏ đó luôn 😭
Mn có biết mụn cứ đỏ 2 bên má như này nguyên nhân do đâu k?  E đọc trên mạng thấy bảo do gan ,do môi trường... 
Mụn thì mỗi khi lên một là đầu trắng hai là sưng đau ngứa.
Có cách nào chữa đỏ thâm bằng nguyên liệu tự nhiên hay ho k ạ?</t>
  </si>
  <si>
    <t>2019-08-06 10:40:53</t>
  </si>
  <si>
    <t>Diệu Nguyễn</t>
  </si>
  <si>
    <t>100003293398611</t>
  </si>
  <si>
    <t xml:space="preserve">#munsungdo #help #ask </t>
  </si>
  <si>
    <t>Mn ơi mn tư vấn cho e chút với ạ
Năm nay e 18 tuổi và khoảng tầm mùa đông 3 năm trước e từng trúng gió bị méo miệng 😢 đợt đấy e cũng đi bấm huyệt, châm cứu các thứ. Nhưng có lẽ là chữa chưa dứt điểm nên bây giờ khi e cười vẫn thấy miệng bị méo sang 1 bên. Thật sự e rất tự ti mỗi khi cười, thường hay phải lấy tay che, nhiều khi e cũng k dám cười khi mỗi chụp ảnh nữa... E k biết là qua 1 khoảng thời gian khá dài như thế rồi thì có còn cách nào để chữa hay khắc phục k? Mn ai từng bị rồi hay có kinh nghiệm gì chỉ giúp e với được k ạ. E cảm ơn cả nhà mình 
Mong được ad duyệt bài ạ ❤️
(E xin phép chèn ảnh đỡ trôi bài)
#cười #hỏiđáp #tưvấn</t>
  </si>
  <si>
    <t>2019-12-14 10:51:12</t>
  </si>
  <si>
    <t>Lin Tran</t>
  </si>
  <si>
    <t>100009923493452</t>
  </si>
  <si>
    <t xml:space="preserve">#tưvấn #hỏiđáp #cười </t>
  </si>
  <si>
    <t>Mọi người cho e xin ít ý kiến được k ạ
E nay 18 tuổi rồi da e trước giờ chưa sd qua loại sản phẩm nào thỉnh thoảng e mới sử dụng qua sửa rửa mặt .. trước giờ e k có nốt mụn k hiểu sao dạo gần đây mặt lên mọc lên những nốt mụn thịt gần mắt khá là nhiều và li ti . Mùa đông da e nó cứ tróc hết vảy trắng lên e đã thử nhiều cách mà k có làm mẩt đi được .. còn mọc thêm mụn ẩn và nốt mụn giống mụn đầu đen e có nặn lên nhân là hạt nhỏ có màu vàng đục mọi người review e ít sản phầm phù hơhp da e được k ạ 
E cảm ơn ạ</t>
  </si>
  <si>
    <t>2019-12-13 23:26:22</t>
  </si>
  <si>
    <t>Lê Thị Dung</t>
  </si>
  <si>
    <t>100033607027146</t>
  </si>
  <si>
    <t>Mng cho e hỏi nhà mình có ai bị như e k ak. Đầu tiên các vết rạn chỉ ít thôi. Nhg giờ n đã lan ra cả chân ntnay ak. E k béo, cũng k rạn do đẻ con ak. 
Đi khám thì k tìm ra nguyên nhân. Có ai giúp e vs ak. 
Đây là ảnh từ đầu e bị. Và ảnh bjo ak. 
E cảm ơn.</t>
  </si>
  <si>
    <t>2019-11-27 15:57:43</t>
  </si>
  <si>
    <t>レ ヒエン</t>
  </si>
  <si>
    <t>100002414741157</t>
  </si>
  <si>
    <t>#help 
Xin chào anh chị. Cách đây một tuần em bị tai nạn giao thông, mặt em đập xuống đường. Giờ phần gò má phải và nhân trung bị thương. Phần nhân trung mất một miếng thịt nhỏ. Cho em hỏi em ở nhà 7 ngày rồi, vậy có nên kiêng ra đường tiếp tục không, và nếu tiếp tục thì nên kiêng bao lâu nữa. Phải mất bao lâu thì mặt em sẽ hồi phục lại bình thường ạ? 
Khi phục hồi em sợ bị nám da và sẹo thì em nên dùng gì và che chắn thế nào ạ. Em cảm ơn.</t>
  </si>
  <si>
    <t>2019-08-21 02:12:14</t>
  </si>
  <si>
    <t>Thanh Xuân</t>
  </si>
  <si>
    <t>100017928002268</t>
  </si>
  <si>
    <t xml:space="preserve">Mọi người ơi giúp em với.
Tình hình là tóc em trải qua những lần mần đẹp, nhuộm được 3 lần là nó nát như vậy luôn.
Tóc xơ, yếu, bung to ra luôn. Em dùng tinh dầu bưởi, gội dầu gội có chùm kết, vỏ bưởi, dầu dừa pla đủ thứ mà nó còn thảm hơn nữa, phục hồi cũng không nhằm nhoà gì luôn. 
Đi salon tóc thợ thầy cứ đòi bó tay bó cẳng với cái đầu em ấy ạ.☹️☹️
MỌI NGƯỜI CÓ TIPS NÀO GIÚP TÓC HỒI PHỤC HIỆU QUẢ, BỚT KHÔ XƠ THÌ CHỈ GIÚP EM VỚI Ạ!
Cảm ơn mọi người!!😭😭😭
</t>
  </si>
  <si>
    <t>2019-12-12 08:07:25</t>
  </si>
  <si>
    <t>Thu Trang</t>
  </si>
  <si>
    <t>100009209797567</t>
  </si>
  <si>
    <t>Em xin phép ad ạ mong ad duyệt hộ bài giúp em với ạ 
Tình hình là emm dính phải thuốc tái tạo da đông y , dạng rượu thuốc e sài một tháng em thấy da mặt e mỏng vô cùng và rất dễ nỗi mụn nên em bỏ luôn ạ em bỏ 1 tháng rồi , bây giờ em chỉ dám dùng srm thôi ạ , anh chị nào giúp em cứu em với ạ làm cách nào đễ da em khoẻ lại như lúc ban đầu ạ e sắp phải đi phỏng vấn rồi , nhưng dính phải rượu thuốc em sốc cực kì anh chị nào giúp em với 😭😭😭</t>
  </si>
  <si>
    <t>2019-12-06 23:49:54</t>
  </si>
  <si>
    <t>Kyy Raider</t>
  </si>
  <si>
    <t>100034511889679</t>
  </si>
  <si>
    <t xml:space="preserve">
#đốtlazer
#mụncơm
T vừa đi bắn lazer mụn cơm về. Nhìn thì ít mà sao bắn nhiều lắm luôn. Chưa bao giờ buồn và tự ti về cái mặt mình dư lày, nhìn vào gương sợ chính mình luôn.m. Bs kê cho bôi Tyrosyl ngày 3 lần, mà cái bạn bán thuốc ko dám cho uống ks vì đang cho con bú. Bs bảo chỉ kiêng hải sản 2 ngày đầu thôi ko kiêng gì. Rửa mặt nmsl đến khi nào bong vẩy thì bôi Aderma và kem chống nắng. Ko được bôi nghệ. Ai có kinh ng chăm sóc da sau bắn lazer chia sẻ mình với, mình thấy xót xót mà thi thoảng lại ngứa tí. Lúc ở chỗ bs quên ko hỏi có đc uống tinh bột nghệ ko? Có ai biết vụ này ko.</t>
  </si>
  <si>
    <t>2019-11-17 08:04:50</t>
  </si>
  <si>
    <t>Mei Mei</t>
  </si>
  <si>
    <t>100012483396054</t>
  </si>
  <si>
    <t xml:space="preserve">#mụncơm #đốtlazer </t>
  </si>
  <si>
    <t>#matcan 
Chị em nào ở đây đeo kính lâu như em mà tháo kính ra mắt bị thế này không ạ, mặt em nhìn rất ngu với bạn em bảo lúc tháo kính ra nhìn cứ như bị lác nhẹ vậy, hai tròng mắt cứ xa nhau hàng cây số ấy ạ, em đeo kính đến giờ là 6-7 năm với lại em cận 5 độ rưỡi ạ, giờ em đeo lens cận thì nó có giảm bớt không ạ?
Chị em nào có bí quyết chỉ em với!!!
Mong ad duyệt bài cho em ( *//｀ω´//)</t>
  </si>
  <si>
    <t>2019-09-30 02:47:52</t>
  </si>
  <si>
    <t>Trần Kim Đằng</t>
  </si>
  <si>
    <t>100013372592527</t>
  </si>
  <si>
    <t xml:space="preserve">#matcan </t>
  </si>
  <si>
    <t>#bottrangda #dongy
Mọi người ơi cho em hỏi nhà mình có ai ra tiệm đông y mua bột về để đắp mặt trắng da không ạ?Em nghe nhiều chị review nên cũng ham hố quá ạ.Ai xài hiệu quả cho em xin cái đông lực với ạ😍😍</t>
  </si>
  <si>
    <t>2019-11-16 23:38:06</t>
  </si>
  <si>
    <t>Song Ngư</t>
  </si>
  <si>
    <t>100022514111998</t>
  </si>
  <si>
    <t xml:space="preserve">#dongy #bottrangda </t>
  </si>
  <si>
    <t>#ask #help 
Mọi người cho em hỏi son Black Rouge hay Bbia xài được hơn ạ, về màu sắc chất lượng thì nên mua hãng nào hơn ạ? Và cho em hỏi 2 hãng trên thì có màu nào đẹp vậy ạ ❤️ cảm ơn mọi ngườiii</t>
  </si>
  <si>
    <t>2019-06-20 13:54:55</t>
  </si>
  <si>
    <t>Chloe Le</t>
  </si>
  <si>
    <t>100025322326899</t>
  </si>
  <si>
    <t>Hepl me..
Mọi người tư vấn mình loại Tẩy Trang dành cho da nhạy cảm và mụn ẩn với ạ. Mình hay makeup. Da hỗn hợp 
Mình đang gặp vấn đề về tẩy trang. Tẩy trang mình đang dùng là Garnier mình mới mua xong. Mùi cồn nồng quá mình dùng 1tuần thì mụn ẩn bắt đầu ghé thăm😭😭 Mọi người giúp mình với🥺🥺 Càng ít cồn càng tốt ạ😓</t>
  </si>
  <si>
    <t>2019-10-22 07:20:26</t>
  </si>
  <si>
    <t>Thuỳ Chi</t>
  </si>
  <si>
    <t>100015559272612</t>
  </si>
  <si>
    <t>Mọi người ơi có phương pháp nào trị rạn ko ạ😢😢😢này là ảnh mạng chân e bị rạn sâu hơn 1 tí. Có cách nào để chữa khỏi rạn da luôn ko mn?? E tự ti kinh khủng, suốt 2 năm trời e ko thể mặc short, váy ngắn ra đường 😢😢😢
Cảm ơn mn</t>
  </si>
  <si>
    <t>2019-12-20 22:16:29</t>
  </si>
  <si>
    <t>Ngoc Trinh</t>
  </si>
  <si>
    <t>100007065701418</t>
  </si>
  <si>
    <t>Em thuộc da hỗn hợp thiên dầu, trên mặt chỉ có mấy đốt thâm thôi. Mọi người cho em hỏi nên sử dụng kem nền nào ạ ? :( Em đang lăm le Catrice, mng cho em thêm rv của Mac được không 😭 
Hay mng có loại kem nền nào tốt hơn thì giúp em với ạ, 1tr đổ xuống nha mng ơiiiii.
#ask       
#kemnen</t>
  </si>
  <si>
    <t>2019-10-23 05:27:02</t>
  </si>
  <si>
    <t>Trần Thị Quỳnh Như</t>
  </si>
  <si>
    <t>100024128023274</t>
  </si>
  <si>
    <t xml:space="preserve">#kemnen #ask </t>
  </si>
  <si>
    <t>Chào mọi người, Tết sắp đến nên em muốn đổi kiểu tóc cho mình. Tóc em trước giờ chưa làm gì, chỉ có 1 kiểu dài đơn giản như hình. Tóc em là tóc dầu, khá dễ bết, mỗi lần xõa tóc là phần tóc ở trên cứ dán vào da đầu chứ ko kiểu bay bay được ( y hình nhưng em xấu hơn nhiều) , mặt em lại to như cái mâm nên nhìn không đẹp tí nào.
 Em đang muốn tìm một kiểu tóc mới đón cái Tết 18 tuổi cho xinh tươi ạ. Mặt em là mặt tròn to béo, kiểu ngắn dài gì cũng được ạ</t>
  </si>
  <si>
    <t>2019-12-22 07:08:21</t>
  </si>
  <si>
    <t>Bùi Trần Khánh My</t>
  </si>
  <si>
    <t>100012724518950</t>
  </si>
  <si>
    <t>#ask #tuvan
Em bị té xe 2 ngày trước, cho em hỏi cách xử lý với ạ</t>
  </si>
  <si>
    <t>2019-12-19 15:10:36</t>
  </si>
  <si>
    <t>Cục Muối</t>
  </si>
  <si>
    <t>100009298443304</t>
  </si>
  <si>
    <t xml:space="preserve">#tuvan #ask </t>
  </si>
  <si>
    <t xml:space="preserve"> #review #mac #lilybyred #lipstick
Hello chị em, tranh thủ chờ quảng cáo VNĐC, t đã khám phá ra được combo này khá đẹp, với màu son point là Mac Marrakesh cho ce nào không muốn quá đậm 😆 
Đầu tiên là lấy 1 lượng vừa đủ, tán mỏng thỏi Lilybyred, sau đó dùng tăm bông, bông tẩy trang hoặc dùng luôn tay để tán đều ra phần viền môi, tạo hiệu ứng mờ lì blurry. Tiếp đến là dùng thỏi Mac đánh trực tiếp vào vùng lòng môi, (ce lưu ý là đánh chút chút sương sương thôi cho đẹp nhớ, rõ phần ombre hơn), cuối cùng là tán đều ra ngoài (ko đến phần viền môi) là xong 😆
Review 1 chút về 2 dòng son này:
Mac Marrakesh: màu son huyền thoại của Mac, (theo t thấy là vượt cả Chili luôn rồi) một màu đỏ cam đất khá đậm. Đợt này t thấy mùi vani rõ hơn trước, thành ra bị hắc nhẹ :(( Chất son matte của Mac là một trong những chất son thỏi t thích nhất, mới đầu khi đánh lên sẽ bóng nhẹ, một lần quẹt là đậm rõ màu, không khô môi.
Lilybyred mood liar velvet tint màu 4: xem
swatch của các bb bên Hàn thấy màu cam đất đẹp dã man, hốt ngay ko chần chừ ấy thế mà về tay lên môi t lại một bầu trời cam, rất ít đất và có chút hint vàng :(( tuy nhiên chất son lại là điểm gỡ gạc cho son, rất mướt mịn, không khô môi và rõ màu nha ce. Dòng này t thấy còn có màu 6 khá xinh kiểu đỏ cam gạch nếu ce muốn nhích, giá cũng khá rẻ &lt;200k thôi.</t>
  </si>
  <si>
    <t>2019-07-08 16:08:30</t>
  </si>
  <si>
    <t>Linh Phươngg</t>
  </si>
  <si>
    <t>100024850481587</t>
  </si>
  <si>
    <t xml:space="preserve">#lipstick #lilybyred #mac #review  </t>
  </si>
  <si>
    <t>HELP HELP !!!
Mấy chị cứu em với :((( chân em bị nứt nẻ ngay ngót chân và ngón chân cái , mấy chị có cách nào giúp cho em với ạ :((( em nhìn chân em mà em chán không muốn nói luôn ấy ạ 😫😫</t>
  </si>
  <si>
    <t>2019-12-14 07:06:29</t>
  </si>
  <si>
    <t>#ask #help #gianua
Hi mọi người, em năm nay 19 tuổi mà mặt già nua trông già như 26-27😭em có làm tóc layer nhuộm màu nâu khói mà tóc em bị phai ra màu đỏ hung trông càng già em đã thử cắt tóc mái để trông trẻ hơn nhưng vẫn không thay đổi được ạ, ảnh là cam thường em có bôi son dưỡng ạ chứ bình thường em ít đánh son màu lắm ạ vì da m thuộc da ngăm vàng trông đen đen bẩn bẩn không thể đánh mấy màu yêu yêu cũng diện váy bánh bèo nên em toàn mặc áo phông+ quần baggy thôi ạ. Mọi người có tip gì hay thì mách em với ạ. Em cảm ơn mọi người nhiều ạ</t>
  </si>
  <si>
    <t>2019-12-20 03:23:26</t>
  </si>
  <si>
    <t>100010840029923</t>
  </si>
  <si>
    <t xml:space="preserve">#gianua #help #ask </t>
  </si>
  <si>
    <t xml:space="preserve">
#ask
#toc
Các chị ơi, cho em xin một chút tips chăm sóc tóc sao cho nó được tơi bóng như hình với ạ! 
Em lội nhiều bài trong nhóm lắm nhưng chỉ thấy các chị cse tips chăm sóc tóc hư tổn và tóc rụng thôi! 
Cảm ơn các chị nhiều 🥰
Cảm ơn ad đã duyệt bài 🌸</t>
  </si>
  <si>
    <t>2019-08-12 06:10:01</t>
  </si>
  <si>
    <t>Rosy</t>
  </si>
  <si>
    <t>100008501357598</t>
  </si>
  <si>
    <t>Xin phép ad..E Tính lên BV 108 ..Tiểu phẫu ...mọi người thấy Sao liệu ổn không ạ...Xin ý kiến những người đã Từng đi ...em cảm ơn 🙂</t>
  </si>
  <si>
    <t>2019-12-14 04:30:50</t>
  </si>
  <si>
    <t>Biển San Hô</t>
  </si>
  <si>
    <t>100024167353533</t>
  </si>
  <si>
    <t>#help#tuvankieutoc . chào mọi người . mình năm nay 28t. Mình muốn hỏi để kiểu tóc nào thì hợp với . trán dồ tóc nó mọc ngược lên không xuống được .mình đang nuôi tóc dài . không biết có nên cắt tóc ngắn cho trẻ không . do tóc mình rất khó dài.  Cảm ơn mn nếu được duyệt</t>
  </si>
  <si>
    <t>2019-11-23 10:28:29</t>
  </si>
  <si>
    <t>Nga Niê</t>
  </si>
  <si>
    <t>100000874473290</t>
  </si>
  <si>
    <t xml:space="preserve">#tuvankieutoc #help </t>
  </si>
  <si>
    <t xml:space="preserve">
#kose
Có ai xài bộ này chưa ạ?cho em xin thông tin về da hỗn hợp thiên khô,nhạy cảm xài ok không mọi người</t>
  </si>
  <si>
    <t>2019-10-24 03:50:27</t>
  </si>
  <si>
    <t>Bung Bình</t>
  </si>
  <si>
    <t>100004494463691</t>
  </si>
  <si>
    <t xml:space="preserve">#kose </t>
  </si>
  <si>
    <t>Cho e hỏi mặt em vậy có mua thuốc gì uôang cho đỡ mau được không ạ :((
 Em da khâ nhiều dầu và nhạy cảm nữa.
E có dùng srm acne aid liqid cleanser và bôi kem nghệ decumar được nửa tháng nhưng không có dấu hiệu giảm bớt.
Mong mng chỉ giúp</t>
  </si>
  <si>
    <t>2019-11-27 22:16:48</t>
  </si>
  <si>
    <t>Lee Vihn</t>
  </si>
  <si>
    <t>100043598527046</t>
  </si>
  <si>
    <t>#bocphot #gym
Chị em nào muốn tìm pt online thì tránh xa con này nhé ạ. Lừa đảo trắng trợn, các chị nhìn hình nó cả body như này là biết chẳng thèm tập gym gì rồi sửa nát bét. Thế đã đành nó nhận pt mà người ta đòi plan của nó phải chờ trực, hiếm hoi lắm mới nhận đc cái plan thứ 2 của nó ạ em có chụp lại một số người từng đky gói tập của nó và bị lừa ạ. Vừa chuyển tiền là mất tâm luôn  các hình feedback của nó đều là coppy từ trang nước ngoài e sẽ up thêm bằng chứng dưới cmt ạ. Mong bài e được duyệt để k chị em nào bị nó  lừa nữa ạ.</t>
  </si>
  <si>
    <t>2019-05-22 04:13:01</t>
  </si>
  <si>
    <t>Hoa Huynh</t>
  </si>
  <si>
    <t>100030654314795</t>
  </si>
  <si>
    <t xml:space="preserve">#gym #bocphot </t>
  </si>
  <si>
    <t>Mong ad duyệt bài giúp em ạ. Tết đến nơi rồi😭
Hình dưới là mặt e hiện tại đã skincare đc tầm 6 tháng. Mn xem các bước giúp em ổn chưa ạ. Da e hh dầu 
* Sáng: srm rosette trắng + máy luna mini2 -&gt; tonner thayers -&gt; serum HA -&gt; kem dưỡng ẩm hadalabo -&gt; kcn Senka.
* Tối: tt biodema xanh -&gt; srm + máy -&gt; tonner thayers -&gt; bha 2% paulas choice -&gt; serum HA -&gt; chấm mụn La roche posay effaclar A.I -&gt; kem dưỡng ẩm laneige waterbank (gel)
Lúc trước chưa skincare chỉ khi đến tháng ms bị nổi 1 cục mụn. Sau khi skin thì nổi xuyên suốt đến bây h. 
Em đọc thì thấy sd bha sẽ đẩy mụn trong 3-4 tháng nhưng e đã gần 6 tháng vẫn chưa thấy bớt mụn. 
Chị nào tư vấn giúp em vs ạ vì em hay gặp khách hàng mà mặt thế này chán đời hẳn í ạ😭
#ask #paulaschoice #chutrinhskincare #mụn</t>
  </si>
  <si>
    <t>2019-11-27 00:46:20</t>
  </si>
  <si>
    <t>Tracy Nguyen</t>
  </si>
  <si>
    <t>100032479866423</t>
  </si>
  <si>
    <t xml:space="preserve">#mụn #chutrinhskincare #paulaschoice #ask </t>
  </si>
  <si>
    <t>Cho mình xin một số cách skincare đối với da mụn thế này đi ạ. Da mình cứ nổi đủ loại mụn từ mụn ẩn mụn viêm mà mình thử mọi cách vẫn chưa hết nữa. Mấy năm ròng rã rồi 😭
Mình đổi srm thường xuyên vì k thấy cái nào hiệu quả. Hiện mình đang xài srm hazeline, tẩy trang senka, trị mụn của Neutrogena.</t>
  </si>
  <si>
    <t>2019-11-16 06:28:08</t>
  </si>
  <si>
    <t>Trnn Linhh</t>
  </si>
  <si>
    <t>100028319706350</t>
  </si>
  <si>
    <t xml:space="preserve">
Groups mình có ai sd qua nước tẩy trang này chưa ạ. Cho e xin ít review với</t>
  </si>
  <si>
    <t>2019-12-04 02:33:59</t>
  </si>
  <si>
    <t>Yến Khoa</t>
  </si>
  <si>
    <t>100006177846856</t>
  </si>
  <si>
    <t>Xin phép admin ạ. 
Lông mi e nó rụng gần hết rùi các c ạ. :( 1 tháng nữa e cần mi mọc dài ra
Ai có tip gì hay chỉ e với e cảm ơn.</t>
  </si>
  <si>
    <t>2019-11-25 05:36:55</t>
  </si>
  <si>
    <t>Ánh Nguyệt</t>
  </si>
  <si>
    <t>100004131522581</t>
  </si>
  <si>
    <t>Chuyện là e đã để tóc ngắn cũng xấp xỉ gần chục năm rồi. Mặt e to và cực tròn nên mn bảo e tóc ngắn hợp. E thấy cũng khá thích tóc ngắn trừ khoản quá phải chăm sóc nhiều :(( và để tâm tới việc tóc có bị vểnh hay ko suốt ngày. E thấy e bị tổn thọ vì nó quá mn ạ. Mn khuyên thế nên e để tóc ngắn suốt mấy năm nhưng mà kì thực e thích để tóc dài hơn
Mn tư vấn cho e bộ tóc dài (uốn(cụp,sóng,..) hay thẳng, để ngôi giữa hay lệch,..) và màu tóc hợp với da trắng hồng với a. Mặt e tròn bằng của chị trong hình nhưng ko đc xinh bằng a=))</t>
  </si>
  <si>
    <t>2019-11-22 16:59:42</t>
  </si>
  <si>
    <t>Ng Khanh</t>
  </si>
  <si>
    <t>100024464139099</t>
  </si>
  <si>
    <t>Mọi  người cho em hỏi bị như này thì nên điều trị như nào ạ da em em vốn lỗ chân lông to chân cũng bị như này mà ít hầu hết bị mụn ở tay với lưng đến mức giờ bị để lại nhiều vết thâm mụn lắm 
mọi người có cách nào điều trị chỉ em với ạ em cảm ơn :(((</t>
  </si>
  <si>
    <t>2019-12-12 02:14:36</t>
  </si>
  <si>
    <t>Tr Hg Ngân</t>
  </si>
  <si>
    <t>100028368840952</t>
  </si>
  <si>
    <t>#ask 
Vấn đề muôn thủa ☹️ Đó chính là TÓC MÁI NHANH BẾT mng ạ
Ai có cadch hay sp gì khắc phục dc k ạ? Chứ e gội đầu btoi sáng dậy tóc mái đã bết . Mặc dù e kp da dầu ạ
Ảnh mih hoạ</t>
  </si>
  <si>
    <t>2019-12-10 12:35:44</t>
  </si>
  <si>
    <t>Mie Mie</t>
  </si>
  <si>
    <t>100036940444613</t>
  </si>
  <si>
    <t>Mọi người đã có ai trị mụn với xông mặt bằng lá tía tô chưa ạ?? E nghe nói trị được mụn ai dùng rồi cho e xin ý kiến với ạ???</t>
  </si>
  <si>
    <t>2019-12-01 09:14:45</t>
  </si>
  <si>
    <t>Cẩm Vân</t>
  </si>
  <si>
    <t>100024370393223</t>
  </si>
  <si>
    <t>#kemduongmat
Năm nay mình 27 tuổi, tình trạng da vùng mắt mình xuất hiện nếp nhăn và thâm. Trước đây mình có dùng kem dưỡng mắt của AHC nhưng thấy khá vô thưởng vô phạt, hiện giờ mình đang muốn tìm loại kem dưỡng mắt trị được 2 vấn đề trên, giá thành tầm 500k.
Các bạn có thể tư vấn giúp mình dòng kem mắt phù hợp với vấn đề mình đang gặp phải không ạ. Mình cảm ơn cả nhà!</t>
  </si>
  <si>
    <t>2019-12-01 09:13:03</t>
  </si>
  <si>
    <t>Linh Anh</t>
  </si>
  <si>
    <t>100013943432591</t>
  </si>
  <si>
    <t xml:space="preserve">#kemduongmat </t>
  </si>
  <si>
    <t>#Dầugoidau
Mấy chị ơi, mấy chị đang dùng loại dầu gội đầu nào cho tóc nó mượt không ạ.  Em đang sài Treseme Smooth cả xả và gội mà tóc nó cứng như chi ấy . 😭.</t>
  </si>
  <si>
    <t>2019-09-24 12:28:38</t>
  </si>
  <si>
    <t>Bích Phương</t>
  </si>
  <si>
    <t>100005608863538</t>
  </si>
  <si>
    <t xml:space="preserve">#Dầugoidau </t>
  </si>
  <si>
    <t>Xin ad duyệt bài ạ. 
Cả nhà ơi làm thế nào để da đều màu bây giờ ạ. Tình trạng da mình hiện tại tương đối ổn, lâu lâu có mụn ẩn do mình đi đường xa khói bụi. Còn bình thuờng thì trông vẫn ổn. Nhưng chỉ có cái là không đều màu, và không được trắng. Mn recoment cho mình vài sp có thể đều màu trắng da và se khít lỗ chân lông được không ạ?
Routine hiện tại của mình là:
Tẩy trang biodema
Srm Laroche posay
Toner chirstan lenart
Serum ốc sên của Benton
Kem Dưỡng của Hada Labo ( mình mua xách tay Nhật không mua của Rotho VN mình ạ )</t>
  </si>
  <si>
    <t>2019-11-28 00:25:01</t>
  </si>
  <si>
    <t>Mai Ốc</t>
  </si>
  <si>
    <t>100039413524428</t>
  </si>
  <si>
    <t>Klq nhung mn cho e hỏi vs ạ. Có ai bị xưng 1 vùng chân nv k ạ? Lấy dao lam rạch thì k thấy có mủ. Nhưng sờ vào thì bùng bùng kiểu có mủ bên trong! Vì môi trường dẫm vào sắt thép nhiều nên nv? Có ai biết giúp e vs ạ. E cám ơn!</t>
  </si>
  <si>
    <t>2019-12-16 10:55:46</t>
  </si>
  <si>
    <t>Phương Bbi</t>
  </si>
  <si>
    <t>100004455791330</t>
  </si>
  <si>
    <t>Tóc e trước thuộc loại khá nhiều  mà uốn nhuộm dùng hóa chất giờ nó rụng mà thấy xót , chỉ cần vuốt nhẹ thôi củng rụng cả mớ rồi 😑😑😑😑  nhìn cái đầu giờ nó mún hói lun ở đỉnh đau lòng thật chứ 😢😢😢
🙋 ai biết dùng gì ngăn rụng tóc cho e xin ít review đi mn ơi</t>
  </si>
  <si>
    <t>2019-12-21 18:05:25</t>
  </si>
  <si>
    <t>Bạch Như Quỳnh</t>
  </si>
  <si>
    <t>100010545732827</t>
  </si>
  <si>
    <t>#mask #review
Edit : shop trả lời với mình là thuốc và mask đều bình thường ạ, mình coi lại trên web thì đúng là chất mask màu như v thật. Cám ơn mọi người. Ai xài rồi cho mình tí review nhé.
 Cả nhà có ai đắp mask này chưa? Mình mua của 1 shop dc recomend khá nhiều, mua hẳn 1 hộp, được hơn tuần rồi mới mang ra xài. Mặt nạ này có 2 bước, bước 1 là uống viên thuốc collagen + cấp nước, bước 2 là đắp mask. 
Bóc ra thì viên thuốc lấm tấm nâu như thế này, mask thì chất màu vàng nâu nâu, bóc bịch t2 ra cũng y chang v. Các bạn sd rồi cho mình biết như v là bình thường của mask này hay là bị oxi hóa do bảo quản thế ạ? Mình xin cám ơn</t>
  </si>
  <si>
    <t>2019-12-06 00:35:35</t>
  </si>
  <si>
    <t>Vũ Vũ Ái My</t>
  </si>
  <si>
    <t>100004901287923</t>
  </si>
  <si>
    <t xml:space="preserve">#review #mask </t>
  </si>
  <si>
    <t>Xin chào các chị em. E luôn để mặt mộc đi chơi hay đi tiệc chỉ thêm 1 chút son môi. 
Thật sự muốn trang điểm 1 chút. Mà k biết lên bắt đầu từ đâu. Mong các chị giúp đỡ 
Trang điểm đơn giản cần những bước gì ạ.những gì là cần thiết nhất. Da e thuộc loại da dầu ạ . E cám ơn
#Mong ad duyệt dài ạ</t>
  </si>
  <si>
    <t>2019-12-04 23:39:28</t>
  </si>
  <si>
    <t>Kim Tuyết</t>
  </si>
  <si>
    <t>100024243700268</t>
  </si>
  <si>
    <t xml:space="preserve">#Mong </t>
  </si>
  <si>
    <t>Mọi người giúp em với ạ
Em từng bị dính rượu thuốc Lê Xuân. Lyn, Lily'sWhite, ......
Do lúc đó em còn nhỏ, mẹ mua cho xài
Em 19 tuổi ạ.. Giờ em ít skincare chỉ rửa mặt bằng E100 sữa bò không bọt và serum dưỡng da thôi. Để lại thâm khá nhiều. Em dùng La roche possay, rồi. Bớt chứ không hết. Lỗ chân lông quanh mũi to, mũi nhiều mụn đầu đen.
Da em dầu, dễ kích ứng. Em từng khám da liễu nhưng k hết.</t>
  </si>
  <si>
    <t>2019-11-06 05:47:27</t>
  </si>
  <si>
    <t>100019306452235</t>
  </si>
  <si>
    <t>Mình đăng mấy ngày rồi, chờ mãi không được duyệt nên đăng lại. Mong ad duyệt ạ, thank you 😘
#Nhờ_tư_vấn
🐵 Mình là nữ, 26t, mới bắt đầu skincare được 1 2 năm thôi
🐣 Loại da:
- Hiếm khi trang điểm
- Dầu vùng chữ T và 2 bên má
- Mụn ẩn ít ở 2 má và trán
- Lỗ chân lông 2 má bắt đầu to
- Mũi và cằm chắc là sợi bã nhờn nhưng cũng không đến nỗi sợ
- Da vùng T tối màu hơn
🍎 Sáng: rửa mặt -&gt; toner -&gt; kem mặt -&gt; chống nắng (mình ít ra nắng) -&gt; son chống nắng chưa có
🥑 Tối: tẩy trang -&gt; tẩy da chết 2 lần/ tuần -&gt; rửa mặt -&gt; toner -&gt; serum dưỡng ẩm -&gt; kem mắt -&gt; kem mặt -&gt; mặt nạ chưa có (tẩy da chết trước hay sữa rửa mặt trước ạ?)
🥁 Nghe bảo có cách chỉ cần đắp mặt nạ, tối giản các bước khác, cho mình hỏi vậy có ổn không? Nếu áp dụng thì cần lưu ý gì? Chọn loại nào?
⬇️ Dưới đây là các sản phẩm mình đang dùng, tình trạng không tệ đi nhưng cũng không chịu khá hơn. Nhờ mọi người tư vấn giúp mình, rốt cuộc sai ở đâu, giúp mình chỉnh sửa lại danh sách này với. Cảm ơn mọi người nhiều 😘</t>
  </si>
  <si>
    <t>2019-09-10 09:29:08</t>
  </si>
  <si>
    <t>延波</t>
  </si>
  <si>
    <t>100028781170580</t>
  </si>
  <si>
    <t xml:space="preserve">#Nhờ_tư_vấn </t>
  </si>
  <si>
    <t xml:space="preserve">tư vấn chăm sóc da khiến da đẹp hơn </t>
  </si>
  <si>
    <t xml:space="preserve">da dầu vùng chữ T và 2 bên má,mụn ẩn ít,lỗ chân lông to,có sợi bã nhờn,da vùng chữ T tối </t>
  </si>
  <si>
    <t>#kemduong #ask 
Em đang tìm 1 loại kem dưỡng ban đêm phù hợp với mình nhưng chưa biết nên chọn loại nào ( vì trk đây chưa dùng bao h ). Da em là da hỗn hợp đổ dầu vùng chữ T. Xin mọi người tư vẫn cho em một loại. Em đang phân vân mấy loại này thì loại nào đk ạ?  Nếu mọi người có sản phẩm khác thì cho em xin ảnh với. Mong được mọi người giúp đỡ. 💓💓</t>
  </si>
  <si>
    <t>2019-05-10 03:06:28</t>
  </si>
  <si>
    <t>Cyndy Lin</t>
  </si>
  <si>
    <t>100012665283466</t>
  </si>
  <si>
    <t xml:space="preserve">#ask #kemduong </t>
  </si>
  <si>
    <t xml:space="preserve">
Mấy anh chị trong nhóm có cách này giúp giảm mụn ẩn 2 bên cầm, mụn đầu đen với mụn cám không ạ. Da em có đổ dầu 1 ít ở má. Hiện em chỉ dùng srm Innisfree với bộ kit trà xanh thôi ạ.</t>
  </si>
  <si>
    <t>2019-10-14 10:35:45</t>
  </si>
  <si>
    <t>Hoàng Phú</t>
  </si>
  <si>
    <t>100006587828134</t>
  </si>
  <si>
    <t>Chia sẻ cho các bạn có mí nhưng mí nhỏ
Trước đây mắt mình cũng mí nhỏ , ko dám đi nhấn mí, sau một thời gian siêng dán mí và kích mí thì thời điểm hiện tại là mắt 2 mí rõ rệt 
Có vẻ khó tin nhưng cũng tuỳ cơ địa , mình chịu khó thời gian là mí vô nếp nhé , nhưng ko to hơn nhiều đâu</t>
  </si>
  <si>
    <t>2019-12-25 04:12:19</t>
  </si>
  <si>
    <t>Phượng Tỷ</t>
  </si>
  <si>
    <t>100004457491247</t>
  </si>
  <si>
    <t>#đepchanhsa
Vấn đề tế nhị nên xin mọi người lưu ý  ạ
Chào mọi người em năm nay 17 tuổi
Em có vấn đề việc xì hơi ạ. Mỗi lần em căng thẳng hay hồi hộp thì sẽ xì hơi nó gây rất nhiều phiền toái cho em ạ 
Em lên đây mong mọi người có mẹo nào giảm bớt việc xì hơi không ạ</t>
  </si>
  <si>
    <t>2019-12-01 12:15:41</t>
  </si>
  <si>
    <t>Trầm Ly</t>
  </si>
  <si>
    <t>100035106371944</t>
  </si>
  <si>
    <t xml:space="preserve">#đepchanhsa </t>
  </si>
  <si>
    <t>Mình xin chào các bạn. Mẹ mình bị vấn đề về da như trong hình, bị ở dưới phần mắt cá chân ấy. Các bạn tư vấn giúp mình nên dùng gì để trị hết vấn đề này với. Cám ơn mọi người nhiều nhiều</t>
  </si>
  <si>
    <t>2019-12-09 02:48:42</t>
  </si>
  <si>
    <t>Kim Trang</t>
  </si>
  <si>
    <t>100003699555011</t>
  </si>
  <si>
    <t>Momg ad duyệt bài. 
Mọi người cho em hỏi loại dầu gội nào trị gầu tốt với ạ. Tóc em thì không rụng nhưng đặc biệt nhiều gầu mà từng mảng từng mảng mặc dù  ngày nào cũng gội. Em thử rất nhiều loại dầu gội mà không thấy khá hơn. Chứ cứ vậy em rất tự ti ạ 😥😥</t>
  </si>
  <si>
    <t>2019-12-05 08:29:20</t>
  </si>
  <si>
    <t>Vân Nally</t>
  </si>
  <si>
    <t>100011620093919</t>
  </si>
  <si>
    <t>#viemphukhoa #viemlotuyencotucung
Hi cả nhà! Hn chủ nhật rảnh rỗi, e xin chia sẻ 1 chút kinh nghiệm của em về điều trị viêm phụ khoa và viêm lộ tuyến cổ cung ạ😊😊😊
Em năm nay 25t, đã từng bị viêm phụ khoa rất nặng, liên tục có khí hư nhẹ nhất màu trắng đục, nặng thì vàng xanh có bọt, luôn ngứa ngáy, ẩm ướt, rất khó chịu😥. Mặc dù e là đứa vệ sinh vùng kín rất sạch sẽ, nhưng tháng nào cũng phải tái khám ở viện C vì cứ hết thuốc đặt âm đạo là lại viêm trở lại😥😥😥. Có lẽ vì viêm nặng quá, nên e bị viêm cổ tử cung lộ tuyến cấp độ 1. Nhiều lúc e chán quá, nên cứ ai bảo làm gì là e làm đó, kiểu có bệnh thì vái tứ phương ấy. Sau khi tự mày mò google, cộng thêm việc quá nhiều lần ra vào viện C, e xin chia sẻ 1 số kinh nghiệm của bản thân ạ.
_Trong thời gian bị viêm, mn nên đi khám ở bv uy tín xem chính xác là bị viêm vì lí do j, đặt thuốc theo chỉ định của bs, tuyệt đối kiêng qhtd trong thời gian đặt thuốc!
_ Mặc quần lót thông thoáng, làm từ sợi cotton, hạn chế tối đa các loại quần lót bó sát, ren, quần lót làm từ sợi tổng hợp. Giặt quần lót riêng với nước nóng và xà phòng, ko chung đụng với các loại quần áo khác. Phơi đồ lót dưới nắng to.Ở nhà, cũng ko cần phải mặc quần lót đâu, để chỗ đó càng thoáng càng tốt ạ hihi
_Hạn chế tối đa đồ cay, nóng, dầu mỡ, mặn ngọt, nên ăn nhiều sữa chua và các thực phẩm cung cấp các vi khuẩn có lợi cho cơ thể, nên ăn nhiều tỏi( mặc dù tỏi sẽ làm chỗ ấy có mùi)
_E thì ko dùng dung dịch vs của bệnh viện, e thay bằng nước lá trầu không hoặc nước là chè xanh vệ sinh 2 lần: sáng và tối
_E bổ sung thêm thực phẩm chức năng từ thiên nhiên hỗ trợ điều trị viêm lộ tuyến ctc, viêm phụ khoa( mn chứ chọn loại nào mà mn dùng thấy hợp với mình ấy)
Trước e có đi khám ở HP, ngta khuyên nên sử dụng phương pháp đốt ctc vì e bị viêm độ 1. Cơ mà, e nghĩ độ 1 cũng chưa cần đốt, nên e tự điều trị. Bây giờ, e đã khỏi hoàn toàn lộ tuyến, chỗ ấy lúc nào cũng khô thoáng, sạch sẽ😊😊😊. Hiện tại e cũng ko sd dung dịch vệ sinh, lá trầu, lá chè gì nữa, chỉ vs bằng nước sạch 2 lần 1 ngày thui ạ!!!😁😁😁</t>
  </si>
  <si>
    <t>2019-09-29 00:09:23</t>
  </si>
  <si>
    <t>Bích Liên</t>
  </si>
  <si>
    <t>100011833184136</t>
  </si>
  <si>
    <t xml:space="preserve">#viemlotuyencotucung #viemphukhoa </t>
  </si>
  <si>
    <t>Chào mọi người, từ trước giờ m cũng không quan trọng bên ngoài cho lắm vì còn việc chiếm hết thời gian của mình, từ ngày vào nhóm này,m cũng theo giỏ khá nhiều về vấn đề da và chăm sóc bản thân.m cũng tập tành côi trọng nó, ngày xưa mi của mình rất ngắn và theo dõi nhóm có sd, vaeline với dầu dừa để dưỡng hôm nay có đc thành tích, còn mày cũng nhạc m cũng làm theo cách này luôn và giờ cũng hiệu quả nữa,,😁😁 thật lòng cám ơn cả nhóm cho m phương pháp này 😁😁tuy chưa đc hoàn thiện lắm nhưng đối với m cũng mừng rồi,mt lần nữa cám ơn nhóm lắm luôn 👍👍👍</t>
  </si>
  <si>
    <t>2019-12-20 13:57:03</t>
  </si>
  <si>
    <t>Thanh Thúy</t>
  </si>
  <si>
    <t>100042649293905</t>
  </si>
  <si>
    <t>#xokhuyen #ask
Xin chào mọi người, cách đây 1 tháng em có đi xỏ khuyên. Khi về nhà sau 24h vẫn thấy nó sưng đỏ lên, em chỉ nghĩ là do không thích ứng được nên mới có tình trạng sưng lâu như thế. Em vẫn rửa bằng nmsl ngày 2 lần, và ăn kiêng tuyệt đối nhưng đến khi hai tuần nó vẫn sưng chứ không thấy xẹp xuống ( khi đó không còn thấy đau nữa ) em khi đó nghĩ chắc ăn được rồi nên có ăn hải sản và bò. 
Sau đấy em gỡ khuyên ra rồi sờ thử lên tay thấy nó sưng cứng một cục luôn ấy ạ :(( em nghe mẹ mua thuốc đỏ, sau đấy nhét tăm vào rồi vệ sinh thuốc đỏ thay cho nmsl. Bây giờ đã hơn một tuần rồi mà tình trạng sưng càng thấy to hơn. Hôm qua em thử nặn thì thấy có nước vàng lỏng với máu, lúc gỡ tăm ra thì có ít mủ chảy ra nhưng mà nặn thì lại không thấy. Em nên làm gì đây ạ? Mong mọi người giúp em, em lo là mình bị sẹo lồi lắm :(( 
( em xỏ phần trên dái tai một chút chứ không phải sụn)</t>
  </si>
  <si>
    <t>2019-10-04 04:22:50</t>
  </si>
  <si>
    <t>Hoang Nhu</t>
  </si>
  <si>
    <t>100035789652114</t>
  </si>
  <si>
    <t xml:space="preserve">#ask #xokhuyen </t>
  </si>
  <si>
    <t>#sheetmask #matnagiay
Có bạn nào ghiền mặt nạ giấy như mình hơm :)). Sương sương hơn 200 mask rồi, dự là xài no nê tới 2022 luôn mà vẫn cứ muốn mua thêm :)). Thấy mình cũng bịnh thiệt 🤣🤣
Khoe gia tài để mị thấy ko cô đơn đi các chị em ơi :)))</t>
  </si>
  <si>
    <t>2019-11-10 08:12:29</t>
  </si>
  <si>
    <t>Vũ Ngọc</t>
  </si>
  <si>
    <t>100002923908095</t>
  </si>
  <si>
    <t xml:space="preserve">#matnagiay #sheetmask </t>
  </si>
  <si>
    <t>#tangvong1 #v1 #dhc
Ad duyệt hộ mình với ạ huhu 3 bài rồi chưa được ad duyệt 😭😭😭
Buồn là em 20 tuổi rồi mà ngực chỉ có 70cm thua cả mấy em 2k3-2k4 nữa ạ, em rất tự ti luôn gặp ai cũng bảo lép , gặp tụi con trai chọc còn quê hơn , ai sử dụng DHC tăng vòng 1 này rồi review em biết với ạ , em tìm không thấy ai review sản phẩm này .🥰</t>
  </si>
  <si>
    <t>2019-12-13 12:02:41</t>
  </si>
  <si>
    <t>Gem Ng</t>
  </si>
  <si>
    <t>100022564896962</t>
  </si>
  <si>
    <t xml:space="preserve">#dhc #v1 #tangvong1 </t>
  </si>
  <si>
    <t xml:space="preserve">Các chị ơi cứu em với 
Em không tăng cân gì mà lại bị vết rạn nhẹ ở ngực à mông huhu 
Mọi người có kinh nghiệm bày em cách khắc phục với em sợ để lâu nó rạn rõ hơn quá 
#Randa #triranda </t>
  </si>
  <si>
    <t>2019-12-12 04:21:37</t>
  </si>
  <si>
    <t>Nguyễn Hải Yến</t>
  </si>
  <si>
    <t>100006145879169</t>
  </si>
  <si>
    <t xml:space="preserve">#triranda #Randa </t>
  </si>
  <si>
    <t>Các chị cho e hỏi có cách nào để giảm bớt đau bụng kinh không ạ.
E đã chườm nóng, uống nước gừng, có xoa dầu nhưng mà không có đỡ, cứ đau mãi thôi. Mỗi lần đến là toát mồ hôi r đau quằn quại phát khóc luôn😥, đã nhiều lần mình sử dụng thuốc giảm đau vì k thể chịu nổi, nhưng hnay mk bị sáng đau quá k chịu dk nên mk uống 1 viên vào xong chỉ giảm lúc đó thôi, bh đến tối lại rất đau,kb làm tnao nữa😰. Mà mọi ng bảo sử dụng nhiều thuốc giảm đau sẽ ảnh hưởng đến sinh sản.
Mọi người có cách nào k chỉ e với ạ, e cảm ơn ạ.</t>
  </si>
  <si>
    <t>2019-10-31 15:22:56</t>
  </si>
  <si>
    <t>Nguyễn Thị Yến</t>
  </si>
  <si>
    <t>100005513627106</t>
  </si>
  <si>
    <t xml:space="preserve">
Da e hhtd khá là khó tìm đc kcn nắng.cứ xài là bị lên mụn ẩn.mụn đỏ.
chị e trong hội có giống e review giúp e vài loại êm êm đi ạ
Thnk you ❤️❤️</t>
  </si>
  <si>
    <t>2019-10-31 15:11:40</t>
  </si>
  <si>
    <t>My Hanh</t>
  </si>
  <si>
    <t>100003709378821</t>
  </si>
  <si>
    <t>Mấy chị em ơi, cho em xin vài tip cho da bớt đen với ạ. Nhiều khi da đen quá cũng tự ti ghê.
#ask</t>
  </si>
  <si>
    <t>2019-12-10 12:43:45</t>
  </si>
  <si>
    <t>100010187806198</t>
  </si>
  <si>
    <t>Da mình còn bị mấy cái thâm thâm thì có mặt nạ hay thuốc nào trị đc ko? Tự lăn kim ở nhà đc tầm 5 lần thấy ok, vì trc đây mình bị mụn nặng lắm. Giờ chỉ bị mụn con con thôi 😞 có bước dưỡng da nào cho da dầu ko?
Ad duyệt dùm mình nhe</t>
  </si>
  <si>
    <t>2019-11-22 00:48:22</t>
  </si>
  <si>
    <t>Khanh Nguyen</t>
  </si>
  <si>
    <t>100006554743821</t>
  </si>
  <si>
    <t>#help
Em năm nay 18 tuổi bị nổi mụn từ năm lớp 8 đến giờ em vẫn chưa sd loại mỹ phẩm nào, da hiện tại của em như thế này thì xài những gì để khắc phục ạ. Em cảm ơn</t>
  </si>
  <si>
    <t>2019-12-09 00:29:19</t>
  </si>
  <si>
    <t>Anh Minh</t>
  </si>
  <si>
    <t>100044656353260</t>
  </si>
  <si>
    <t>Mọi người ơi có nên nhuộm tóc lại màu đen không ạ? Tết năm trc em nhuộm màu vàng xong nhuộm lại nâu đen nhưng tầm vài tháng là nó phai ra rồi ạ vì kh có kinh phí nhuộm lại nâu đen nhiều lần nên em muốn nhuộm một lần cho tóc đen lại luôn để không bị phai nhưng nhiều người bảo nhuộm lại đen dễ hư tóc nên em chưa dám nhuộm đen m.n cho em xin ý kiến với ạ</t>
  </si>
  <si>
    <t>2019-12-15 14:47:43</t>
  </si>
  <si>
    <t>Nguyễn Ngân</t>
  </si>
  <si>
    <t>100013180578807</t>
  </si>
  <si>
    <t>#Ask #Viêm_Xoang 
Cho mình hỏi một xíu thôi là viêm xoang có ảnh hưởng tới mắt không mà tại sao mình đi 2 cái bv rồi bs bảo là không có, ai giải thích hộ mình với, chứ mình chịu hết nổi rồi :(((( mình có nói với mẹ vậy mà mẹ mình không tin, mẹ mình nói là do mắt thôi ko phải do xoang, cả bs cũng bảo vậy :(( ai đó giải thích cho mình để mình cap lại cho mẹ mình hiểu với
Mình nhức cả đầu, cả trán, cả hốc mắt, mắt từ từ mờ dần :(( ê hết cả mình, nghẹt 1 bên nhưng không chảy mũi, cũng không có hắt xì như mấy cái viêm xoang khác, à mình còn nhức cả răng nữa ..
Mong ad duyệt sớm cho mình ạ</t>
  </si>
  <si>
    <t>2019-12-24 10:44:26</t>
  </si>
  <si>
    <t>Thiên Phong</t>
  </si>
  <si>
    <t>100000061537654</t>
  </si>
  <si>
    <t xml:space="preserve">#Viêm_Xoang #Ask </t>
  </si>
  <si>
    <t xml:space="preserve">
#mụnlưng
#helppppppp
Em hoang mang quá các chị thường thì k ít bận tâm đến cái lưng.
Hom nay sờ thử thì trời ơi mụn. Mụn đầy cả lưng kín lưng . Như mụn nước vậy ạ. Nặn chẳng ra gì cả.
Giúp e với có loại thuốc nào sức hoặc em phải ra spa nặn ạ</t>
  </si>
  <si>
    <t>2019-09-14 00:40:20</t>
  </si>
  <si>
    <t>Tường Tường</t>
  </si>
  <si>
    <t>100013424625882</t>
  </si>
  <si>
    <t xml:space="preserve">#helppppppp #mụnlưng </t>
  </si>
  <si>
    <t>#Makeup 
Gợi ý sương sương một vài layout mắt  đẹp cho các thím 😺
Cre: ST</t>
  </si>
  <si>
    <t>2019-12-15 02:27:07</t>
  </si>
  <si>
    <t>Bông Bông</t>
  </si>
  <si>
    <t>100028404883461</t>
  </si>
  <si>
    <t xml:space="preserve">#Makeup </t>
  </si>
  <si>
    <t>#ask #hoiykien #matlech
Mình có một khuôn mặt cực kỳ lệch. Mọi người xung quanh đều bảo mình là nó ok không nói không ai nhận ra cả, họ bảo là ai cũng có điểm bất mãn, không thỏa mãn với khuôn mặt mình, cũng muốn sửa. nhưng mình bị ám ảnh với độ lệch của mình ấy. 
Mình biết là ai cũng bị lệch ít nhiều, nhưng mình cảm thấy nó bị lệch quá ấy. Mình tính để dành tiền, tìm đến phẫu thuật thẩm mỹ để cân bằng lại khuôn mặt của mình. Mình là bị lệch là lệch ở xương luôn á chứ không phải ở cơ, mình nhai đều hai bên. Xương hàm và cả một bên cơ thể mình ngắn và thấp hơn bên còn lại :(( 
Mọi người nghĩ đúng là mình đang làm quá nó lên, hay nó đúng là lệch quá như mình nghĩ thật?</t>
  </si>
  <si>
    <t>2019-06-07 04:12:19</t>
  </si>
  <si>
    <t>Đào Việt Hoàng</t>
  </si>
  <si>
    <t>100004753488262</t>
  </si>
  <si>
    <t xml:space="preserve">#matlech #hoiykien #ask </t>
  </si>
  <si>
    <t>Giúp em với, em đang bị VIÊM XOANG hành hạ 5 năm nay rồi ạ. Cứ nắng mưa thất thường là em phải thở bằng miệng. Đặc biệt là em k nằm quạt, k ngồi máy lạnh được, bất tiện lắm ạ. Mẹ em cho em uống đủ loại thuốc từ tây tới đông y, rồi nhỏ mũi rửa mũi các kiểu nhưng không đỡ. Các chị biết phương pháp nào không chỉ em với, chứ em sắp chịu hết nổi rồi 😓😓</t>
  </si>
  <si>
    <t>2019-11-10 06:22:16</t>
  </si>
  <si>
    <t>Uyên Phương Lê</t>
  </si>
  <si>
    <t>100011369720386</t>
  </si>
  <si>
    <t>Đã đen còn lắm lông😭😭😭
Em đã thử qua nhiều cách như: 
Cạo thì ngứa với lông mọc cảm giác dày với đen hơn. Cẩn thận lắm nhưng vẫn bị xước da
Còn wax nóng em mua cả nồi nấu mở trăn các thứ nhưng wax kh ăn lông và bị con bán block luôn:))
Kem tẩy thì mùi hắc quá tắm nhưng vẫn còn thoang thoảng mùi kiểu thuốc uốn tóc trên da mình với cả da bị khô nữa&gt;&lt;
em cũng muốn đi triệt lắm nhưng đắt quá kh có điều kiện hiccc
Các chị đẹp có cách nào dọn dẹp đám lông lá này ko bày em với ạ😞</t>
  </si>
  <si>
    <t>2019-12-11 07:28:05</t>
  </si>
  <si>
    <t>Nhi Nguyễn</t>
  </si>
  <si>
    <t>100014460634217</t>
  </si>
  <si>
    <t>Chào mn.Mn cho e hỏi da của nhỏ bạn mình hình ,đã nặn gần như hết mụn.Mà giờ da bị thâm đỏ và cũng yếu, và rất dễ nổi mun, da thuộc loại nhờn ,lcl to.Hiện tại đang lấm tấm nổi lên vài nốt</t>
  </si>
  <si>
    <t>2019-12-20 03:23:10</t>
  </si>
  <si>
    <t>Trần Võ Vy Vy</t>
  </si>
  <si>
    <t>100005810833872</t>
  </si>
  <si>
    <t>Cách đây vài tháng em bị mụn ẩn. Đã đi spa điều trị khỏi, nhưng gần đây em lại bị như này. Mọi người  ơi. Đây phải mụn ẩn k ạ. Cho em cao kiến trị nó với a. Trước giờ mặt em nhẵn lắm. Huhu
#đẹpchanhxa
#đẹpchanhxa
Đăng hỏi mãi mà chưa được duyệt. 😥😥😥😥</t>
  </si>
  <si>
    <t>2019-12-02 14:39:11</t>
  </si>
  <si>
    <t>Hương Ngọc Lan</t>
  </si>
  <si>
    <t>100003819880867</t>
  </si>
  <si>
    <t xml:space="preserve">#đẹpchanhxa #đẹpchanhxa </t>
  </si>
  <si>
    <t xml:space="preserve">
#ask
#cáchphốiđồchebụngmỡ
Xin chào cả nhà ạ 🤗 chúc cả nhà một ngày cuối tuần vui vẻ!
Xin cảm ơn admin dễ thương đã duyệt bài cho e ☺️
Mọi người cho e hỏi cách phối đồ làm sao không cho thấy bụng mỡ đi ạ😭
Chả là bụng e toàn mỡ, nhìn vào như mấy chị bầu 5-6 tháng rồi ý. Đi chơi hay đi học gì ngồi xuống là mỡ dồn 1 cục. Do e thời gian học nhiều nên không có đi tập luyện gì được hết, nên nhờ các chị tư vấn giúp e làm sao khi mặc đồ nhìn vào sẽ không thấy một cục mỡ với ạ!
E xin cảm ơn mọi người nhiều lắm lắm 😍.
Một lần nữa e xin cảm ơn admin đã duyệt bài cho e 😘</t>
  </si>
  <si>
    <t>2019-09-01 07:55:48</t>
  </si>
  <si>
    <t>Mây Ba Ngấn</t>
  </si>
  <si>
    <t>100008166485978</t>
  </si>
  <si>
    <t xml:space="preserve">#cáchphốiđồchebụngmỡ #ask </t>
  </si>
  <si>
    <t xml:space="preserve">
#seotham
Ở đây có chị nào bị thuỷ đậu chưa. Em vừa bị thuỷ đậu . Dù đã kiêng cữ nhất nhiều nhưng khi nốt đậu bong ra vẩn để lại sẹo thâm trên mặt. Em chán nản quá. 
Không biết có ai từng bị giống em. Hay có cách nào trị thâm do thuỷ đậu không giúp em với
Ad duyệt giúp e với ạ 😭
#ảnhmangcoppy</t>
  </si>
  <si>
    <t>2019-09-16 15:08:29</t>
  </si>
  <si>
    <t>Thanh Ngoc</t>
  </si>
  <si>
    <t>100007588955734</t>
  </si>
  <si>
    <t xml:space="preserve">#ảnhmangcoppy #seotham </t>
  </si>
  <si>
    <t>help #ask #mask #kiehls #doxycycline 
* mình muốn hỏi mọi người đã ai sử dụng mask kiehls #đấtsét chưa. Mình dùng được 2 tuần thì mấy ngày gần đây lên mụn nhìu mà nó viêm viêm k cùi ạ.. trước khi dùng da mình chỉ còn thâm mụn. Và có mụn ẩn li ti. K biết đây có phải do đẩy mụn không. Da mình giờ sần mụn lên gê quá ạ. Nếu là đẩy mụn thì bao lâu mới hết.
* Mình đang dùng chấm mụn megadou và klenzit C. 
* Sẵn có ai đã trị mụn dứt điểm zs doxycycline và biotin 5mg k ạ. Mình uống hơn 2 tháng mà có lúc bớt.. lúc lại lên như bây giờ
* mụn mình chưa bao giờ hết hoàn toàn cả.</t>
  </si>
  <si>
    <t>2019-06-22 12:35:51</t>
  </si>
  <si>
    <t>Thanh Yến</t>
  </si>
  <si>
    <t>100011815804215</t>
  </si>
  <si>
    <t xml:space="preserve">#đấtsét #doxycycline #kiehls #mask #ask </t>
  </si>
  <si>
    <t xml:space="preserve">
#dưỡngẩm
#bàbầu
Hi mn. Em đang rất cần mn giúp đỡ ạ. Hiện e có bầu hơn 3m rồi. Mà nay vào trời lạnh da e khô quá. Bình thường da có khô cũng chỉ căng ra thôi, giờ bầu bí nó khô bóng tróc ra luôn. Mn có toner, kem dưỡng ẩm gì bà bầu sài ok giới thiệu em với.
Em cảm ơn ạ</t>
  </si>
  <si>
    <t>2019-12-22 15:14:53</t>
  </si>
  <si>
    <t>Trâm Lê</t>
  </si>
  <si>
    <t>100023299064718</t>
  </si>
  <si>
    <t xml:space="preserve">#bàbầu #dưỡngẩm </t>
  </si>
  <si>
    <t>Chân em bị sẹo khá nhiều, chị nào có cách hay sản phẩm nào trị sẹo tốt hông ạ 
P/s : chân trắng chân đen là do hiệu ứng ánh sáng thôi ạ)</t>
  </si>
  <si>
    <t>2019-12-18 15:33:11</t>
  </si>
  <si>
    <t>Thị Bé</t>
  </si>
  <si>
    <t>100041424791945</t>
  </si>
  <si>
    <t>#khẩncấp #ask #saffron
Xin chào mọi người ạ. Em 17 tuổi. Chuyện là mỗi lần đến tháng là em lại đau bụng quằn quại không làm gì được cả, như cực hình luôn 😭
Em có thấy các chị share trên group rằng uống saffron giúp không còn đau bụng kinh nữa.
Nhưng em có lên mạng tìm hiểu thì có thông tin saffron không dùng cho người huyết áp thấp được, mà em lại bị huyết áp thấp, huyết áp của em chỉ có 90/50 thôi.
Em không biết có ai gặp trường hợp như em chưa và có dùng saffron được không ạ?
Em xin cảm ơn 💕</t>
  </si>
  <si>
    <t>2019-08-04 09:27:52</t>
  </si>
  <si>
    <t>Perrie Chan</t>
  </si>
  <si>
    <t>100034114621407</t>
  </si>
  <si>
    <t xml:space="preserve">#saffron #ask #khẩncấp </t>
  </si>
  <si>
    <t>Hello mọi người, mình muốn xin thêm mẹo make up cho lông mi và một số hãng mascara có thể sử dụng hàng ngày.
Thích mi vuốt lên tựa tựa như vầy mà mỗi lần mình chuốt nhìn như chân nhềnh nhện á 😅
Xin cảm ơn mọi người 😍</t>
  </si>
  <si>
    <t>2019-11-18 08:41:16</t>
  </si>
  <si>
    <t>Phan Đặng Hiệp Tâm</t>
  </si>
  <si>
    <t>100002386503468</t>
  </si>
  <si>
    <t>Mn ơi cho e hỏi lúc e chải tóc n kéo ra 1 đống ntn là ntn ak. Hoang mang  quá ak.bình thường n rụng ít. Nay kéo ra 1 chùm 🤔😣😥😥</t>
  </si>
  <si>
    <t>2019-12-23 12:22:47</t>
  </si>
  <si>
    <t>Vũ Phươq Thảo</t>
  </si>
  <si>
    <t>100022105807067</t>
  </si>
  <si>
    <t>Mình mua cái bên trái ở 1 shop trên đường về với giá 80k ( thấy shop ổn và bảo hàng thật ), bên phải đặt trên shopee mall nguyên set nên k biết nó bao nhiêu tiền nhưng chất trên trong của hủ bên trái thì mùi khác và cứng hơn , chất hủ bên phải mùi khác nhưng mềm hơn ạ.
Mn cho e hỏi hủ nào thật hủ nào giả để e biết mà né ạ. Hay cả 2 đều giả 😭
Edit : Dạ cảm ơn các bạn nhiều lắm , e đã đọc từng cmt r ạ nhưng chưa có thời gian tl từng ng ❤️❤️❤️</t>
  </si>
  <si>
    <t>2019-12-17 23:13:27</t>
  </si>
  <si>
    <t>Nguyễn Yến</t>
  </si>
  <si>
    <t>100003978501318</t>
  </si>
  <si>
    <t>Bửa em có thấy một chị đăng về mặt lệch, em cũng muốn nói thêm về nó. Nhiều chị bảo nên nằm nghiêng  và nhai ở bên còn lại. Nhưng thật sự rất khó khăn. Em khá mệt mỏi về vấn đề này, chụp hình tuy không xinh nhưng coi vẫn được. Lúc nhỏ nhiều bạn nói e sống ảo, chụp hình chẳng giống ngoài tí nào. Em cũng không biết ngoài đời em nhìn ra làm sao. Trong tấm gương vẫn là con người như những bức anh cam trước, nhưng mỗi lần có ai đó quay clip y như rằng họ đang quay con dỡ hơi nào đó chứ không phải mình.. Có nhiều lúc em tự ước nếu mình chỉ cần giống như hình mình chụp la được. Em muốn hỏi các chị, thật sự cam sau mới thật là hình dạng của mình hay nó chỉ làm cho mình thấy được những khuyết điểm mà mắt thường không thấy?  Em cảm ơn .Em thật rất lo lắng về điều này.</t>
  </si>
  <si>
    <t>2019-12-14 07:58:11</t>
  </si>
  <si>
    <t>Nguyễn Mỹ Hân</t>
  </si>
  <si>
    <t>100018566078560</t>
  </si>
  <si>
    <t>#tuvan 
Điểm danh những gương mặt nhiều lông mặt như t😭. Tình hình là một lần chơi ngu thấy mấy chị bảo lông mặt nhiều bôi kem khó hấp thụ trang điểm củng khó ăn kem. Thôi e đi cạo lông mặt đi. Thế là nghe theo. Công nhận cạo lông mặt xong trang điểm đẹp phết. Nhưng ngược lại mỗi lần cạo xong là dị ứng đỏ hết cả mặt. Mà k cạo thì cứ khoảng 1 tháng là nó ra lại kinh dị nhất là vùng dưới mắt và vùng xung quanh miệng.
Nhiều lúc bận quên cạo là bị nói con gái có râu. Đau khổ dữ dăn. Ce thông thái biết làm sao để triệt hẳn luôn ạ😭</t>
  </si>
  <si>
    <t>2019-05-18 05:33:32</t>
  </si>
  <si>
    <t>100006873850131</t>
  </si>
  <si>
    <t>#ask #help #toner #klairs #hadalabo 
Mọi người ơi cho em hỏi da dầu mụn thì nên dùng toner klairs hay hada labo gokujyun super hyaluronic acid lotion ạ? Em chỉ cần làm sạch và cấp ẩm là chủ yếu thôi. Em cám ơn❤️</t>
  </si>
  <si>
    <t>2019-07-19 04:23:28</t>
  </si>
  <si>
    <t>Ngọc Linh</t>
  </si>
  <si>
    <t>100022812645253</t>
  </si>
  <si>
    <t xml:space="preserve">#hadalabo #klairs #toner #help #ask </t>
  </si>
  <si>
    <t>Em thật sự gấp lắm rồi ạ! Còn khoảng một tháng nữa là đến sinh nhật em rồi nhưng cái trán ghê quá ạ. Các anh/chị/em trong gr có cách nào trị mụn ẩn làm ơn giúp em với ạ 🙏🙏🙏</t>
  </si>
  <si>
    <t>2019-11-28 11:32:50</t>
  </si>
  <si>
    <t>Hương Vũ</t>
  </si>
  <si>
    <t>100010090056691</t>
  </si>
  <si>
    <t xml:space="preserve">Mn ai có kinh nghiệm trị thâm mụn chỉ e với ạ gần tết rồi mà mặt đầy thâm trị hoài hk hết 😭, da e là da dầu hiện tại thì hết mụn còn thâm ạ  với da dầu sd kcn nào hợp ạ 😩
</t>
  </si>
  <si>
    <t>2019-12-11 13:15:00</t>
  </si>
  <si>
    <t>Nguyễn Thị Mỹ Dung</t>
  </si>
  <si>
    <t>100024857197297</t>
  </si>
  <si>
    <t>Có bao nhiêu người tự tin sống ở tuổi 70 mà được như bà. Bà 70 tuổi ở Thái Lan. 
E hiện tại chỉ muốn bằng 1 nửa của bà thôi ạ.</t>
  </si>
  <si>
    <t>2019-10-04 02:32:25</t>
  </si>
  <si>
    <t>Hoa Nắng</t>
  </si>
  <si>
    <t>100025584663969</t>
  </si>
  <si>
    <t xml:space="preserve">
#hoidap
Mn ai có cách gì làm mờ thâm mụn với trị mụn k ạ . E bị thâm mụn dưới cằm với mụn trên mũi tự ti lắm luôn 😔 2 ngày nữa e đi ăn tiệc với bộ mặt này e k dám đi luôn ý ạ 😭 mn giúp em với. Ban đêm e chỉ lau mặt sạch r thoa dầu dừa.  Ban ngày thoa kem nghệ thái dương thôi ạ...
Ad duyệt giùm em với huhu❤</t>
  </si>
  <si>
    <t>2019-12-16 15:07:15</t>
  </si>
  <si>
    <t>Gia Hiếu</t>
  </si>
  <si>
    <t>100041787186058</t>
  </si>
  <si>
    <t xml:space="preserve">#hoidap  </t>
  </si>
  <si>
    <t>Theo mình nghĩ thì đây có lẽ là tổng hợp những gì các bạn cần sắp tới. Mong mọi người có thể cho tips giúp các bạn có một cái tết siêu đẹp 
1. Cách dưỡng trắng, giảm mụn, dưỡng da = ))
2. Giảm cân an toàn
3. Các kiểu tóc nên thử 
4. Cách tập chân, tay, vai cho nam và nữ
5. Mix đồ 
6. Cách có nhiều tiền để thực hiện 5 cái trên = )))</t>
  </si>
  <si>
    <t>2019-11-29 14:09:54</t>
  </si>
  <si>
    <t>Nguyen Kieu Khanh Quang</t>
  </si>
  <si>
    <t>100034817437513</t>
  </si>
  <si>
    <t xml:space="preserve">
#trịmụn
Tình hình là dưới cằm e hay mọc mụn liti và thâm như ảnh.
Làm sao để khắc phục tình trạng này ạ?
Em cảm ơn mọi người!</t>
  </si>
  <si>
    <t>2019-12-14 16:51:08</t>
  </si>
  <si>
    <t>Lê Trần Thanh An</t>
  </si>
  <si>
    <t>100010188364710</t>
  </si>
  <si>
    <t xml:space="preserve">#trịmụn </t>
  </si>
  <si>
    <t xml:space="preserve">
#taytrang
#ask
Da em da dầu mụn (mụn cám, mụn đầu đen, mụn ẩn) thì nên dùng tẩy trang Bioderma hay Chacott mọi người ? 
Mọi người cho em xin review vài loại tẩy trang cho da dầu mụn với ạ !
Em cảm ơn !</t>
  </si>
  <si>
    <t>2019-05-19 08:36:51</t>
  </si>
  <si>
    <t>Nguyễn Linh Lan</t>
  </si>
  <si>
    <t>100036251173902</t>
  </si>
  <si>
    <t xml:space="preserve">#ask #taytrang </t>
  </si>
  <si>
    <t>#mụndiưng
Mọi người giúp mình với😥😥.. da đã từng rượu thuốc nhưng bỏ cũng 2năm rồi..hôm trước có dùng srm centaphil nhưng không hợp bị dị ứng lên mụn quá trời..hiện tại đã ngưng skincare..chỉ dùng nước muối rửa mặt..mọi người giúp mình với..da mặt ntn không dám đi đâu cả..giờ dùng gì để cải thiện đây?</t>
  </si>
  <si>
    <t>2019-11-16 06:28:36</t>
  </si>
  <si>
    <t>Thu Hiền</t>
  </si>
  <si>
    <t>100006049743248</t>
  </si>
  <si>
    <t xml:space="preserve">#mụndiưng </t>
  </si>
  <si>
    <t xml:space="preserve">Mọi người cho e hỏi da hỗn hợp thiên dầu có mụn và thâm sử dụng bộ đôi này được kh ạ.?
E đang định dùng mà còn lăn tăn quá. Mọi người cho em xin ít review ạ. 
Mong ad duyệt bài ạ
</t>
  </si>
  <si>
    <t>2019-10-31 15:20:49</t>
  </si>
  <si>
    <t>Liu Liu</t>
  </si>
  <si>
    <t>100031526774389</t>
  </si>
  <si>
    <t>#ask #peel #TheOrdinary
Mng có ai sd peel TO mà tay đỏ như này không ạ? Em rửa tay cũng không hết, sáng hôm sau mới hết. Lúc massage từ màu đỏ chuyển sang ko màu như nước lả. Cũng không có cảm giác châm chích gì luôn ạ. Như vậy là hàng thật hay giả vậy mng? Em xin cảm ơn</t>
  </si>
  <si>
    <t>2019-05-01 14:02:22</t>
  </si>
  <si>
    <t>nguyễn nhi</t>
  </si>
  <si>
    <t>100010027294453</t>
  </si>
  <si>
    <t xml:space="preserve">#TheOrdinary #peel #ask </t>
  </si>
  <si>
    <t>#hepl
Xin phép ad!
Da mình thuộc loại khô ơi là khô. Cứ giao mùa là da mặt khô đến ngứa khó chịu luôn do da bong tróc. Sau một thời gian tìm hiểu và tiến hành skincare thì nay đỡ hơn rất nhiều. Mình đang xài các loại mỹ phẩm đơn giản bên dưới (dùng chung cho cả sáng và tối)  thấy khá là ok nhưng có vẻ chưa đủ đô với mức độ khô của da mình. Mọi người tư vấn giúp có cần thêm bớt gì không ạ</t>
  </si>
  <si>
    <t>2019-11-14 03:55:16</t>
  </si>
  <si>
    <t>Bích Liên Trần</t>
  </si>
  <si>
    <t>100002906689562</t>
  </si>
  <si>
    <t xml:space="preserve"> #hepl </t>
  </si>
  <si>
    <t>Mấy c cho em hỏi , mắt em cắt được 3 tháng hơn rồi. Mí em như thế là còn thu lại ko ah? Vì mí to trông mặt em nó già ấy 😞 . Em nghe nta bảo 6 tháng đến 1nam sẽ gôm lại nữa . Mấy c giúp em vớiuu
#Đepchanhsa #Catmi</t>
  </si>
  <si>
    <t>2019-12-06 00:47:36</t>
  </si>
  <si>
    <t>Bảo Nhiên</t>
  </si>
  <si>
    <t>100014090974569</t>
  </si>
  <si>
    <t xml:space="preserve">#Catmi #Đepchanhsa </t>
  </si>
  <si>
    <t>#đẹp_chanh_sả #ask #nám Mình nội tiết tố  không ổn định, do ăn kiêng, ăn uống không dinh dưỡng, ít ngủ,thường hay căng thẳng nên da mình bị nám .chán quá cả nhà ơi!. có cách nao khắc phục dc nám ko cả nha!.</t>
  </si>
  <si>
    <t>2019-10-29 09:40:24</t>
  </si>
  <si>
    <t>Sơn CA</t>
  </si>
  <si>
    <t>100041475052301</t>
  </si>
  <si>
    <t xml:space="preserve">#nám #ask #đẹp_chanh_sả </t>
  </si>
  <si>
    <t>Hiccc mọi người ơi cho em hỏi mask này với ạ , rõ ràng là em thấy chữ Nhật , nguồn gốc xuất xứ Nhật mà bạn em lùng sục ở Nhật Bản nhưng vẫn không tìm được mask này là sao ạ ? 
#matnatebaogocnhauthaicuunhatban</t>
  </si>
  <si>
    <t>2019-11-10 06:21:43</t>
  </si>
  <si>
    <t>Khánh Huyền</t>
  </si>
  <si>
    <t>100023928587149</t>
  </si>
  <si>
    <t xml:space="preserve">#matnatebaogocnhauthaicuunhatban </t>
  </si>
  <si>
    <t>Chân của em bị như thế này 1 thời gian ạ . Có c nào có cách chăm sóc không ạ? Với lại nên dùng sản phẩm gì để cạo lông an toàn không ạ ? E muốn không có lông mỗi lần mặc váy ạ . Em thực sự mất tự tin lắm ạ Em là tuổi mới lớn cái gì cũng không biết ạ . Các c hướng dẫn em với ạ</t>
  </si>
  <si>
    <t>2019-12-20 13:32:22</t>
  </si>
  <si>
    <t>보라</t>
  </si>
  <si>
    <t>100039514511511</t>
  </si>
  <si>
    <t>Chào mọi người. Như đã hứa ở một cmt tối qua, hôm nay Hà mạn phép chia sẻ ý kiến cá nhân về Thorakao - thương hiệu mỹ phẩm VN đáp ứng tiêu chí ngon - bổ - rẻ!
Để tránh bài viết dài, mọi người đọc nhức mắt Hà sẽ review ở từng hình. Trong bài này, Hà chủ yếu nói về các sản phẩm cho da mặt, các dòng dầu gội, sữa tắm Hà sẽ nói ở bài viết khác. Hà viết theo cảm nhận nên sẽ có chỗ lủng củng, k hay cho lắm, các bạn bỏ qua nhé. Chúc các bạn tìm được sản phẩm phù hợp!
À quên, do t chụp hình xấu quá, lại k đủ các sp nên ảnh t mượn tạm từ page và website của nhà sản xuất.
P.s: Mấy bạn nào đòi hỏi sp có tác dụng nhanh như chớp thì xin mời đi thẳng, rẽ trái sang nhà các boss bán MTM nhé!!!!@@ 
#review #Thorakao</t>
  </si>
  <si>
    <t>2019-08-12 03:00:21</t>
  </si>
  <si>
    <t>Đỗ Thị Ngân Hà</t>
  </si>
  <si>
    <t>100037479633211</t>
  </si>
  <si>
    <t xml:space="preserve">#Thorakao #review </t>
  </si>
  <si>
    <t>Các chị ơi có cách nào chăm da hướng dẫn em với hix. Da vừa dầu vừa lỗ chân lông vừa mụn ẩn, vừa thâm mụn nhìn cái mặt mà không muốn xem nữa hix</t>
  </si>
  <si>
    <t>2019-12-18 05:23:11</t>
  </si>
  <si>
    <t>Phương Ruly</t>
  </si>
  <si>
    <t>100004003614188</t>
  </si>
  <si>
    <t xml:space="preserve"> #phanhoamatong #suaongchuatuoi
Cả nhà mình cho hỏi đã ai dùng phấn hoa mật ong và sữa ong chúa tươi chưa ạ, có tốt thật sự như quảng cáo không? Và nếu dùng có thể dùng chung sữa ong chúa, phấn hoa và cả mật ong uống chung với nhau hàng ngày được không ạ vì nhà ngoại mình ở quê có chú chuyên gửi ong ở vườn nay lên chơi gặp chú mới lân la hỏi, nếu mà tốt thật thì đầu tư thử xem sao, mong ad duyệt bài ạ</t>
  </si>
  <si>
    <t>2019-11-07 11:29:33</t>
  </si>
  <si>
    <t>Bế Thoa</t>
  </si>
  <si>
    <t>100009403197506</t>
  </si>
  <si>
    <t xml:space="preserve">#suaongchuatuoi #phanhoamatong  </t>
  </si>
  <si>
    <t>#hỏi_đáp #trị_thâm
[SmoothE bản Nhật và SmoothE bản Thái]
Có chị em nào từng dùng qua 2 bản này cho em xin review được không ạ? Em trước dùng bản Nhật, khá thích vì trị thâm cực xịn lại dễ dùng. Mới sáng nay đặt hàng mua bản Thái vì em nghe mọi người nói là 2 bản gần như nhau, nhưng dùng thì mùi bản Thái nó hơi lạ, vẫn thơm nhưng thơm kiểu khác bản Nhật em dùng lúc trước, không biết có bị dính hàng giả hay gì không :( Em lo quá, chị em nào dùng qua cả 2 bản rồi confirm giúp em được không ạ?
Em cảm ơn.
Edit: Sẵn tiện chia sẻ với chị em, Smoothe này trị thâm đỉnh thật sự ấy ạ, da em thuộc dạng lâu lành, thâm mụn cả năm vẫn còn, vậy mà mua về dùng gần 2 tháng là thâm cũ thâm lâu năm bay sạch luôn ấy. Còn thâm mới tầm hơi 1 tuần đã mờ hẳn.</t>
  </si>
  <si>
    <t>2019-11-05 14:18:40</t>
  </si>
  <si>
    <t>Thích Cà Khịa</t>
  </si>
  <si>
    <t>100032310280883</t>
  </si>
  <si>
    <t xml:space="preserve">#trị_thâm #hỏi_đáp </t>
  </si>
  <si>
    <t xml:space="preserve">Mọi người ơi cho e hỏi . Loại bột nào của Nhật Bản uống detox cho cơ thể được ạ . E bị khá nhiều mụn ẩn trên chán nên định detox từ bên trong trước . Ai có loại nào recommend cho e với nha 
</t>
  </si>
  <si>
    <t>2019-11-19 10:55:31</t>
  </si>
  <si>
    <t>Ngân Ngân</t>
  </si>
  <si>
    <t>100037725379500</t>
  </si>
  <si>
    <t xml:space="preserve">Mình gáng chụp mà không rõ được. Da mình nổi u lên cứng cứng nhưng không đau giống mụn thịt. Mình để được 3 năm rồi h nó thâm lại. :"( H mặc quần nó cạ cạ lên là thấy rát này là bị gì vậy mọi người rờ vô thấy nó u sưng á. 
#help
</t>
  </si>
  <si>
    <t>2019-12-04 02:34:15</t>
  </si>
  <si>
    <t>Chim Cút Hoang</t>
  </si>
  <si>
    <t>100002112855189</t>
  </si>
  <si>
    <t>Da e thuộc loại da nhờn, nhiều mụn đầu đen.
Lâu lâu thì có mụn bọc sau khi nặn thì thâm như vậy. Mn cho e hỏi nên dùng sữa rửa mặt và kem trị thâm loại nào ạ. ( em cần kem trị thâm ít ăn nắng vì em còn đi học ạ)</t>
  </si>
  <si>
    <t>2019-11-28 13:38:08</t>
  </si>
  <si>
    <t>Huỳnh Ái</t>
  </si>
  <si>
    <t>100034537191550</t>
  </si>
  <si>
    <t>Các chị ơi môi e cứ bị nổi hột vậy hoài ko khỏi , lúc sần, lúc kiểu như mụn nước, các chị có biết bị gì chỉ giúp em với, e cảm ơn, và da e bị đốm làm sao hết ạ huhu</t>
  </si>
  <si>
    <t>2019-12-02 02:55:03</t>
  </si>
  <si>
    <t>An Nhiên</t>
  </si>
  <si>
    <t>100003264886401</t>
  </si>
  <si>
    <t>Niềng răng đẹp cỡ nào 🥴 Ai bị hô răng hay gì nên đi niềng răng đi nhé, đau đớn lúc đầu, xấu lúc đầu nhưng bù lại kết quả mỹ mãn lắm đấy, sau 3 năm niềng răng, vẫn chưa tháo.
Em 24, 25 tuổi mới niềng, niềng càng sớm càng tốt nha các bác.
#niengrang</t>
  </si>
  <si>
    <t>2019-12-10 03:08:28</t>
  </si>
  <si>
    <t>Nguyễn Bi</t>
  </si>
  <si>
    <t>100004380427823</t>
  </si>
  <si>
    <t xml:space="preserve">#niengrang </t>
  </si>
  <si>
    <t>Em chào mọi người.. mn chia sẻ em bí quyết để trị mụn cám bã nhờn ở mũi với ạ. Nhìn n khó chịu cứ bóp bóp nặn nặn mãi xong n lại lên 😭
 #trimun</t>
  </si>
  <si>
    <t>2019-12-16 10:55:10</t>
  </si>
  <si>
    <t>Ngọc Huyền</t>
  </si>
  <si>
    <t>100024595568385</t>
  </si>
  <si>
    <t xml:space="preserve">#trimun  </t>
  </si>
  <si>
    <t>#Mụn
Mấy chế ơi da cứ mụn vừa hết lại chuyển qua thâm, thâm chưa kịp trị thì mụn bọc, mụn mủ, mụn viêm trứng cút trứng chim gì nó nổi lên một lượt thì phải làm sao đây.
Ai thông thái skincare da mụn cứu em với ạ. Da mà không đẹp thiệt sự làm cái gì cũng không tự tin hết mấy chế ơi.
Ai chỉ gì em cũng dùng nhưng không thấy tiến triển gì hết. Em vừa mua bộ trị mụn vichy với cả   sản phẩm trị mụn của some by mi nhưng mới xài nên chưa biết như thế nào.
Có ai xài những sản phẩm trị mụn của 2 hãng này cho em xin ít review ạ.
Sẵn cho em hỏi em đang uống viên rau củ và viên Vtm C DHC thì có cải thiện không ạ. Nghe bảo uống càng lên mụn em hoang mang quá ạ.</t>
  </si>
  <si>
    <t>2019-11-01 14:15:59</t>
  </si>
  <si>
    <t>Hứa Linh</t>
  </si>
  <si>
    <t>100006067904076</t>
  </si>
  <si>
    <t xml:space="preserve">#Mụn </t>
  </si>
  <si>
    <t>Có bạn nào đã từng khử thâm môi chưa ạ? Màu môi mình ko được tươi mấy nhưng mình ko thích phun-xăm môi, bạn nào đã từng khử thâm rồi cho mình xin review với ạ 
#Khuthammoi</t>
  </si>
  <si>
    <t>2019-06-22 12:37:07</t>
  </si>
  <si>
    <t>Hí</t>
  </si>
  <si>
    <t>100003724038724</t>
  </si>
  <si>
    <t xml:space="preserve">#Khuthammoi </t>
  </si>
  <si>
    <t xml:space="preserve">Xin chào m.n mình mới đặt 3 món này trên shopee ở cửa hàng chính hãng liệu sài có ổn k m.n . Có thấy ai từng sài hãng này ch ạ 
#tuvan
</t>
  </si>
  <si>
    <t>2019-12-01 06:25:43</t>
  </si>
  <si>
    <t>Đỗ Huỳnh Bích Nqọc</t>
  </si>
  <si>
    <t>100011439193539</t>
  </si>
  <si>
    <t>cả nhà oi cho mk hỏi bị ntn là  sao ạ 
e có  đi  di khám  thì ngta  cho thuốc  về uong  thoi 
mùnh bị trước ngực
bị  vài nam ròii lâu nay  mới lên  hơn 
rất  ngứa  từ ngày  chăm tắm nước muối  vs  trầu không  thì  thấy k ngứa nữa ạ
có ai bị k  chỉ mk với</t>
  </si>
  <si>
    <t>2019-12-10 08:24:18</t>
  </si>
  <si>
    <t>Long Văn Nguyễn</t>
  </si>
  <si>
    <t>100021865639394</t>
  </si>
  <si>
    <t>#phốt #shopmypham
bo..n.ita B.i.ê.n H.o.à
Vâng dạo gần đây cái mask này nổi rần rần em cũng có biết đến,hôm nay em không nói gì đến cái việc nó trộn hay không trộn tốt hay không tốt mà nói về việc BNT Biên Hoà không hề dám chắc về độ an toàn của nó chỉ tìm hiểu là nó có giấy kiểm nhận y tế,thấy rầm rộ trên mạng ,biết nó thuộc của cty Việt Nam nhưng chưa hề xem xét cty đó bán những gì và như những gì em đọc được thì cty này bán kem body bán trà giảm cân, mỗi người đều có suy nghĩ riêng tin thì sài không tin thì thôi nhưng BNT lại nói nhập về do mọi người hỏi. Vâng 1 shop bán mỹ phẩm nhập mỹ phẩm về nhưng không rõ về cty của mỹ phẩm bán những gì an toàn hay không.Lỡ người tiêu dùng không biết mask này là của Việt Nam thì sao?Không biết cty mask này bán kem bán trà giảm cân thì sao?
Và shop cũng đã nói sẽ xem xét lại,em mong shop có muốn nhập hàng gì mới thì nên tìm hiểu kĩ chứ không phải đổ lỗi cho việc khách hỏi và muốn mua vì mình là shop mỹ phẩm không phải chỗ bán hàng onl. 
Em phải che tên đi vì sợ bị dính gậy.</t>
  </si>
  <si>
    <t>2019-09-28 15:22:17</t>
  </si>
  <si>
    <t>Mây Mây</t>
  </si>
  <si>
    <t>100013056678744</t>
  </si>
  <si>
    <t xml:space="preserve">#shopmypham #phốt </t>
  </si>
  <si>
    <t>Em đang muốn nhuộm tóc nhưng không có nhiều chi phí ra tiệm nhuộm, mọi người có thể recommend cho em loại nào nhuộm tại nhà mà đẹp được không ạ ? 
Em hứa sẽ review lại nếu chọn được sản phẩm phù hợp, ahihi.
Ảnh chống trôi .</t>
  </si>
  <si>
    <t>2019-11-16 09:15:57</t>
  </si>
  <si>
    <t>Ánh Minh Hồ</t>
  </si>
  <si>
    <t>100007891605877</t>
  </si>
  <si>
    <t>Chuẩn quá ^^ 
Cre : Tuyết Bích Collection
#Funny</t>
  </si>
  <si>
    <t>2019-12-03 02:23:59</t>
  </si>
  <si>
    <t xml:space="preserve">#Funny </t>
  </si>
  <si>
    <t>Da mặt bị khô, cứ trời lạnh là cứ kiểu nhám với tróc da í, mình đã dùng từ dầu dừa, vitamin E, Laneig, Vaseline mà vẫn k mềm da được. Nhà mình cho xin ít tuýp dưỡng da khô mùa lạnh với ít sản phẩm cấp ẩm cao với ạ 😭</t>
  </si>
  <si>
    <t>2019-11-30 11:29:00</t>
  </si>
  <si>
    <t>Thiên Kim</t>
  </si>
  <si>
    <t>100004441600746</t>
  </si>
  <si>
    <t xml:space="preserve">Mọi người ơi , có cách gì khắc phục da như này không ạ. Em uống và bôi theo bs da liễu được nửa tháng rồi ạ. Nhìn mặt em chán quá, sắp tết đến nơi rồi😭😭
</t>
  </si>
  <si>
    <t>2019-12-07 13:18:23</t>
  </si>
  <si>
    <t>Nguyen Vi</t>
  </si>
  <si>
    <t>100009334964162</t>
  </si>
  <si>
    <t>#Góchỏiđáp
Em chào các anh chị em. Em viết post này mong mọi người khai sáng giúp em về vấn đề giá của Kem chống nắng The Saem (Hàn Quốc). Em tìm hiểu thì thấy em này được nhiều người sử dụng và review rất tốt, tuy nhiên giá em này lại dao động vô cùng, giá chính hãng em tìm hiểu là khoảng 230k, có nơi 268k (theo mục shopping trên Google) mà cũng có nơi bán dưới 100k. Em cũng biết là phía hãng có đợt sale 1+1 nên nhiều shop mình tách ra bán để được giá tốt, nhưng em tính cũng phải hơn 100k chứ, còn chưa kể mn còn phải lấy lãi nữa...
Vì vậy em rất băn khoăn, giá rẻ như vậy chất lượng có được chính hãng không. Em thấy nhiều người review bao bì khác nhau chứ không thấy bài viết nào trên Google nói về Kem chống nắng The Saem fake cả. Các anh chị trong nhóm có kinh nghiệm giúp em với ạ. Em cám ơn cả nhà!</t>
  </si>
  <si>
    <t>2019-11-23 05:42:16</t>
  </si>
  <si>
    <t>Đỗ Thuỳ Trang</t>
  </si>
  <si>
    <t>100004819360473</t>
  </si>
  <si>
    <t xml:space="preserve">#Góchỏiđáp </t>
  </si>
  <si>
    <t>Có chị nào uống qua collagen này rồi cho e xin ít review với ạ. 
#ask #collagen</t>
  </si>
  <si>
    <t>2019-10-24 13:19:21</t>
  </si>
  <si>
    <t>Mẫn Tuyền</t>
  </si>
  <si>
    <t>100011074833840</t>
  </si>
  <si>
    <t xml:space="preserve">#collagen #ask </t>
  </si>
  <si>
    <t>Huhu da quan trọng nhất là lỗ chân lông ... đợt nổi lên vụ lăn kim mình mua về lăn 3 lần cái giờ lỗ chân lông nó to quá. Ai bị lcl to mà giờ thu hẹp lại đc chỉ mình với 😕</t>
  </si>
  <si>
    <t>2019-11-22 07:36:13</t>
  </si>
  <si>
    <t>An Tran</t>
  </si>
  <si>
    <t>100004356434356</t>
  </si>
  <si>
    <t>Mọi người ơi trong đây có ai dùng qua sản phẩn này chưa ạ ? E lỡ mua về rồi mới biết chạy quảng cáo chứ ko thần thánh như review 😞 e mua trên web 590k lận mà giờ hoang mang không dám dùng luôn 
#ask #Aesthenia</t>
  </si>
  <si>
    <t>2019-12-14 03:08:38</t>
  </si>
  <si>
    <t>Nguyễn Hằng</t>
  </si>
  <si>
    <t>100009851731001</t>
  </si>
  <si>
    <t xml:space="preserve">#Aesthenia #ask </t>
  </si>
  <si>
    <t>#đepchanhsa Da em bị dầu vùng chữ t. Khô hai bên má. Là thuộc da gì vậy mn. Em 17t. Ko có makup gì cả nên có cần tẩy trang ko ạ. Từ trước tới h cứ để da bình thường vạy. Ko skincare gì cả ạ.</t>
  </si>
  <si>
    <t>2019-11-27 02:43:05</t>
  </si>
  <si>
    <t>Trần Lan Anh</t>
  </si>
  <si>
    <t>100043173024112</t>
  </si>
  <si>
    <t>Ở đây có ace nào cũng bị dị ứng toàn thân thể khi thay đổi thời tiết hoặc do đồ ăn không ạ 
Có cách chữa không ạ 🙁
#diung</t>
  </si>
  <si>
    <t>2019-03-18 18:28:02</t>
  </si>
  <si>
    <t>Kiều Lan Anh</t>
  </si>
  <si>
    <t>100002182401733</t>
  </si>
  <si>
    <t xml:space="preserve">#diung </t>
  </si>
  <si>
    <t>#đepchanhsa
#béobụng
Huhu tụi m ơi cíu t với, t phải làm gì với cái bụng này
T là đứa có tạng người ăn cả thế giới vẫn không mập, lúc có bầu người vẫn vậy bụng thì nhỏ xí, t mà cố tình giấu là không ai biết t có bầu luôn. Lúc sinh xong thì bụng cũng không to như mấy chị trong phòng, nó xẹp lép luôn ấy, lúc đó tưởng bở sinh xong dáng còn ngon phết. Vậy mà tầm 2 tháng sau là nó phình to ra, chắc cũng tại t ăn nhiều, nhưng mà người t vẫn không mập, chỉ có cái bụng bự thôi. Và bây giờ 5th thì nó y như hình</t>
  </si>
  <si>
    <t>2019-12-07 07:56:16</t>
  </si>
  <si>
    <t>Như Trần</t>
  </si>
  <si>
    <t>100027203774942</t>
  </si>
  <si>
    <t xml:space="preserve">#béobụng #đepchanhsa </t>
  </si>
  <si>
    <t xml:space="preserve">
Mấy chị oi tình hình là e đang bị thủy đậu..e hoang mang không biết khi nào mới hết nửa ạ e có đi khám bs và uống thuốc.
Máy chị cho e chút chia sẻ về thủy đậu với e đang rầu</t>
  </si>
  <si>
    <t>2019-11-19 00:00:24</t>
  </si>
  <si>
    <t>Quỳnh Như</t>
  </si>
  <si>
    <t>100013116252158</t>
  </si>
  <si>
    <t>#nhuomtoc 
Edit : có khá nhiều cmt hỏi t mua ở đâu nhưng group ko cho công khai chỗ bán 😢
Tự nhuộm màu rêu khói với bọt nhuộm Hello Bubble.
Thấy Aritaum sale bọt nhuộm này rẻ quá nên liều mình quất về xem sao 😂 t mua màu Ash Khaki, mã màu 7k. Nhuộm màu sáng thì mn nhớ phải tẩy tóc mới lên đc màu nha, tóc t thì trước đấy đã tẩy và nhuộm sáng rồi 😅 giờ nhuộm đè lên màu tóc cũ thôi. Các gói thuốc nhuộm có đánh số rồi nên rất dễ pha màu, mn trộn gói số 1 và số 3 vào lọ số 2 nhé. Sau đó thay vòi nhấn vào ( khi thuốc nhuộm phun ra từ đầu nhấn sẽ tạo bọt ) rồi lắc nhẹ nha. Hộp thuốc nhuộm đi kèm găng tay và áo choàng nilon nên tiện lắm, ko sợ dây bẩn áo đâu. Tóc t ngắn nhưng hơi dày nên phải 2 hộp mới đều màu đc, bạn nào tóc mỏng thì 1 lọ là okie r , mùi cũng dễ chịu ko quá hắc như thuốc ngoài quán đâu. T để khoảng 40p rồi gội ( ko dùng dầu gội) sau đó dùng gói màu cam để xả tóc, ui gói đấy thơm dã man luôn, mà tóc thì mềm rũ luôn ấy ☺️ Nói chung bọt nhuộm cực phù hợp nếu mn tự nhuộm ở nhà, màu lên đều hơn so với dạng kem, nếu mua lúc hãng sale thì khá rẻ 😘😍</t>
  </si>
  <si>
    <t>2019-09-24 12:10:50</t>
  </si>
  <si>
    <t>Mèo</t>
  </si>
  <si>
    <t>100007154916719</t>
  </si>
  <si>
    <t xml:space="preserve">#nhuomtoc </t>
  </si>
  <si>
    <t>Cho xin acclone nhé
K liên quan đến làm đẹp nhưng em cần mn giúp
Chuyện là áo của em phơi k biết dính gì mà màu xanh lè, dùng bột giặt chà k ra nên em dùng thuốc tẩy và ra màu vàng nhìn trong ảnh v thôi chứ nó vàng khè à, em đã thử nhiều cách trên mạng và cả ngâm thuốc tẩy 20 30p nhưng nó vẫn không phai ra bớt, mn có cách gì không ạ , áo này em thích làm nên không dám bỏ:(((</t>
  </si>
  <si>
    <t>2019-11-28 08:41:51</t>
  </si>
  <si>
    <t>Dt Ml</t>
  </si>
  <si>
    <t>100041626569845</t>
  </si>
  <si>
    <t>Chỉ em cách hết thâm hết mụn với ạ 😭😭😭</t>
  </si>
  <si>
    <t>2019-11-24 15:35:52</t>
  </si>
  <si>
    <t>Nguyễn Văn Trung</t>
  </si>
  <si>
    <t>100026280670391</t>
  </si>
  <si>
    <t>Dạ e từng bị dính thuốc rượu rất nặng. Em skincare hơn 1 năm mấy rồi. E tính mấy bữa đi nặn mụn tại spa. Nhưng em không biết nặn về dùng gi và mấy sản phẩm e đang dùng cần thêm sản phẩm nào không ạ. E đang tính mua B5 TO thì được k ạ
- Nước tẩy trang Garnier hồng cho da nhạy cảm
- Srm cam mật ong Himalaya
_ Red peel
- toner simple
- Kem vitamin C Klairs
- Kem dưỡng Klairs
- Kem chống nắng cell ( chất kem màu trắng)
Mong mọi người giúp em. Cảm ơn group
#skincaresaunanmun</t>
  </si>
  <si>
    <t>2019-11-26 09:23:37</t>
  </si>
  <si>
    <t>Kim Kim</t>
  </si>
  <si>
    <t>100024257931861</t>
  </si>
  <si>
    <t xml:space="preserve">#skincaresaunanmun </t>
  </si>
  <si>
    <t>Mong ad duyệt bài giùm em❤. Cảm ơn ad.
Các chị ơi có ai cứu em được không ạ. Em mới 23 tuổi mà chân tay đều bị như vầy. Giấc mộng đầm váy chắc dẹp luôn quá. Em bị ngứa dữ lắm. Em gãi rồi nó thành sẹo thâm. Nhiều năm lắm rồi mà vẫn không mờ ạ. Có chị nào có cách hay thuốc gì hiệu quả không chỉ em với ạ. Cảm ơn các chị nhiều ạ❤</t>
  </si>
  <si>
    <t>2019-10-26 05:18:38</t>
  </si>
  <si>
    <t>Ngọc Minh Thư</t>
  </si>
  <si>
    <t>100042465648975</t>
  </si>
  <si>
    <t>#ask 
Vì có nhiều bạn bè trong gr nên em xin phép dùng acc clone
Em đang stress quá, vì da mặt ngày càng tệ. Da em là da dầu mụn, có cả thâm và lcl to dã man. Cứ lần nào soi gương là chán chẳng để đâu hết. Nên mọi người cho em xin vài tips để se khít lcl với trị thâm - mụn với ạ. Vì em còn là học sinh nên những sản phẩm đắt đỏ thì em không mua được
Em đang dùng
Tẩy trang: simple
Srm : corsx
Toner: witch hazel lavender
Serum: melano cc
Chấm mụn: pair
Kcn: the saem.</t>
  </si>
  <si>
    <t>2019-11-16 09:18:20</t>
  </si>
  <si>
    <t>Trần Ngọc Dương</t>
  </si>
  <si>
    <t>100038491536088</t>
  </si>
  <si>
    <t xml:space="preserve"> #ask </t>
  </si>
  <si>
    <t>Các chị em ơi , da châb em nó bị tình trạng như vậy , tự ti lắm ạ , dù đã kì rửa sạch sẽ nhưng nó không hết , em không tự tin mặc váy ngắn luôn , ce nào có cách cứu không ạ 😣😣
Bị từ nhỏ rồi ạ
#ask</t>
  </si>
  <si>
    <t>2019-12-08 03:52:57</t>
  </si>
  <si>
    <t>Phương Thuyên</t>
  </si>
  <si>
    <t>100028969994138</t>
  </si>
  <si>
    <t>#đẹpchanhxả #ask
#sữarửamặt #help
Chào các anh chị ạ, em 21t, thuộc dạng da hh thiên dầu, nhạy cảm, có mụn đầu đen, mụn ẩn và mụn bọc cả mụn cám nữa ạ, lcl to nữa ạ 😭😭😭
Giờ em đang tập tành skin care và đang muốn tìm srm hợp với làn da của mình, các anh chị giúp em với ạ
Theo em tìm hiểu thì em  định dùng 1 trong 4 loại này ạ, nếu các anh chị có loại srm nào khác mà dùng cũng tốt thì cho em xin tên ạ 😊😊😊 
Em cảm ơn ạ</t>
  </si>
  <si>
    <t>2019-09-14 13:47:57</t>
  </si>
  <si>
    <t>Ly Phan</t>
  </si>
  <si>
    <t>100006528127689</t>
  </si>
  <si>
    <t xml:space="preserve">#help #sữarửamặt #ask #đẹpchanhxả </t>
  </si>
  <si>
    <t>#munviem #munmu
Da mình trước đây từng xài thuốc rượu
Xong đi spa có xài Mai Thảo Mộc, hết mụn rất đẹp,  sau đó bị ngứa và đã ngưng
2 tháng gần đây mình bị lên mụn mủ, có đi nặn nhưng k đỡ, lan ra rất nhiều, mụn mủ dễ bể, bể là lan ra
Hiện tại mình đang dùng Tẩy trang Biorderma nắp hồng - Srm Rossete xanh dương
Giúp mình với mn ơi 😢😢😢😢😢</t>
  </si>
  <si>
    <t>2019-12-20 05:42:50</t>
  </si>
  <si>
    <t>Nhi Bi</t>
  </si>
  <si>
    <t>100009085355577</t>
  </si>
  <si>
    <t xml:space="preserve">#munmu #munviem </t>
  </si>
  <si>
    <t xml:space="preserve">
#Trimoitham
#Ask
Chào mọi người 
Em 18 tuổi, môi của em thì e không nghĩ nó thâm bẩm sinh đâu, e mong là vậy. Phần môi dưới vẫn ổn, có 2 rìa ngoài dưới hơi đen, phần môi trên thì 90%  thâm đen xì. Son môi là phần môi trên k lên màu nổi luôn ạ, vẫn đen như hình. Nhìn mất thẩm mĩ thật sự.
Mọi người cũng hay nhắc nhở, nhưng do e cũng không quan tâm lắm, mà giờ lớn rồi, biết xem trọng ngoại hình nên e muốn tìm cách điều trị. E cũng rất muốn được dùng son như bao cô gái khác ạ
Có nhiều cách để xử lý môi thâm, nhưng e muốn thử cách gì mà không phải xâm lấn da thịt ạ, nếu đến cuối cùng mà k thay đổi được, chắc em phải đi phun môi T^T. Hiện e đang ở Nhật, không biết sản phẩm ở đây có thể giúp e không..
Mọi người cho e lời khuyên với ạ, hiện tại e gặp người mình thích, đúng lúc cũng thích mình, nhưng em lại bỏ chạy vì tự ti. Cảm ơn mọi người nhiều ạ!</t>
  </si>
  <si>
    <t>2019-12-12 04:22:09</t>
  </si>
  <si>
    <t>Ichi Ni</t>
  </si>
  <si>
    <t>100044473186935</t>
  </si>
  <si>
    <t xml:space="preserve">#Ask #Trimoitham </t>
  </si>
  <si>
    <t>Cháu E chân bị những nốt ntn khoảng 3 tháng nay, khi nào mặc quần áo chặt thì hơi ngứa 1 tí, còn bt đôi khi hơi rát rát. Đi xét nghiệm k phải nấm. Bsy kết luận viêm da cơ địa. Mà từ bé tới lớn con bé chưa bị bao giờ. Có chị E nào biết nó là bệnh gì và cách chữa ntn không bảo E với ạ. E cảm ơn nhiều!</t>
  </si>
  <si>
    <t>2019-12-08 08:59:35</t>
  </si>
  <si>
    <t>Nguyễn Vân Anh</t>
  </si>
  <si>
    <t>100003715883792</t>
  </si>
  <si>
    <t>Xin chào mọi người. Hôm nay mình muốn viết một chút về Foundation, BB Cream và CC Cream. Thấy nhiều loại quá nên mình sẽ viết theo cách dễ hiểu nhất nha ❤ 
     1. Foundation: đây là kem nền basic nhất. Tất cả những loại cream sau này đều được phát triển dựa trên foundation. Ưu điểm là rất lâu trôi, nhiều tone màu nữa. Điển hình là mình dùng chai Dior Forever Skin Glow Foundation (30ml). Mình mua chai này ở Nhật giá tầm 1 triệu 2. Foundation này có tới 31 tones màu luôn và mình thì cực thích da trắng nên mình chọn tone 0N Neutral/Glow. Em này lên da cực kỳ mướt, che khuyết điểm tốt, ko có cảm giác bị dày quá. Da dầu thường sẽ thích dùng foundation đó ❤ Với lại mình cũng mua thử Bobbi Brown Skin Foundation Stick vì trông thiết kế hay ho quá. Kem nền nhưng mà như thỏi son cho nên cầm đi đâu cũng tiện cả. Giá mình mua là cỡ 1 triệu 2 (9g). Nhiều màu cực luôn nhưng mà che khuyết điểm cũng bình thường thôi huhu. Điểm cộng là không bị bí bách quá nhưng mình không thích lắm 😞
      2. BB cream (Blemish Balm) = kem nền + kem dưỡng da 
Dành cho bạn nào cần một loại kem nền mỏng nhẹ, làm đều màu da, làm mướt, chống nắng hay là mặt có vết thâm, nám hoặc mụn thì hãy chọn BB cream nheee. Nhưng mà BB cream thì cực kỳ nhanh trôi. Da thường và da khô sẽ nên dùng BB cream hơn là da dầu vì chất kem ẩm. Mình dùng thử kem nền Maybelline pure BB Mineral BB Super Cover (2 tông màu Natural và Medium). Em này cung cấp độ ẩm và làm mịn da, dễ tán mà giá cũng không quá đắt nữa ❤ 
     3. CC cream (color correcting cream) = kem lót +  kem che khuyết điểm + kem nền 
CC là chữ viết tắt của color correct, color control hay complete correction, tạm dịch là kem làm điều chỉnh sắc tố da (hay làm đều màu da). Ưu điểm là lâu trôi hơn BB cream và không chứa dầu, mỏng nhẹ cho nên là CC cream sẽ phù hợp với da dầu hay da bị mụn hoặc dễ bị mụn. Sắp đến hè rồi và mình mua thử CC cream của Chanel (55$) thì mình thấy là làm đều màu da tốt, thơm, không nhờn rít nhưng mà không kéo dài lắm.
Yeah xong rồi mong là có ích cho mọi người nhaaa ❤</t>
  </si>
  <si>
    <t>2019-04-26 13:57:49</t>
  </si>
  <si>
    <t>Bùi P. Hồng Phúc</t>
  </si>
  <si>
    <t>100016374066873</t>
  </si>
  <si>
    <t>#Review #Son 
Hellu các chị em, hôm nay sẵn dịp dọn phòng mình đã lôi hết những cây son mình có ra nghịch và tổng hợp được cho mn 12 em son mà mình nghĩ là sẽ rất thích hợp để đánh hằng ngày ko cần trang điểm nè. Mình sẽ chia mấy em này thành các nhóm giống màu nhau hoặc giống chất son của nhau cho dễ so sánh và mn dễ theo dõi nha.
Nhóm 1: Aritaum 03 và Peripera 02
Hai em này thì đều là tông màu đỏ cam nhưng với 2 chất son khác nhau. Aritaum là chất son tint nên sẽ bóng hơn và thích hợp cho bạn nào thích môi nhìn mọng nước như Hàn Quốc còn Peripera thì là chất son velvet mềm mịn. Độ bám màu của hai em này phải nói là thuộc hàng khủng nhưng chất son sau một thời gian dùng sẽ thấy khô môi và những chỗ trôi đi sẽ để lại base hồng khá rõ.
Nhóm 2: 3CE Daffodil và Black Rouge A02, A06
Mình nhóm hai dòng son này lại với nhau vì thấy chất son khá tương đồng với nhau, đều mịn và xốp. Điểm trừ chung của 2 em này là khá nhanh trôi và transfer nhiều. Nếu soi kĩ để so sánh thì chất son của 3CE sẽ mỏng hơn, cần nhúng cọ nhiều lần để tô full môi nhưng bù lại sẽ mềm môi hơn, còn chất của Black Rouge thì khi apply lên khá đều màu nhưng sau tầm 3-4 tiếng thì sẽ thấy môi bị khô.
Nhóm 3: Lemonade Sugar, Salt và Milktea
Tính ra thì Lemonade khiến mình khá ưng về khoản chất son vì cả 2 dòng son hãng đã ra mắt chất son đều rất ổn. Dòng son hai đầu thì mình thích đầu lip filler nhất vì khả năng làm mịn và mờ rãnh môi tốt, đầu son thì chất cũng ok. Còn riêng cây Milktea dòng Matte Addict gần đây thì chủ yếu mình mua vì màu đẹp chứ trước giờ thì mình vẫn thích dùng son kem hơn son thỏi. Nhưng mà lúc mua về đánh thì thấy chất son lì của ẻm dùng cũng thích không kém, mịn với nhẹ môi.
Nhóm 4: BBIA 25, Innisfree 14, Ofelia Hermosa, M.A.C Marrakesh
Mấy em này ở chung 1 nhóm vì mình thấy tông màu khá giống giống nhau, kiểu màu nâu đỏ hoặc đỏ gạch. Hai em BBIA và Innisfree thì là chất son kiểu velvet nên rất mịn và mềm môi nhưng mà tình trạng chung là môi có cảm giác bị khô sau 3-4 tiếng sử dụng. Được cái là 2 em này có độ bám màu tốt và khi trôi đi cũng không bị base hồng nên mình thấy khá ổn. Hai em Ofelia và M.A.C thì là chất lì nên khô hơn thấy rõ, kiểu mới apply son lên thôi là đã thấy môi khô dù có bôi dưỡng trước đó rồi ấy. Sau một lúc thì mình thấy lộ rãnh môi nhiều, nhất là với em Ofelia. Mỗi lúc dùng em Ofelia này là mình sẽ phải đánh một lớp lip filler của Lemonade lên trước để chất son bớt khô. Nhưng mà vì màu son đẹp thế nên cũng tạm bỏ qua cho ẻm.
Hi vọng 12 em son gợi ý này của mình sẽ phần nào giúp mọi người chọn được màu son thích hợp cho mình nha.</t>
  </si>
  <si>
    <t>2019-08-30 08:46:24</t>
  </si>
  <si>
    <t>Trang Thu</t>
  </si>
  <si>
    <t>100027655637120</t>
  </si>
  <si>
    <t xml:space="preserve">#Son #Review </t>
  </si>
  <si>
    <t>Em chào mọi người ạ. Thằng em của em hôm nay bị tai nạn. Bác sĩ may 2 lớp với vết thương khá dài. Mọi người cho em xin review loại trị sẹo nào tốt với ạ. Sắp tết rồi không biết làm sao nhanh hết sẹo để giấu mẹ khỏi lo nữa. Em cảm ơn mọi người nhiều ạ</t>
  </si>
  <si>
    <t>2019-12-09 15:38:23</t>
  </si>
  <si>
    <t>Thư Anh V</t>
  </si>
  <si>
    <t>100005397132864</t>
  </si>
  <si>
    <t>#mayruamat #laohoada
Chào chị em. Cho e hỏi chút là có ai dùng máy rửa mặt mà bị da chảy xệ chưa ạ. Em mua máy này dùng được 3_4 tháng rồi dạo này nhìn mặt thấy 2 rãnh cười hơi xệ và rõ hơn hay sao ấy ạ. Em 26 tuổi, k biết do tuổi tác hay do dùng máy rửa mặt không đúng cách. Lúc rửa e cũng chỉ mát xa tròn trên mặt. Ai có kinh nghiệm gì không giúp mình với. 
P/s: Ngoài lề, ai biết loại kem chấm mụn giảm sưng viêm và chồi ngòi mụn hiệu quả cả mụn đầu trắng và mụn bọc, mụn ẩn không mách em với. Em cảm ơn.</t>
  </si>
  <si>
    <t>2019-08-19 10:01:33</t>
  </si>
  <si>
    <t>Đỗ Đỗ</t>
  </si>
  <si>
    <t>100006821679407</t>
  </si>
  <si>
    <t xml:space="preserve">#laohoada #mayruamat </t>
  </si>
  <si>
    <t>#help #mụn #nhiễmcor #maithảomộc
Chuyện là từ một đứa chưa bao giờ dám xài rượu thuốc, kem trộn xong bây giờ lại dính Mai thảo mộc, xài được 3 lọ vô group mới biết nó là rượu thuốc thì em ngưng hơn 1 tuần nay bây giờ mặt em nổi mụn như này 
Da thì sần hết lên, rửa mặt mà nhám hết cả tay luon mng ạ 😭
Giờ em chỉ tẩy trang Bio nắp hồng, srm
Xông mặt lá tía tô, chanh xả 2 lần/tuần ạ
Mọi người bày e cách nào với, chứ da em vừa rát vừa ngứa em stress lắm 😭
Mong ad duyệt cho em 
Cám ơn mọi người rất nhiều!!</t>
  </si>
  <si>
    <t>2019-11-05 09:04:03</t>
  </si>
  <si>
    <t>Duy Phương</t>
  </si>
  <si>
    <t>100022018674187</t>
  </si>
  <si>
    <t xml:space="preserve">#maithảomộc #nhiễmcor #mụn #help </t>
  </si>
  <si>
    <t>Em có đi phun môi nhưng màu lên không đẹp và rất nhạt... có ai biết chỉ cách em làm môi lên màu đi ạ 
Em cảm ơn mn</t>
  </si>
  <si>
    <t>2019-12-20 09:37:33</t>
  </si>
  <si>
    <t>Mợ Chảnh</t>
  </si>
  <si>
    <t>100040347843189</t>
  </si>
  <si>
    <t xml:space="preserve"> #ask
Em hỏi điều này tế nhị nhưng thực sự em thấy search google cũng không bằng lên đây hỏi các chị - những người từng trải - nên em mạnh dạn đăng bài. Có gì không phải mong admin nhẹ nhàng nhắc nhở em ạ, vì hiện giờ em đang rất rối trí. Em cảm ơn admin và các chị nhiều!
Chuyện là mép môi bé và phần bẹn của em bị thâm các chị ạ :)) môi lớn và môi bé (ngoại trừ phần mép) cũng hồng nhưng là hồng nhợt nhạt, hồng tái khiến em rất tự ti. Mặc dù hiện tại em chưa có người yêu, nhưng em sợ sau này nếu ổng nhìn thấy lại tắt nwngs, vì đến chính em nhìn em còn chán nữa 😔 các chị cho em hỏi có loại sản phẩm nào hoặc có cách nào làm sáng vùng bẹn và làm hồng mép môi bé cũng như vùng bikini này không ạ 😭😭😭</t>
  </si>
  <si>
    <t>2019-11-11 23:30:55</t>
  </si>
  <si>
    <t>Lam Anh Diep Le</t>
  </si>
  <si>
    <t>100028476284847</t>
  </si>
  <si>
    <t>#Ask 
Mong ad duyệt bài giúp em nhé. Em cám ơn trước ạ ❤️
500 chị em ơi cho em xin một vài hãng son có màu này đi ạ 😍 Em ghiền màu này lắm mà ít thấy hãng son nào có màu vậy. ❤️ Son sáp càng oke hơn ạ</t>
  </si>
  <si>
    <t>2019-11-23 05:45:04</t>
  </si>
  <si>
    <t>Lê Gia Hân</t>
  </si>
  <si>
    <t>100012237767385</t>
  </si>
  <si>
    <t xml:space="preserve">#Ask </t>
  </si>
  <si>
    <t>#ask #toner #dadầumụn
Mọi người giúp e với ạ! Da e mới nặn mụn đc 2 tuần xong e dùng toner này, giờ bị lên mụn như hình ☹️☹️ e giờ k biết dùng toner nào luôn vì dùng nhiều loại rùi. Da e nhạy cảm nên dùng chẳng hợp dù mọi người review dùng tốt. E đã dùng Dickinson, Thayer Lavender, Hadalabo, Corx giờ là Christian Lenart này cũng k hợp ạ! Có toner nào cho da dầu mụn nhạy cảm như e dùng được k ạ? ☹️☹️</t>
  </si>
  <si>
    <t>2019-09-07 14:39:54</t>
  </si>
  <si>
    <t>Trần Kim Tuyền</t>
  </si>
  <si>
    <t>100036765402613</t>
  </si>
  <si>
    <t xml:space="preserve">#dadầumụn #toner #ask </t>
  </si>
  <si>
    <t xml:space="preserve"> #help
Mọi người ơi e đang muốn dưỡng da đón tết. E định xài sữa dưỡng thể vaseline mà k biết nên mua loại nào. Mọi người chỉ giáo cho e với ạ. E cám ơn mn. Mong ad duyệt bài cho em❤❤❤.</t>
  </si>
  <si>
    <t>2019-11-28 08:37:40</t>
  </si>
  <si>
    <t>Hà Mii</t>
  </si>
  <si>
    <t>100006697457674</t>
  </si>
  <si>
    <t xml:space="preserve">#help  </t>
  </si>
  <si>
    <t xml:space="preserve">Cực phẩm TRẮNG DA từ thiên nhiên từ dừa và sữa. Da c nào ngâm đen từ lâu, xài kem bị hồi da, xài các loại dưỡng mãi k trắng thì thử cách này nha 
💁 Công thức: ra chợ mua 5k dừa nạo + sữa k đường. Về trộn lại rồi dùng để tắm tẩy. Ngày nào cũng tắm. Liên tục 3 ngày sẽ thấy hiệu quả rõ rệt. Nếu ai k thích mùi sữa thì có thể nặn thêm 1/2 trái cam để có mùi thơm 
💁 Tác dụng: mịn, mướt, trắng da, k bết rít 
📛 Lưu ý: 
- Chỉ tắm lại với nước sạch, k tắm lại bằng xà bông 
- Dừa dễ bị chua, nên các c mua ít thôi. Dư thì có thể để ngăn đông tủ lạnh. Tắm thì xả đông rồi tắm bth, vẫn thơm mùi sữa dừa 
- Nên để miếng lưới ở lỗ thoát nước để lọc xác dừa, tránh nghẹt cống 
Thiên nhiên là e thấy loại này nhanh trắng nhất. Xài ngày đầu là thấy sáng da rồi. Vì da e cũng ngâm đen nên e thử thấy cách này oke 
</t>
  </si>
  <si>
    <t>2019-11-03 11:53:13</t>
  </si>
  <si>
    <t>Phẹm Phẹm</t>
  </si>
  <si>
    <t>100007115374038</t>
  </si>
  <si>
    <t>T nói mấy con bán đồ trộn nó k có dám xài đồ nó bán đâu. Mấy thím tỉnh ngộ đi tụi nó xài đồ hãng nha.
Đồ trộn đi nhái La Mer coi tức không?
Cre : phốt đồ trộn
#đồtrộn #antiđồtrộn</t>
  </si>
  <si>
    <t>2019-10-27 09:07:16</t>
  </si>
  <si>
    <t>Nhi Đặng</t>
  </si>
  <si>
    <t>100038753655994</t>
  </si>
  <si>
    <t xml:space="preserve">#antiđồtrộn #đồtrộn </t>
  </si>
  <si>
    <t>Cho e hỏi xíu .. mấy ngay môi cứ nổi hột li ti ở môi trên là bị gì và làm sao đễ hết ạ : ((</t>
  </si>
  <si>
    <t>2019-12-18 08:43:04</t>
  </si>
  <si>
    <t>Nhi Nquyễn</t>
  </si>
  <si>
    <t>100020817991650</t>
  </si>
  <si>
    <t>Chị em làm kiểu tóc đi chơi noel nè
Cre mem HKN</t>
  </si>
  <si>
    <t>2019-12-24 13:20:36</t>
  </si>
  <si>
    <t>Dương Bảo An</t>
  </si>
  <si>
    <t>100027963903281</t>
  </si>
  <si>
    <t>#ask #tuvan #tocgia 
Em bị rụng tóc và dẫn đến việc bị hói đến nay đã 2 năm. Em sd các loại tinh dầu bưởi này nọ vẫn không có tác dụng nên em bỏ cuộc và giờ đang gội với bồ kết. Nhưng vì hói quá cột tóc thì hói trên đỉnh, thả tóc thì hói phía sau đầu nên em hoảng quá nên định tìm đến TÓC GIẢ và hộp PHẤN CHE HÓI. Có anh chị này từng sdung các spham nào để che hói chưa cho em xin vài loại với ạ. Em cảm ơn.
*** Em thấy có nhiều bạn bảo dùng tinh dầu bưởi này nên em thử thêm 1 lần nữa. Cho em xin ít review với ạ.
Em cảm ơn mọi người
Mong ad duyệt bài.
P/s : em ở NHA TRANG. Không biét ở Nha Trang có chỗ nào khám tóc không ạ (trừ bvien da liễn vì em khám rồi ngta chỉ cho 1 đống thuốc. Em uống ko có tdung)</t>
  </si>
  <si>
    <t>2019-08-28 15:12:35</t>
  </si>
  <si>
    <t>Na Na</t>
  </si>
  <si>
    <t>100010432867798</t>
  </si>
  <si>
    <t xml:space="preserve">#tocgia #tuvan #ask </t>
  </si>
  <si>
    <t xml:space="preserve">Dễ lại 1 cú “thay tên đổi họ” đánh lừa người dùng lắm nhé. 
Phân phối ntn có mà hại bn người, spa làm ăn thất đức vì lợi nhuận mà nhắm mắt bất chấp. Ng tiêu dùng nên tự cảnh giác và bảo vệ sức khoẻ sắc đẹp của chính mình thôi.
Ảnh 1 mem DCS gửi.
</t>
  </si>
  <si>
    <t>2019-09-25 04:06:30</t>
  </si>
  <si>
    <t>Nguyễn Thị Thu Hằng</t>
  </si>
  <si>
    <t>100028528008279</t>
  </si>
  <si>
    <t>#help #tưvan
Chào mọi người. Em đang khó chịu với da em, không biết vấn đề ở đâu nên mọi người tq vấn giúp em ạ 😭
Nó cứ sần sần mụn ẩn, có sẹo mụn do lúc trước đi lấy nhân mụn nơi không uy tín. Dạo gần đây cần lúc càng sần lên 😭
Các bước chăm sóc của em:
* Tối
- tẩy trang Loreal
- srm Corxs tràm trà
- Ttbc st.even trà xanh ( 1,2 lần/tuần)
- toner Fraijour + mishoku
- kem dưỡng ẩm Simple
* Sáng
- srm corsx
- toner Fraijour
- kcn The same
Da em hỗn hợp thiên dầu ạ</t>
  </si>
  <si>
    <t>2019-12-03 04:43:08</t>
  </si>
  <si>
    <t>Kim Hân</t>
  </si>
  <si>
    <t>100005210747267</t>
  </si>
  <si>
    <t xml:space="preserve">#tưvan #help </t>
  </si>
  <si>
    <t>#trịtànnhang
Help cả nhà uiii. Ai có sản phẩm gì trị tàn nhang hiệu quả chỉ giúp mình với. Bôi thử các thể loại từ Nhật đến Hàn, cả uống mà chưa thấy loại nào thực sự hiệu quả cả.
Bầu bí rồi sinh xong giờ càng rõ hơn. Đau khổ quá 😭( mình có dùng kcn đều nha)</t>
  </si>
  <si>
    <t>2019-08-06 08:36:01</t>
  </si>
  <si>
    <t>Hương Thu Vũ</t>
  </si>
  <si>
    <t>100002312242206</t>
  </si>
  <si>
    <t xml:space="preserve">#trịtànnhang </t>
  </si>
  <si>
    <t>Hiểm hoạ tiêm Filler 🤧🤧🤧</t>
  </si>
  <si>
    <t>2019-12-01 06:51:49</t>
  </si>
  <si>
    <t>Thảo Nguyên</t>
  </si>
  <si>
    <t>100042075226240</t>
  </si>
  <si>
    <t>#cocnguyetsan 
#sibell 
Các chị ơi em vừa mua cái cốc nguyệt san Sibell.
Mà sao em cho vô thì không thấy cấn.
Ban ngày đi lại nhiều thì không sao
Cứ ban đêm đi ngủ hay trưa em ngủ là nó lại trào tè le cốc không hứng được dâu. Huhu. Ai có thể cho e kinh nghiệm xử lý. Ai ngủ tư thế gì hay sao đc ko ạ.</t>
  </si>
  <si>
    <t>2019-11-08 00:50:04</t>
  </si>
  <si>
    <t>Nguyễn Thị Thùy</t>
  </si>
  <si>
    <t>100009383410960</t>
  </si>
  <si>
    <t xml:space="preserve">#sibell #cocnguyetsan </t>
  </si>
  <si>
    <t>Hôm trước em có thấy topic review về loại dầu gội thorakao . Và thực phẩm chức năng màu hồng kia. Em có tìm trên các hiệu thuốc lớn mà không có. Em lên đây mong mn tìm mấy sản phẩm này giúp em ạ :(( tóc em rụng nhiều quá thật sự rất buồn :((( 
Mong ad duyệt ạ</t>
  </si>
  <si>
    <t>2019-10-07 09:12:31</t>
  </si>
  <si>
    <t>Xiao Yu</t>
  </si>
  <si>
    <t>100013082080982</t>
  </si>
  <si>
    <t xml:space="preserve">
#mụn
Tha thiết mong ad duyệt bài ( nhiều bài e không đc duyệt 😭)
Mn cho e hỏi mụn đó có phải mụn đá k ạ
Cái to là e bị hơn 2 năm rồi
Giờ nó nổi thêm cái nhỏ kế bên,đang to dần😭
K biết có phải nó nhảy k😂😂
Làm sao cho hết ạ
Cảm ơn mn .</t>
  </si>
  <si>
    <t>2019-12-23 16:13:39</t>
  </si>
  <si>
    <t>Thanh Thanh Nhàn</t>
  </si>
  <si>
    <t>100004907082955</t>
  </si>
  <si>
    <t xml:space="preserve">#mụn </t>
  </si>
  <si>
    <t>#Makeup #NguyenHuepost 
HƯỚNG DẪN KẺ MẮT VÀ LÔNG MÀY . 
Hheh xin chào mng, vì quay để hướng dẫn cho mng cách kẻ mắt và mày thôi nên mình để mặt mộc, nhìn hơi kinh dị tí , mọi ng thương cảm . À. Đừng quên đặt thật nhiều câu hỏi cho mình nhaaaa 
Hy vọng video của mình giúp ích đc gì đó cho mng ❤ , chúc mng luôn xinhhhh .</t>
  </si>
  <si>
    <t>2019-09-22 15:05:56</t>
  </si>
  <si>
    <t>Nguyễn Huệ</t>
  </si>
  <si>
    <t>100002388770681</t>
  </si>
  <si>
    <t xml:space="preserve">#NguyenHuepost #Makeup </t>
  </si>
  <si>
    <t xml:space="preserve">
#Mụn #thâm
Do nick chính của em có đăng lên nhờ mn giúp mà đó ad không duyệt nên em dùng nick phụ ạ.
Do trán em bị như thế này. Hết mụn lại bị thâm, e còn bị sẹo to do mụn. Trời nóng là em lại bị nổi. 
Mọi người có cách nào giảm thâm mụn nhanh chóng và trị sẹo do mụn không ạ... Giúp em với. 
Em cảm ơn nhiều ạ!!!
Mong ad duyệt bài. Thật sự là em hết cách rồi.</t>
  </si>
  <si>
    <t>2019-11-13 01:01:42</t>
  </si>
  <si>
    <t>DT KH</t>
  </si>
  <si>
    <t>100029391708147</t>
  </si>
  <si>
    <t xml:space="preserve">#thâm #Mụn </t>
  </si>
  <si>
    <t>Các c ơi mách giúp em với ạ. Da em trc ko hề có mụn. Đợt này mụn cứ lên như này thôi ạ. E cũng ít trang điểm , ko bôi kem cn hàng ngày vì e cứ bôi là lên mụn mặc dù cũng tẩy trang sạch sẽ 😖
Giờ e phải bắt đầu từ đâu để cải thiện ạ. 
Tối đi ngủ e cũng chỉ rửa srm , tẩy trang, bôi nc hoa hồng thui. Vì trc có đợt tự dưng e đi dưỡng da bằng bộ inisfree mà n lên mụn kinh khủng nên e sợ 😭</t>
  </si>
  <si>
    <t>2019-12-13 16:29:36</t>
  </si>
  <si>
    <t>Trần Hồng Anh</t>
  </si>
  <si>
    <t>100002918308235</t>
  </si>
  <si>
    <t>#ask #giamcan
Có ai sử dụng cà phê giảm cân này chưa ạ? Cho mình xin review với. Bạn mình muốn dùng thử nhưng ngại nên nhờ mình hỏi giùm @@ xin cảm ơn ạ</t>
  </si>
  <si>
    <t>2019-11-16 23:37:23</t>
  </si>
  <si>
    <t>Toto Chan</t>
  </si>
  <si>
    <t>100002159010945</t>
  </si>
  <si>
    <t xml:space="preserve">#giamcan #ask </t>
  </si>
  <si>
    <t>#ask #spa #tưvấn 
Mong ad duyệt bài ạ 😍 
Hôm nay e muốn hỏi mọi người 1 chủ đề klq đến skincare cho lắm mà là liên quan đến spa ạ. 
Các chị em đi spa sau khi được tư vấn các liệu trình thì có ai làm liền ko ạ ? Hay thường về nhà suy nghĩ và so sánh cân nhắc với những spa khác ??? 
Hôm nay e đi spa tư vấn liệu trình hết 9tr, e khá thích và tính tuần sau sẽ làm. Nhưng vì còn đang phân vân với 1 spa khác nên muốn về snghi thêm. Sau khi spa đó biết e chưa làm thì liền thay đổi thái độ, bảo là để dành sẵn nhân viên để làm cho e rồi 😐 rồi bảo e mua phiếu làm trước cũng được thì e từ chối =&gt; lại bắt e cọc tiền 500-1tr, e kiếm cớ ko mang đủ tiền =&gt; bảo e quẹt thẻ =&gt; e bảo ko mang thẻ =&gt; bắt e ck qua internet banking 🙄, rồi e bảo chưa đki dịch vụ thì mọi người biết làm gì ko ạ ? Bắt e TRẢ TIỀN TƯ VẤN 🤦‍♀️ là 150k đó ạ. Trời đất e chưa bao giờ thấy spa nào thu tiền tư vấn cho khác, thời buổi cạnh tranh này spa nào chả có câu “tư vấn và soi da miễn phí” chị em nhỉ 🧐 e tính trả nhưng thấy ức lắm nên giả vờ kêu để gọi bạn nhờ ck giúp, rồi e cứ bấm bấm đt như đang nhắn tin gọi điện xong bảo ko ai onl cả bla bla, cuối cùng spa đó chịu cho e stk để về e ck. Hú hồn, e ko biết là do e thiếu hiểu biết về các spa hay do spa đó cố ép khách ạ ? Các chị cho e lời giải thích cho e mở mang với ạ, chứ đi spa kiểu này vừa sợ vừa run 😭 mà spa đó to với khá tốt ở chỗ e chứ ko phải spa vớ vẩn đâu í 🙄</t>
  </si>
  <si>
    <t>2019-10-01 13:10:02</t>
  </si>
  <si>
    <t>Thủy Tiên</t>
  </si>
  <si>
    <t>100010652088763</t>
  </si>
  <si>
    <t xml:space="preserve">#tưvấn #spa #ask </t>
  </si>
  <si>
    <t xml:space="preserve">
#gym
#giảmcân
Chào mọi người ạ. Cuối cùng sau khoảng thời gian buông thả bản thân ăn uống ngủ nghỉ chừng ấy năm, em sẽ quyết tâm bắt đầu giảm cân bằng cách tập gym. Em 1m57 mà nặng tận 65 kg 😅 
Có anh chị nào có kinh nghiệm giảm cân có thể cho em xin 1 ít tips giảm cân, kinh nghiệm tập gym và quan trọng nhất là thực đơn ăn uống hằng ngày không ạ. Em cám ơn</t>
  </si>
  <si>
    <t>2019-06-22 06:51:52</t>
  </si>
  <si>
    <t>Ngọc Ly</t>
  </si>
  <si>
    <t>100036947175376</t>
  </si>
  <si>
    <t xml:space="preserve">#giảmcân #gym </t>
  </si>
  <si>
    <t>Cho em hỏi vấn đề này hơi nhạy cảm xíu anh chị ạ, chuyện là em mặc quần thường bị... như ảnh ý :( rất tự ti luôn, nhiều khi muốn diện đồ đóng thùng cũng khó lắm đặc biệt là mặc quần ôm là nhìn thấy rõ hơn luôn. Cho em hỏi có chị nào cũng bị giống e không ạ, và cho em xin cách khắc phục với. Cảm ơn mọi ng❤️
Mong ad duyệt giúp em huhu😭 em dùng acc clone vì acc chính nhiều bạn trong này</t>
  </si>
  <si>
    <t>2019-12-20 22:19:09</t>
  </si>
  <si>
    <t>Khả Áii</t>
  </si>
  <si>
    <t>100042866029441</t>
  </si>
  <si>
    <t>Các bạn cho mình hỏi có loại kem nào lột lông chân hiệu quả mà không đau không ạ?
#đepchanhsa</t>
  </si>
  <si>
    <t>2019-12-07 09:48:08</t>
  </si>
  <si>
    <t>Khue Vo</t>
  </si>
  <si>
    <t>100025925287845</t>
  </si>
  <si>
    <t>Xin phép ad !
M.n ơi cho e xin ít tư vấn với ạ 😢
Da e đã từng dính qua rượu thuốc bắc, qua 4,5 đợt mụn rồi. E cũng chữa da liễu nhiều lần rồi, lần gần nhất bắt đầu sử dụng thuốc là cách đây 5 tháng. Thói quen sinh hoạt của e vẫn đều đặn, ngủ sớm + uống nước , uốnh bổ gan. Đỡ 1 thời gian bây giờ nó lại mọc nhiều ạ. Mụn chi chít mọc như rôm, sau đó thành mụn viêm, đỏ. Sắp đến tết rồi e mệt dã man, e nên làm gì bây giờ ạ, uống thuốc da liễu nữa thì ko dám :(((</t>
  </si>
  <si>
    <t>2019-11-27 04:06:43</t>
  </si>
  <si>
    <t>Huyền Nguyễn</t>
  </si>
  <si>
    <t>100013713409484</t>
  </si>
  <si>
    <t>Cuối năm vào mùa của lễ hội, khuyên các bạn nữ làm gì làm nhớ tẩy trang rồi mới đi ngủ nhà 😴😴😴</t>
  </si>
  <si>
    <t>2019-12-22 05:01:36</t>
  </si>
  <si>
    <t>Erick Duong</t>
  </si>
  <si>
    <t>100002046240227</t>
  </si>
  <si>
    <t>Mong ad duyệt bài cho em 
Tết tới nơi mà nay tới mùa lạnh là da mặt em bắt đầu chuyển sang khô đôi lúc thấy ran rát khó chịu cực kì 😞  em vừa sd xong thuốc rượu ngưng đc khoảng 1 tháng thì giờ da nó vậy đây em muốn dưỡng nhưng lại kh rành về các bước skincare :(( mấy chị  trong nhóm tư vấn giúp em với ạ 😭 .</t>
  </si>
  <si>
    <t>2019-12-05 03:23:42</t>
  </si>
  <si>
    <t>Yến Ngân</t>
  </si>
  <si>
    <t>100004057222276</t>
  </si>
  <si>
    <t>#face
Hi.. mọi người
em có 2 vấn đề như này cần mng giúp đỡ ai đã từng bị hay biết cách điều trị mách em với ạ..
1. Em bị nổi đường mạch máu ở 2 bên má hay còn gọi là gân gì đó nhìn rất mất cảm tình lun ai biết cách khắc phục thì chỉ e với ạ có phải uống hay skincare cho da khỏe mạnh hơn đc k.?
1. Nữa là em bị hóp ở 2ben thái dương, k đc đầy đặn ấy ạ ai biết cách làm đầy bảo em với chứ nhìn mặt gầy lại hóc hác trông thực sự chán :(((
Em cảm ơn mng đã đọc, cảm ơn ad dduyệt bài hộ ạ.
P/s; k dám đăng ảnh nên dùng ảnh hhhv đáng iu này ạ &lt;3</t>
  </si>
  <si>
    <t>2019-12-12 23:59:40</t>
  </si>
  <si>
    <t>Ling Lan Nguyen</t>
  </si>
  <si>
    <t>100011008836686</t>
  </si>
  <si>
    <t xml:space="preserve">#face </t>
  </si>
  <si>
    <t>#ask #nepnhan #kemmat 
Năm nay e mới 21 tuổi thôi mà nhăn mắt ntn đây. Bình thường nhìn xa cũng biết nó có nhăn mà ko để ý, nay zoom vào hết hồn à :( 
Em đã dùng qua kem mắt Clinique hồng, Kiehls bơ với AHC mà thấy nó chỉ cấp ẩm chứ cũng không thay đổi gì mấy. 
Nay lên đây hỏi mn xem có loại kem mắt hay liệu pháp gì giúp em cải thiện không :( em sầu lắm</t>
  </si>
  <si>
    <t>2019-11-11 04:50:03</t>
  </si>
  <si>
    <t>Minh Hằng Nguyễn</t>
  </si>
  <si>
    <t>100003156523545</t>
  </si>
  <si>
    <t xml:space="preserve">#kemmat #nepnhan #ask </t>
  </si>
  <si>
    <t>#helpme #skincarebody
Mong ad duyệt bài sớm 😍
 Các bác ơi tư vấn giúp e cải thiện làn da với 😭. Da em lúc nào cũng trong tình trạng nổi gai ốc như hình tay em khoanh nhưng k phải là e nổi gai ốc đâu là bị sao vậy các bác 😂, sờ gai gai chứ ko mịn màng. Và lỗ chân lông nó bị đậm màu nhìn như chấm bi vậy đó. E đang muốn mua tdc body mà chưa biết loại nào phù hợp. Các bác cho em lời khuyên với các tips skincare body cho da láng mịn, chống lão hoá nhé. Tkss các bác nhìuuuuu!!!!!!</t>
  </si>
  <si>
    <t>2019-11-26 02:09:59</t>
  </si>
  <si>
    <t>100021890477069</t>
  </si>
  <si>
    <t xml:space="preserve">#skincarebody #helpme </t>
  </si>
  <si>
    <t>#longtay #suaduongam
Chào mn. Bình thường tay e cũng ko lắm lông như này đâu ạ.
Dạo gần đây e có tắm bằng bột đậu đỏ và dùng sữa dưỡng thể vaseline. Rồi 1 tuần mà lông mọc tùm lum zậy luôn ạ.
E có thử dùng Veet tẩy lông nhưng lần sau mọc nó vẫn y nguyên zậy ah
Mn tư vấn giúp e đc ko?? E vẫn là hs nên chưa đủ điều kiện đi tẩy lông vĩnh viễn ạ 😢</t>
  </si>
  <si>
    <t>2019-08-13 08:43:49</t>
  </si>
  <si>
    <t>Nguyễn Hồng</t>
  </si>
  <si>
    <t>100011004229269</t>
  </si>
  <si>
    <t xml:space="preserve">#suaduongam #longtay </t>
  </si>
  <si>
    <t>da mình thuộc tip da dầu và mụn, lcl to chà bá
mình không biết xài sp gì luôn
giờ thâm, sẹo, rỗ,
mọi người tư vấn e với ạ</t>
  </si>
  <si>
    <t>2019-11-28 11:16:10</t>
  </si>
  <si>
    <t>Mickey Vo</t>
  </si>
  <si>
    <t>100028043976254</t>
  </si>
  <si>
    <t>#nhuomtoc 
#ask #help
Mọi người ơi , cho em hỏi là khi em nhuộm tóc về soi đèn thì thấy trên da đầu có rất nhiều chấm như này là bị sao thế ạ😭</t>
  </si>
  <si>
    <t>2019-12-25 14:14:52</t>
  </si>
  <si>
    <t>Long Nguyen</t>
  </si>
  <si>
    <t>100027241801917</t>
  </si>
  <si>
    <t xml:space="preserve">#help #ask #nhuomtoc </t>
  </si>
  <si>
    <t xml:space="preserve">
Mọi người cho em xin tuýp mặc quần baggy đẹp mà ko bị để lại lằn như trong hình với ạ.
Mù em mặc eo vừa khít nhưng cứ bị như hình , đóng áo nửa thùng như hình nhìn kì lắm í ạ. Trừ khi phải đứng rộng 2 chân ra mới ko thấy lằn.
Cảm ơn mọi người 💗</t>
  </si>
  <si>
    <t>2019-12-13 02:50:50</t>
  </si>
  <si>
    <t>100004229717953</t>
  </si>
  <si>
    <t xml:space="preserve">Mọi ng ơi cho e hỏi làm tóc lỡ đụng máy đang nóng 220• vào da giờ nó bỏng thế này thì bôi thuốc sẹo nào để ko có sẹo vậy ạ 😭😭😭 
#help </t>
  </si>
  <si>
    <t>2019-12-06 23:52:02</t>
  </si>
  <si>
    <t>Bình Thanh Mai</t>
  </si>
  <si>
    <t>100005665538989</t>
  </si>
  <si>
    <t>( Góc skincare cho bà bầu)
Chào mọi người, hiện tại chị gái mình đang mang bầu tháng thứ 3, mà mn cũng biết bầu thì rất hạn chế trong việc chăm sóc sắc đẹp vì sợ ảnh hưởng đến con, vậy mn có thể chỉ giúp mình những sp làm đẹp nào an toàn cho cả mẹ cả con ạ!! Xin cảm ơn mn
#skincare #babau</t>
  </si>
  <si>
    <t>2019-11-10 13:19:49</t>
  </si>
  <si>
    <t>Thùy Linh</t>
  </si>
  <si>
    <t>100004219961665</t>
  </si>
  <si>
    <t xml:space="preserve">#babau #skincare </t>
  </si>
  <si>
    <t>Da mình khô nhưng trổ dầu nhiều! Phần da gò má hơi mỏng và hay ửng đỏ! Nhưng nói chung khắc phục tới đây là mình mừng lắm rồi nên cũng k đòi hỏi thêm nữa. Review 1 số sản phẩm mình sử dụng 3 tháng qua nè! 
1. Viên uống cấp nước aqua rich! Này thì mình được em gái đi Hàn quốc mua tặng, và mình đã uống hết 3 hủ, 2 viên 1 ngày buổi sáng trước khi ăn! Cảm nhận là da có căng mướt và bong bóng hơn hẳn, đặc biệt rõ nhất là chường mặt ra nắng sẽ thấy da bóng lượn. Ko còn bị mốc khi trang điểm nữa.
2. Kem chống nắng innisfree loại long lasting. Thẩm thấu và kiềm dầu tốt, đánh buổi sáng trc khi make up và đánh lại lúc 2h chiều vì mình phải ra đường đi đón con đi học về! 
3. Cushion má hồng hây hây của the face; rẻ mà chất! Quánh tăng thêm độ bóng của da. Thấy đẹp dễ đánh vl. 
4. Máy rửa mặt Foreo, nên mua đi các bạn, giá mình mua khoảng 2tr8, mấy mụn cám, mụn dưới da giảm rõ rệt luôn á; vì mình ngày nào cung trang điểm, mụn li ti nhiều, xài mrm giảm được bao nhiêu luôn, rm cung sạch hơn rửa bằng tay nữa. 
Thỉnh thoảng 2 tuần 1 lần đi spa lấy nhân mụn, cấy tảo, hút chì! 
#skincare #kcn #aquarich #cushion 
Da mình là da ngăm ngăm hơi vàng!</t>
  </si>
  <si>
    <t>2019-10-16 05:51:26</t>
  </si>
  <si>
    <t>Giang Nguyen</t>
  </si>
  <si>
    <t>100030532460153</t>
  </si>
  <si>
    <t xml:space="preserve">#cushion #aquarich #kcn #skincare </t>
  </si>
  <si>
    <t>Mọi người ơi giúp mình với, bé nhà mình mùa đông là da cứ bị như thế này và ngứa. Mọi người có cách nào chỉ giúp em với ạ 😢😢😢😢</t>
  </si>
  <si>
    <t>2019-12-14 15:44:50</t>
  </si>
  <si>
    <t>Ngọc Diễm</t>
  </si>
  <si>
    <t>100029316972424</t>
  </si>
  <si>
    <t>#ask #body #giamcan
Em thích body như thế này lắm mà tạng người r xương to lại dễ lên cân 😭😭😭 Ai đã từng giảm cân thành công với tập theo dáng thanh mảnh gầy gầy xinh xinh thế này chia sẻ cho em lấy động lực với huhuuuu</t>
  </si>
  <si>
    <t>2019-10-11 06:24:52</t>
  </si>
  <si>
    <t>Minh Anh</t>
  </si>
  <si>
    <t>100015156540361</t>
  </si>
  <si>
    <t xml:space="preserve">#giamcan #body #ask </t>
  </si>
  <si>
    <t>#ask #cocoon
Mọi người cho mình hỏi có ai đã sử dụng combo Cao Bí Đao + Cao Vỏ Bưởi trị mụn hoặc Cao Tinh Nghệ của hãng Cocoon chưa ạ? Mình đang có ý định sử dụng nhưng muốn biết thêm về review của mấy chị em đã từng sử dụng qua.</t>
  </si>
  <si>
    <t>2019-08-20 06:32:55</t>
  </si>
  <si>
    <t>Bảo Như</t>
  </si>
  <si>
    <t>100000339976061</t>
  </si>
  <si>
    <t xml:space="preserve">#cocoon #ask </t>
  </si>
  <si>
    <t>Da mặt em hiện tại nó như vầy nè :&lt; mụn ẩn, thâm nhiều lắm luôn á TvT da em thuộc da dầu í. Mọi người biết cách nào cải thiện nó k ạ? Với bên má em có cục thâm như vậy í :&lt; em tự ti thật sự luôn ấy. 😭
Mong ad duyệt giúp em TvT</t>
  </si>
  <si>
    <t>2019-11-20 13:24:12</t>
  </si>
  <si>
    <t>Ng Xuan Trang</t>
  </si>
  <si>
    <t>100004904625360</t>
  </si>
  <si>
    <t>Hi mọi người,
Mọi người cho mình hỏi có kem nào cho nam dùng để thoa vào các mụn bọc viêm xưng lên nhanh khô và không để lại thâm k ạ.
Mình cảm ơn nhiều ạ
#ask</t>
  </si>
  <si>
    <t>2019-12-13 14:29:45</t>
  </si>
  <si>
    <t>Đạt Red</t>
  </si>
  <si>
    <t>100036708066747</t>
  </si>
  <si>
    <t>#Đẹp Chanh Sả 
Mọi người người cho em hỏi có ai bị zona hay gọi là giời leo chưa ạ. Em bị giời leo mà uống thuốc không hết được,em bị  ngay môi luôn
 . Ai có cách gì chỉ em với ạ, bị vậy không dám ra đường luôn. 
Cảm ơn mọi người.</t>
  </si>
  <si>
    <t>2019-10-15 11:51:54</t>
  </si>
  <si>
    <t>Mạn Châu Sa</t>
  </si>
  <si>
    <t>100008264657717</t>
  </si>
  <si>
    <t xml:space="preserve">#Đẹp </t>
  </si>
  <si>
    <t>Mọi người cho em hỏi bị như thế này là bị sao ạ. Em đi khám bác sĩ bảo là em bị viêm da dị ứng cho thuốc về uống nhưng mà em uống không khỏi ạ. Em cảm ơn</t>
  </si>
  <si>
    <t>2019-11-23 15:47:45</t>
  </si>
  <si>
    <t>100038094227053</t>
  </si>
  <si>
    <t>Mọi người cho em xin tuýt trị mấy con mụn li ti kia với ạ huhu 
Hai bên má của em nó mọc nhiều vô số luôn ấy ạ, em rầu quá mọi người ơi 😭
Với lại mọi người giúp em sản phẩm nào trị thâm mụn tốt vs ạ
Em cảm ơn 🖤</t>
  </si>
  <si>
    <t>2019-12-22 05:13:19</t>
  </si>
  <si>
    <t>Hồng Thắm</t>
  </si>
  <si>
    <t>100008514127080</t>
  </si>
  <si>
    <t>Mọi người cho e hỏi có phải hàng chuẩn ko ạ
E thấy hơi loãng so vs lọ lần trc e sài mà cũng kobra da chết luôn</t>
  </si>
  <si>
    <t>2019-12-19 00:58:05</t>
  </si>
  <si>
    <t>Nguyễn Thị Hương</t>
  </si>
  <si>
    <t>100035099930842</t>
  </si>
  <si>
    <t>no</t>
  </si>
  <si>
    <t xml:space="preserve"> #XinÝkiến  #giảiđáp
Các chị trong đây đã ai dùng set incellderm mini này chưa ạ cho em xin review với e đang định đặt mua mà hơi hoang mang ạ.....?</t>
  </si>
  <si>
    <t>2019-11-02 09:43:05</t>
  </si>
  <si>
    <t>Mỹ Linh</t>
  </si>
  <si>
    <t>100042769036365</t>
  </si>
  <si>
    <t xml:space="preserve">#giảiđáp #XinÝkiến </t>
  </si>
  <si>
    <t>#ask #lipstick 
Chào mn ❤️
Trước giờ mình thường thấy các bài review hoặc  xin ý kiến về những màu son cam đất, đỏ đất đẹp hoặc hỏi về màu son dành cho da ngăm nhưng tìm hoài lại chưa thấy ai bàn về màu son thích hợp cho da trắng ạ.
**Nói sơ qua da mình thì mình có tông da sáng, thường khi dùng cushion dùng tông trắng nhất. Mình có soi gân máu theo nhiều người chỉ thì thấy hình như mình thuộc coolundertone nhưng ko dám chắc đúng ko 😭
Mình không biết ở đây có ai giống mình không, đó là dù rất rất mê các màu son trendy như cam đất, cam cháy, đỏ đất,.. và cũng mua rất rất nhiều son nhưng mình lại không thể dùng hợp các màu này, son cam nhiều thì mặt bị kì (°∀°), đỏ cam thì bị choé ☼.☼, đánh đỏ thì ô kê chuyển qua mặt ác ತಎತ.. túm lại là đánh lên cứ son đường son mặt đường mặt nên cũng đành bỏ xó :&lt;
Mình nhận ra mình chỉ hợp đánh các tông son hồng hồng hoặc có pha tí cam cũng được. Mà các kiểu màu này thì mình thấy ít có và khó lựa quá trời nên mò lên đây xin thỉnh giáo mn có ai tình trạng giống mình hoặc đang dùng các màu son kiểu vậy thì gợi ý cho mình với, mình xin cảm ơn nhiềuuuuu!!
****Dưới đây là REVIEW 3 màu son mà mình đánh thấy khá hợp****
- NYX - Lolita: thỏi này kiểu màu vỏ đỗ ấy, là thỏi son trầm duy nhất mình đánh được. Thỏi này làm mình khá bất ngờ vì chất son ổn ngoài mong đợi, bơ mềm dễ lướt trên môi, giữ màu tốt và ăn uống cũng trôi ít ít thôi. Chụp lên nhìn hơi đậm nhưng đánh lòng môi thì kiểu như màu môi tự nhiên ấy, còn đánh full môi thì khá sang 🙆🏻‍♀️
- M.A.C - Lucky in love: Mình cũng không biết diễn tả màu này thế nào, ẻm giống kiểu màu cánh hồng khô nhưng tươi hơn, chất son tương tự thỏi nyx bên trên nhưng khác ở chỗ ăn cái là trôi tuột quần không đọng lại gì 🙂
- Merzy - V4 shirley temple: Lên tay thì trông cam cam thế chứ lên môi lại là màu hồng dâu có pha một xíu cam. Thỏi son kem có chất son mình ưng nhất trong tất cả các loại từng dùng qua. Lên môi tự nhiên, ráo nhanh, màu chuẩn đẹp, siêu trâu bò ăn 3 bữa chưa trôi hết. Vì mình dưỡng môi rất kĩ và lúc nào cũng có son dưỡng nên dùng son kem lì cũng không bị khô, bạn nào môi khô dùng em này nên chú ý dưỡng môi nhe ❤️</t>
  </si>
  <si>
    <t>2019-11-14 15:19:35</t>
  </si>
  <si>
    <t>Đậu Đỏ</t>
  </si>
  <si>
    <t>100027453885338</t>
  </si>
  <si>
    <t xml:space="preserve">#lipstick #ask </t>
  </si>
  <si>
    <t>#Tiêmmôi #Ask 
Cho mình xin tư vấn của những bạn từng tiêm môi rồi đc không ? 
Mình môi khá mỏng nên muốn tiêm 1 chút filer cho trông đầy đặn hơn xíu cho xinh k biết nên hay k? Được bao lâu thì hết filer và lúc đó phải tiêm tan filer cũ hay nạo ra để tiêm lại nhỉ ? Nếu mình k tiêm lại thì môi có sao k ạ ?m muốn tiêm ít thôi k cần dày như môi tim cánh én đồ đâu ạ 
Thanks mn nhiều 😍</t>
  </si>
  <si>
    <t>2019-11-30 11:28:30</t>
  </si>
  <si>
    <t>An Lê</t>
  </si>
  <si>
    <t>100041593742067</t>
  </si>
  <si>
    <t xml:space="preserve">#Ask #Tiêmmôi </t>
  </si>
  <si>
    <t>#help #damat #skincare
Dạo gần đây bị chê nhiều quá nên e cần tư vấn cách làm thu nhỏ lỗ chân lông ạ, da e dầu, da mặt mỏng, lỗ chân lông to như hình, ngoài ra vùng mũi cũng hay có mụn, nặn xong có lỗ khá to. 
Mong mọi người giúp đỡ ạ !</t>
  </si>
  <si>
    <t>2019-09-27 05:30:04</t>
  </si>
  <si>
    <t>Nghĩa Phạm</t>
  </si>
  <si>
    <t>100003304642904</t>
  </si>
  <si>
    <t xml:space="preserve">#skincare #damat #help </t>
  </si>
  <si>
    <t>Xin chào các chị em :(
Tình hình là mình vừa bị thủy đậu xong, sẹo ở lưng đầy những nốt như ảnh. Các chị em có tips nào giúp mình khắc phục những lỗ sẹo này thì cho mình xin thọ giáo.
Cảm ơn rất nhiềuuuuu 🙆🙆</t>
  </si>
  <si>
    <t>2019-10-29 01:22:28</t>
  </si>
  <si>
    <t>Thanh Phương Lê</t>
  </si>
  <si>
    <t>100001637536852</t>
  </si>
  <si>
    <t>Mấy chi ơi .. em bị nổi khắp người như vậy nhưng không ngứa..😪
Mấy chi biết bi gi không ạ..!</t>
  </si>
  <si>
    <t>2019-12-04 23:38:47</t>
  </si>
  <si>
    <t>Hi Ngoc Nhi</t>
  </si>
  <si>
    <t>100042351521536</t>
  </si>
  <si>
    <t>#munan
E bị lên mụn ẩn mấy tháng nay rồi mn ạ
Trk e từng dính kem trộn, nên giờ da e khô nhạy cảm với lộ hết mao mạch lên
Mụn ẩn e tự nặn xong nó lại lên. 
Mn có cách nào giúp e khỏi dk ko ạ</t>
  </si>
  <si>
    <t>2019-12-25 05:04:05</t>
  </si>
  <si>
    <t>Trần An</t>
  </si>
  <si>
    <t>100043142029859</t>
  </si>
  <si>
    <t xml:space="preserve">#munan </t>
  </si>
  <si>
    <t xml:space="preserve"> #help
Chỉ sau 3 ngày xài bộ dưỡng kit trà xanh của innisfree da mặt mình tanh bành như này mặt dù trước đó không có mụn luôn. 😢 mình ngưng nay tầm 10 ngày rồi mà không thấy đỡ mụn.
Lên đọc thì thấy mọi người có review cách xong mặt. Xong mặt như này thì cần những gì ạ? Tuần xong khoảng mấy lần? Xong mặt xong rồi thì mình cần làm những gì? Cách skc sau xong như nào? Mọi người tư vấn giúp mình với? Mình mới sinh đc 9th rồi. Helppppp meeeeee 😢 còn nặn mụn thì tự nặn ở nhà đc không. Chứ có con nhỏ, k đi ra ngoài nặng đc vì không ai trông 
Với tư vấn mình một số sản phẩm skc với 🙁🙁</t>
  </si>
  <si>
    <t>2019-11-01 14:09:55</t>
  </si>
  <si>
    <t>Lém</t>
  </si>
  <si>
    <t>100004751773844</t>
  </si>
  <si>
    <t>#đẹpchanhsả
Mọi người cho em hỏi em mới bị xòe hôm qua , mà tình hình là thứ 4 thứ 5 tuần tới em lại về quê mà pama em mà nhìn thấy như thế này chắc buồn mất , e muốn hỏi có cách nào để cái mặt e nó xẹp nhanh k chứ giờ nó to méo một bên mặt rồi ạ , chứ còn cái chân thì e vẫn đi lại được ạ , em xin 1 tên 1 số loại thuốc để chữa sẹo nữa ạ :((.</t>
  </si>
  <si>
    <t>2019-06-30 11:46:05</t>
  </si>
  <si>
    <t>Hoàng Hoạt</t>
  </si>
  <si>
    <t>100004699802749</t>
  </si>
  <si>
    <t xml:space="preserve">#đe </t>
  </si>
  <si>
    <t>Em bị mụn đầu đen mụn ẩn da dầu 
Nhà có khá nhiều nha đam tươi 
Xin anh chị tư tấn cho em ít về nó ạ  🥺</t>
  </si>
  <si>
    <t>2019-12-06 07:38:04</t>
  </si>
  <si>
    <t>Phạm Quốc Khánh</t>
  </si>
  <si>
    <t>100010961042934</t>
  </si>
  <si>
    <t>Chào mọi người. Em bị cười hở lợi, mỗi lần cười tươi là nó lại như vậy. 
Em đã đi cắt nướu bằng laze, lúc cắt thì không đau nhưng sau về hết thuốc tê thì bị đau. Không biết uống thuốc giảm đau có được không ạ? 
Mà mọi người có kinh nghiệm cắt rồi cho em hỏi, bao giờ nướu mới lành vậy ạ. Chứ sắp Tết rồi, em lo quá.
Cảm ơn mọi người, cảm ơn ad đã duyệt.
#reviewcuoiholoi</t>
  </si>
  <si>
    <t>2019-12-15 23:50:17</t>
  </si>
  <si>
    <t>Ngọc Nguyễn</t>
  </si>
  <si>
    <t>100011249859840</t>
  </si>
  <si>
    <t xml:space="preserve">#reviewcuoiholoi </t>
  </si>
  <si>
    <t>Mọi người ơi e dạo này nổi nhiều mụn li ti thế này ạ. E có tẩy trang, dùng srm, dưỡng ẩm, tẩy tbc ạ. Tình trạng mụn của e nên chăm sóc thế nào ạ, mọi người giúp e với ạ😥😥😥</t>
  </si>
  <si>
    <t>2019-12-06 15:30:15</t>
  </si>
  <si>
    <t>Mint Phương</t>
  </si>
  <si>
    <t>100034455311144</t>
  </si>
  <si>
    <t xml:space="preserve">
#help
Edit: Mình cảm ơn các bạn đã xem giúp mình! Về phần mình buồn về cách giải quyết của shop là vì, lúc đầu mình cũng đã nghĩ có lẽ do nsx, chỉ muốn hỏi lại cho chắc ăn. Nhưng shop lại trả lời giống như tụi mình đang có ý định vu khống shop nên mình mới thất vọng như vậy! Nếu mình muốn làm gì ảnh hưởng đến uy tín shop đã không ib hỏi trước rồi! Một phần vì cách giải quyết của shop tuy hợp lí nhưng quá phiền hà, hai là nếu nếu lúc đó là mình hiểu lầm shop rồi mua 1 cây nữa v là phải mất tiền thêm lần nữa! Cách này chỉ có lợi cho shop nhưng người chịu vẫn là mình! Mình chỉ mong shop cho mình 1 câu trả lời để mình an tâm thôi, nhưng shop đã không làm vậy! Vậy nên mình mới phải lên đây nhờ các bạn xem giúp! Lần nữa cảm ơn các bạn đã giúp đỡ!
Chuyện là mấy hôm trước mình dẫn bạn mình đi mua son tại 1 shop mà mình vẫn hay mua mỹ phẩm. Lúc đó bạn mình mua 1 cây Peripera ink airy velvet màu 04. Chuyện cũng không có gì cho tới khi bạn mình lên web chính hãng xem thì thấy son bọn mình mua có sự khác biệt với hình của chính hãng. Cụ thể là ở số trên thân son và chỗ mở bên trong son khác hoàn toàn, các bạn xem hình là rõ ạ! Vì đã lỡ vứt mất vỏ nên không check mã được. Bạn mình cũng đã ib hỏi shop, nhưng câu trả lời nhận được hoàn toàn không thoả đáng. Mình rất thất vọng vì đây là shop mà mình vẫn luôn tin tưởng. Mình không biết liệu có phải là do restock nên son khác với lúc đầu hay không nên mong các bạn xem giúp son của bọn mình là giả hay thật. Cây son không đáng là bao nhưng mình chỉ không hy vọng niềm tin mình đặt sai chỗ. Mình cũng mong là do bọn mình hiểu lầm vì mình vốn tin tưởng chỗ này và shop này cũng khá có tiếng ở chỗ mình. Cảm ơn các bạn đã giúp đỡ!</t>
  </si>
  <si>
    <t>2019-09-17 16:02:05</t>
  </si>
  <si>
    <t>CT Thu Hà</t>
  </si>
  <si>
    <t>100005303833215</t>
  </si>
  <si>
    <t>Mọi người giúp em với ạ 😥😥😥
Đây là tình trạng da của em. Da em thuộc loại da dầu lcl to. Em từng dính mỹ phẩm không rõ nguồn gốc ạ 😢
Mn tư vấn giúp em xem nên dùng sp gì ạ 
Hiện tại em rửa mặt bằng srm cetaphil. Toner Laroche. Kem trị mụn dou+ Laroche ạ
Monh ad duyệt bài giúp em 😭</t>
  </si>
  <si>
    <t>2019-11-22 04:38:25</t>
  </si>
  <si>
    <t>My Gia Nguyen Vuong</t>
  </si>
  <si>
    <t>100008156629447</t>
  </si>
  <si>
    <t>E đã từng dùng rựou thuốc đến 1,2 lọ . Da cứ phải gọi là mịn và sờ sướng như mông e bé á, đc 1 tgian thì mụn mọc li ti , mẩn lên và e đã dừng ngay dc 3,4 tháng. Hien tai e chỉ dùng 
-tẩy trang loreal
-srm centaphill
-xịt khoáng laroche xanh
-chấm mụn laroche dou+
 =&gt; da e thuộc da dầu, nhạy cảm , e có nhiều mụn ẩn trên trán , dứoi ngang cằm và má 1 ít.   Tết nhất đến nơi rồi mà mặt mũi chán quá huhu.   
-----Mọi ng cho e xin ít í kiến e nên dùng gì thêm hay chữa ntn với ạ . ( à mà e định xông mặt rồi dùng mask đất sét liệu có đc ko ạ ).</t>
  </si>
  <si>
    <t>2019-12-23 12:23:23</t>
  </si>
  <si>
    <t>Nguyen Thao</t>
  </si>
  <si>
    <t>100025649886393</t>
  </si>
  <si>
    <t>Tha thiết mong add duyệt bài cho e :(( đăng mấy bài mà k đc duyệt ạ.. 😢
Các chị em oi cho e hỏi có ai dùng #vitamin E đỏ của Nga này chưa ạ.. Làm s để biết thật hay giả ạ? Vì e mua về mở ra s thấy mấy viên thuốc bị dính chặt vào và thấy trơn trơn giống như bị bể viên thuốc vậy ạ ! Add duyệt bài giúp e nhé.. Cảm ơn ạ</t>
  </si>
  <si>
    <t>2019-10-07 07:26:11</t>
  </si>
  <si>
    <t xml:space="preserve">Thanh Ngân </t>
  </si>
  <si>
    <t>100013961040654</t>
  </si>
  <si>
    <t xml:space="preserve">#vitamin </t>
  </si>
  <si>
    <t>Chào mọi người ạ. Chuyện là da chân em bị như này ai có cách gì khắc phục được chỉ cho em với ạ.  Da của con gái 18 mà như bà già ấy. Tự ti kinh khủng, ngoài váy đồng phục hồi cấp 1 thì chưa bao giờ dám mua váy để mặc. Đến mặc quần short cũng không đủ tự tin nữa 😓
Em cảm ơn ạ !
#tuvan</t>
  </si>
  <si>
    <t>2019-12-19 12:33:36</t>
  </si>
  <si>
    <t>Park Chubs</t>
  </si>
  <si>
    <t>100037260081936</t>
  </si>
  <si>
    <t>#makeup 
Cám ơn Ad đã duyệt bài ❤️
Helu mọi người, hôm nay mình muốn chia sẻ 1 chiếc makeup xinh xẻo dễ áp dụng cho các chị em đâyyyy. Đang mùa thu, lại sắp tới Halloween bí ngô bí ơ nên làm quả makeup cam này là chuẩn bài luôn nè 🍂
Các Sản Phẩm Mình Dùng:
- Cushion Huxley màu 2 Sand. Ngắn gọn là em này dùng khá êm, finish không lì cũng không quá bóng, độ che phủ vừa phải chứ ko full coverage nha. Có cái là màu này khi nhìn trong khay và trên bông mút hơi bị vàng nhưng lên da thì lại okie không vàng quá :)) thích hợp với bạn nào có neutral undertone
- Bảng mắt Colourpop Yes Please ngon bổ rẻ, bảng này chắc nhiều chị em biết đến rồi hen. Hà dùng 3 màu chính là vàng cho hốc mắt, dưới vàng là cam và cuối cùng là màu nâu Hà dặm lên đường eyeliner màu nâu Choco Brown của Ofelia.
- Lâu rồi mới dùng lại Highlight của Fenty bảng Killa Watt màu Fire Crystal, từ khi có Diamond Bomb cái quên mất tiu ẻm. Ai dè ẻm vẫn sáng trưng chíu chíu, Hà dùng đánh cho đầu mắt luôn nha
- Son màu cam đất Perfect Couple Lip Love Edition mới ra của Lemonade màu 1. Dating, màu này Hà thấy khá lạ vì tuy là cam đất nhưng có 1 chút sữa sữa nữa nên nhìn trẻ trung tươi tắn hơn cam đất bình thường 😝</t>
  </si>
  <si>
    <t>2019-10-10 10:10:17</t>
  </si>
  <si>
    <t>Sơn Hà Đinh</t>
  </si>
  <si>
    <t>100000337257230</t>
  </si>
  <si>
    <t xml:space="preserve">#makeup </t>
  </si>
  <si>
    <t>[TAI NẠN KHI NỐI MI LÀM ĐẸP]
Thật sự đáng sợ khi các bạn hành nghề chẳng có tí tâm nào cả, chỉ biết lấy tiền xong là thôi..! Không bao giờ nghĩ đến hậu quả của nó ntn cả! 
Nối bộ mi mà bong rồi bỏng cả mí mắt! ☹️
Nguồn: Huy Trần
#Tainan #Noimi</t>
  </si>
  <si>
    <t>2019-05-04 11:38:39</t>
  </si>
  <si>
    <t>Rei Hino</t>
  </si>
  <si>
    <t>100009077070242</t>
  </si>
  <si>
    <t xml:space="preserve">#Noimi #Tainan </t>
  </si>
  <si>
    <t>Mn ơi. E đang tính xỏ khuyên rốn. Vì e sinh xong rốn xấu lắm luôn. Mà công việc của e đổ mồ hôi nhiều. Thì e có xỏ được k ạ. Chứ nhìn rốn e nó chán đời lắm. E thì thích mặc crt vì người e cũng hơi ổn. Nhưng mà mỗi cái rốn nên tự ti kinh khủng luôn.</t>
  </si>
  <si>
    <t>2019-10-24 12:59:46</t>
  </si>
  <si>
    <t>Chị Bống</t>
  </si>
  <si>
    <t>100039852817414</t>
  </si>
  <si>
    <t>Tư vấn giúp mình tí
Vấn đề là do mình uống kháng sinh loai mạnh liên tục trong vòng 1 tháng 
Đùng 1 cái nó xì mụn trên mặt với lưng quá trời
Thì cho mình hỏi mụn do nóng gan xì ra có nặn được không ạ
Và có cách dưỡng nào để đẹp lại không ạ😭😭😭😭😭😭😭😭😭😭😭😭</t>
  </si>
  <si>
    <t>2019-11-19 23:59:48</t>
  </si>
  <si>
    <t>Huy Dương</t>
  </si>
  <si>
    <t>100002735131316</t>
  </si>
  <si>
    <t>#ask #toc 
Xin chào mọi người, chuyện là em bị stress chán đời nên liều ra cắt tóc nam xin cạo trọc đầu, bây giờ bame không cho ra ngoài suốt ngày ru rú ở nhà. Mọi người có cách nào cho tóc nhanh dài không ạ? Ở nhà em còn stress hơn huhu . Em cảm ơn mọi người ạ .</t>
  </si>
  <si>
    <t>2019-05-06 13:29:16</t>
  </si>
  <si>
    <t>Ann Nguyên</t>
  </si>
  <si>
    <t>100024634455784</t>
  </si>
  <si>
    <t>Cho e hỏi chút mặt e bị như này 
E dùng serum đc hơn 1tuan hết mụn giờ còn thâm thì e có dùng tiếp trị mụn không hay e qua trị thâm luôn.
Cho e xin ít kinh nghiệm lên dùng đắp mặt lạ gì ak</t>
  </si>
  <si>
    <t>2019-12-18 05:19:59</t>
  </si>
  <si>
    <t>Mít Ướt</t>
  </si>
  <si>
    <t>100005243896894</t>
  </si>
  <si>
    <t>Vào 1 ngày xấu trời, em ngủ 1 giấc tỉnh dậy xong mắt em lồi đâu ra cái mí lót :(( mắt em 1 mí đó giờ mà giờ nó vầy luôn rồi mọi người :(( có cách nào để trở lại 1 mí không ạ. Em là nam. Đã hơn 3 tuần trôi qua rồi nó vẫn chưa trở lại 1 mí.
#help</t>
  </si>
  <si>
    <t>2019-11-27 09:07:29</t>
  </si>
  <si>
    <t>Tiên Tri Vũ Trụ</t>
  </si>
  <si>
    <t>100030878921068</t>
  </si>
  <si>
    <t>Huhu, mọi người cho em hỏi da như này thì đang gặp tình trạng gì với ạ, em chỉ bị vầy mỗi xung quanh vùng mắt thôi ạ</t>
  </si>
  <si>
    <t>2019-12-03 15:30:47</t>
  </si>
  <si>
    <t>Tô Nhật Dạ</t>
  </si>
  <si>
    <t>100027164461567</t>
  </si>
  <si>
    <t>mọi người cho em hỏi ở đây có ai xoá xăm chưa ạ? xoá xăm có an toàn hiệu quả hay không?</t>
  </si>
  <si>
    <t>2019-11-24 02:58:50</t>
  </si>
  <si>
    <t>Đoàn Thị Khánh Huyền</t>
  </si>
  <si>
    <t>100016116462199</t>
  </si>
  <si>
    <t>#trimun 
Mong ad duyệt bài cho e vs ạ 
Chuyện là em bị mụn ẩn , nó nổi quanh mặt luôn í nên nhìn gần kinh khủng lắm ạ
Vs lại e bị lct to và mụn đầu đen hai bên má nữa
Ce trong group biết sp nào giúp gom khô cồi mụn, để mụn ẩn dễ bung cồi chỉ cho e vs . E c.on nhìu ạ</t>
  </si>
  <si>
    <t>2019-11-05 15:15:30</t>
  </si>
  <si>
    <t>Thỏ Tây</t>
  </si>
  <si>
    <t>100042709911305</t>
  </si>
  <si>
    <t>[Góc cứu vớt làn da qua mùa đông lạnh giá]
Các chị ơi cứu em với, da em bình thường mùa đông các chỗ khác ko bị gì, nhưng lúc nào ở quanh 2 mép + mũi cũng bị khô da rồi nó tróc ra những cái trăng trắng mốc mốc ntnay ạ. Nhất là khi vừa rửa mặt xong, cho dù là nước lạnh hay nước ấm.
Em đã sử dụng cả vaserline thoa cả môi cả mép, trước thì dùng Nevia, sau thì mỗi tối trc khi đi ngủ dùng cả Neutrogenar dạng lỏng, mà tình hình vẫn vậy. 
Trông lạ lùng xấu hổ lắm ạ, có ai có tips gì ko chỉ cho em với ạ? Em cảm ơn huhu.
#dakho #bongtrocda 😢</t>
  </si>
  <si>
    <t>2019-12-04 03:36:53</t>
  </si>
  <si>
    <t>Ngô Thuỳ Linh</t>
  </si>
  <si>
    <t>100005851778940</t>
  </si>
  <si>
    <t xml:space="preserve">#bongtrocda #dakho </t>
  </si>
  <si>
    <t xml:space="preserve">Mọi người ai làm tóc uốn xoăn sóng như này cho em review đi. Tóc em dày sợ làm k hợp :( 
</t>
  </si>
  <si>
    <t>2019-09-07 11:20:37</t>
  </si>
  <si>
    <t>Lê Linh</t>
  </si>
  <si>
    <t>100030234590896</t>
  </si>
  <si>
    <t>Da em dạo này mọc rất nhiều mụn, thâm.
Chị em nào có bí quyết gì trị được mụn, thâm không ạ. Giúp em với</t>
  </si>
  <si>
    <t>2019-11-30 04:41:46</t>
  </si>
  <si>
    <t>100008263634640</t>
  </si>
  <si>
    <t>Mụn như này thì skincare ntn để kịp hết mụn ăn tết ạ :(( da em da dầu , em mới 14t thôi nên skincare thế nào cho phù hợp ạ</t>
  </si>
  <si>
    <t>2019-12-22 22:13:33</t>
  </si>
  <si>
    <t>Thanh Mai</t>
  </si>
  <si>
    <t>100026140450133</t>
  </si>
  <si>
    <t>Không thể tin nổi là cái thau đấy là kem để bán cho mọi người thoa lên mặt lên body đấy ạ! Tận 1k4 ng xem đấy! K biết nói sao....</t>
  </si>
  <si>
    <t>2019-12-03 15:27:34</t>
  </si>
  <si>
    <t>My Nguyen</t>
  </si>
  <si>
    <t>100023180470876</t>
  </si>
  <si>
    <t xml:space="preserve">
#ask
#kemduongam
#dakho
cảm ơn mng đã gợi ý 🥰 đọc nhiều cmt mình muốn xin rv 4 loại sau cho da khô ạ :
- Belif
- Neutrogena
- Shiseido 
- B5 Laroche posay
------------------------------
từ lúc mình dùng máy rửa mặt da mình khô hơn rất nhiều dù cũng cố gắng uống đầy đủ nước và skincare. nhưng hình như kem dưỡng ẩm của mình nhẹ quá nên ko ăn thua. da mình là da khô, ngủ dậy thì dầu vùng chữ T. 
mng sài kem dưỡng ẩm nào cấp ẩm tốt cho da khô mà ko bị bí hay nổi mụn vậy ạ 😞 da mình cũng nhạy cảm nữa hay nổi nốt liti.. ah mình đang dùng kem dưỡng ẩm ý dĩ của Nhật :&lt;</t>
  </si>
  <si>
    <t>2019-06-01 01:55:04</t>
  </si>
  <si>
    <t>Mai Khánh Linh</t>
  </si>
  <si>
    <t>100004929855919</t>
  </si>
  <si>
    <t xml:space="preserve">#dakho #kemduongam #ask </t>
  </si>
  <si>
    <t>Các ce giúp m với ạ.  đây là da e sau khi bị ngã,  đã bong hết lớp mày,  phần má bị nặng hơn nhìn da còn non hơi hồng.  Bây giờ m đang bôi kem trị sẹo. các c nào đã từng bị giải đáp giúp m mấy vấn đề sau với:
1. Sau khi bôi kem trị sẹo có đc bôi kem chống nắng k? 
2. Buổi tối có được skincare hay k?
3.m muốn dùng serum trị thâm,  thì dùng luôn bây giờ được k?  Hay đợi da phục hồi mới dùng được ạ? 
Mong add duyệt bài. 
#triseo
.</t>
  </si>
  <si>
    <t>2019-12-19 10:30:07</t>
  </si>
  <si>
    <t>Luận Lương</t>
  </si>
  <si>
    <t>100004931714059</t>
  </si>
  <si>
    <t xml:space="preserve">#triseo </t>
  </si>
  <si>
    <t>Ad duyệt bài giúp em ạ 
Năm nay em 18t da em sau khi dùng các loại thuốc đông y, bà lão với mai thảo mộc xong giờ thành như vậy ạ. Mai thảo mộc thì em dùng được 1 lọ hết nên em dừng giờ nó sổ ra như vậy ạ 😭😭 da em giờ tiết nhiều dầu, lcl to với mụn ẩn nổi lên nhiều lắm ạ, m.n cho em xin cách để điều trị được không ạ 😭😭 huhu</t>
  </si>
  <si>
    <t>2019-12-11 01:50:31</t>
  </si>
  <si>
    <t>Chu Mẫn Linh</t>
  </si>
  <si>
    <t>100017015806917</t>
  </si>
  <si>
    <t>Em chào mọi nguời ạ. Em 15 xuân xanh rồi ạ. Hồi nhỏ em bị muỗi đốt mà mẹ em không bôi thuốc nên giờ để lại thâm sẹo như thế này thì có cách nào làm mờ không ạ? Em thích mang váy và quần ngắn lắm nhưng mỗi lần mang ra ngoài đường là mấy bạn để ý ấy ạ nên em tự ti lắm, chỉ dám mang ở nhà. Mấy chị tư vấn giúp em với ạ
(Ảnh này em lấy trên mang ạ)</t>
  </si>
  <si>
    <t>2019-12-20 13:31:25</t>
  </si>
  <si>
    <t>Ngọc Hiếu</t>
  </si>
  <si>
    <t>100037702276828</t>
  </si>
  <si>
    <t>#trithamnach #duongmoi #duongdabody
Tình hình là em bị nách rất thâm, sần sùi, chưa bao giờ em dám mặc ái sát nách hoặc áo 2 dây, mặc dù da e thuộc dạng bình thường ko trắng ko đen. Mấy anh chị có cách nào giúp e với ạ. 
Thứ 2 là môi e mùa này khô kinh khủng, sáng ngủ dậy đánh răng là be bét máu, ko lành đc ấy ạ. Có loại dưỡng nào tốt ko ạ 
Thứ 3 là dưỡng ẩm trắng da body mùa đông các a/c dùng loại nào e xin tư vấn ạ 
Lần đầu e đăng bài nên hơi lủng củng, mong a/c giúp đỡ em ạ.</t>
  </si>
  <si>
    <t>2019-12-09 00:47:55</t>
  </si>
  <si>
    <t>Huỳnh Kim Anh</t>
  </si>
  <si>
    <t>100008506898929</t>
  </si>
  <si>
    <t xml:space="preserve">#duongdabody #duongmoi #trithamnach </t>
  </si>
  <si>
    <t>Cho e hỏi mụn như này là loại mụn gì và ai có cách gì làm hết k ạ
K biết có phải e uống thuốc nên bị nóng trong k ạ</t>
  </si>
  <si>
    <t>2019-12-26 02:12:02</t>
  </si>
  <si>
    <t>Nhỏ YD</t>
  </si>
  <si>
    <t>100012523444891</t>
  </si>
  <si>
    <t>#ask #oil
Mấy chị ai dùng lotion của hada labo cho e ít review
Da dầu ạ
E định dùng nó làm dưỡng ẩm 
Mấy chị cho em tên vài sp dưỡng ẩm giá rẻ từ 200k đổ lại vs ạ</t>
  </si>
  <si>
    <t>2019-08-16 03:43:02</t>
  </si>
  <si>
    <t>Nguyễn Thị Thu Hiền</t>
  </si>
  <si>
    <t>100038349681326</t>
  </si>
  <si>
    <t xml:space="preserve">#oil #ask </t>
  </si>
  <si>
    <t>tình trạng da mặt em hiện tại đang như ảnh dưới thì nên dùng sp gì để trị ạ?</t>
  </si>
  <si>
    <t>2019-12-18 13:47:10</t>
  </si>
  <si>
    <t>Trần Thanh Vân</t>
  </si>
  <si>
    <t>100027076055577</t>
  </si>
  <si>
    <t>TRANSFOMATION🕊🕊
#trị_sẹo
———————
Hôm nay vừa tròn nửa năm đánh dấu ngày trọng đại xuất sắc đạt danh hiệu cô gái vàng trong làng tiếp đất bằng mặt là mình đây :))))) ngoi lên chia sẻ chút với anh chị em trong group hành trình chữa sẹo khá là vất vả của mình.
Nửa năm trước, 20/4 một đêm vừa mây vừa gió không có nổi 1 tia nắng, cô géi ăn vận điệu đà nước bông thơm nức mũi đi ăn cưới bà chị cùng họ khác ông nội cách nhà tầm 5km. Chưa nếm nổi ly rượu hỉ chúc chị trăm năm hạnh phúc thì con bé trong một giây phút không hiểu tại sao lại đâm sầm vào đổ cả cột mốc mà đến bây giờ mỗi khi hồi tưởng lại cô vẫn chưa thể nhớ nổi tại sao mình bị ngã và ngã như thế nào. Chỉ biết tỉnh lại trong viện vẫn còn ngơ ngác hỏi bác sĩ: “Ơ chú là ai chú đi ra đi” 🤧
Và sau ngày định mệnh đó, cuộc đời rẽ lối sang một hướng ngoằn ngoèo khác mà chính chủ cũng đ biết là cái hướng qq gì. Mặt mũi trầy xước nông sâu đủ cả, bên má trái gần như không còn nguyên vẹn, chỗ sâu nhất là ở gần trên môi phía bên phải, à quên, chưa sâu bằng vết ở cằm phải khâu lại. Nhưng thôi, vì là dưới cằm nên tạm tha không cho lên hình. Mọi người cũng động viên mình mạng lớn may sao ngã nặng thế còn được các cụ thương đỡ cho không bị gì quá nặng nề bên trong, cũng còn may là chưa gãy mất cái mũi chứ không mình nghĩ mặt mình phải y chang bà phù thuỷ. 
Nhưng mà dù động viên thế nào đi nữa cũng không thể phủ nhận được sự thật là mặt mình lúc đấy nát cmn bét rồi. Nát hơn cả chữ nát. Nhìn cái mặt muốn khùng luôn. Mình có đăng bài 1 lần trong gr này cầu cứu thuốc trị sẹo và bắt đầu bước chân vào hành trình cứu lại mặt tiền. Hơi dài dòng lê thê mong anh chị em thông cảm.
Mới ở viện về mình được bác sĩ cấp cho thuốc Strataderm loại màu cam. Kiên trì dùng hết thấy cũng không có hiệu quả gì, có thể do cơ thể không hợp thuốc. Tìm hiểu cẩn thận mình quyết định mua loại Contractubex hàng nội địa Đức. Loại này mới dùng thấy hơi châm chích nhưng sau sẽ hết, khi khô lại có 1 lớp màng mỏng trên da, theo như nhữnh gì mình tìm hiểu là để ngăn vi khuẩn xâm nhập nên nếu có thể thì cố gắng đừng bóc nó ra. Đến thời điểm hiện tại mình vẫn tiếp tục dùng loại này. Thấy cũng có tiến triển qua mỗi tháng, chỉ còn vết sẹo sâu nhất trên môi là vẫn chưa hết lồi và mình đang có ý định đi tiêm sẹo lồi 🤥 chỗ này bị bong sớm do một phút giây ngủ say quên giời đất kiểu quái gì mà quệt mặt vào gối bong mất cái mài, lúc bong ra còn chảy máu nhìn rõ bị lõm sâu vào trong, lúc đấy còn sợ mình bị sẹo lõm thế mà sau này nó lại lồi ngược lại.
Trong khoảng 2 tháng đầu trị sẹo mình ko sử dụng bất kì sp dưỡng da nào, vì lúc đó mình cho rằng da vẫn còn non yếu chưa nên sửa dụng. Mình chỉ bổ sung thêm vitamin C, E, viên collagen, vitamin tổng hợp, uống tinh bột nghệ pha với nước ấm, kiêng ăn cực kỳ cẩn thận. Tuyệt đối không ăn rau muống (đến bây giờ vẫn không ăn), kiêng bò, nước tương, trứng, gà, hải sản, đồ tanh và những đồ đậm màu nói chung, hạn chế đồ ngọt. Uống nước cam, ăn hoa quả mát, bổ sung thêm rau. 
Sau 2 tháng thì bắt đầu sửa dụng lại skincare, mình bôi thuốc trị sẹo lên trước để khô tầm 5-10p em mới dùng skincare sau. Mỗi ngày dùng 2 lần rửa tay thật sạch trước khi dùng. Đến bây giờ cũng gọi là có kết quả hơi hơi hài lòng. Bên má trái vẫn hơi hơi đỏ, ấn mạnh tay thì cũng chưa hết đau hẳn, nhĩn kỹ vẫn thấy có vết hơi lồi lên, chút xíu thôi nhưng như thế là mình cũng thấy may mắn lắm rồi vì dù sao mặt cũng bị tan nát mà được vậy là ơn giời quá rồi. Còn vết ở trên môi và dưới cằm thì vẫn lồi, tuy mọi người bảo nhìn như vết mụn thôi nhưng thực sự là cũng khó chịu lắm nên mình đang có ý định tiêm sẹo hoặc là sẹo. Anh chị em trong gr ai có cao kiến về vụ này cho mình xin thỉnh giáo với ạ ! 
Tóm lại mình nghĩ điều cần thiết nhất khi trị sẹo là kiên trì, vô cùng kiên trì, vì sẹo là thứ khó loại bỏ nhất mà lại còn ở trên mặt. Thứ 2 là chế độ ăn uống, cuối cùng mới là thuốc.
Thuốc thì mỗi người hợp 1 loại, mọi người cố gắng tìm hiểu kĩ, có thể nó hợp với người này nhưng không hợp với mình. 
Ờm... văn phong mình hơi lủng củng dài dòng lê thê mong mọi người bỏ qua 🙇‍♀️
Xin phép được kết bài =))))
Chúc anh chị em trong gr luôn có một vẻ đẹp thật chanh sả 🍋🍋🍋</t>
  </si>
  <si>
    <t>2019-10-21 10:36:56</t>
  </si>
  <si>
    <t>100013733412849</t>
  </si>
  <si>
    <t xml:space="preserve">#trị_sẹo </t>
  </si>
  <si>
    <t>#muicothe
Chị em nào có cách giữ mùi thơm cơ thể lâu không ạ!? Em có sài nước hoa, sữa tắm,...nhưng vẫn kh giữ mùi được quá 2 giờ đồng hồ. Anh chị em nào có  cách hoặc loại nào sài giúp giữ mùi hương lâu thì gợi ý em nha. Em cảm ơn nhiều ạ.
(Hình ảnh để chống trôi bài thôi ạ, mong admin duyệt bài giúp em ạ. Em chân thành cảm ơn ☺️)</t>
  </si>
  <si>
    <t>2019-12-02 14:39:24</t>
  </si>
  <si>
    <t>Lam Tây</t>
  </si>
  <si>
    <t>100023307617137</t>
  </si>
  <si>
    <t xml:space="preserve">#muicothe </t>
  </si>
  <si>
    <t>Mọi người ơi , mọi người ơi !!!!
Em hông hiểu sao mà ở phần đuôi mắt em có cục thâm nặng vậy luôn( hai bên luôn ă), quanh mắt em vẫn thâm quanh năm ạ... Cộng thêm da em mùa này cứ bị khô như trên trán ý ạ. Các chị mẹ thông thái mách em cách cải thiện với ạ!!!
Em dang xài AHC với Serum Age 20's , srm Biore , Toner+TT Evoluderm 
(Da đã bôi kem chống nắng) 
#thammat #ask</t>
  </si>
  <si>
    <t>2019-11-29 04:09:06</t>
  </si>
  <si>
    <t>Vee</t>
  </si>
  <si>
    <t>100008010007812</t>
  </si>
  <si>
    <t xml:space="preserve">#ask #thammat </t>
  </si>
  <si>
    <t>#ask #duongam #xinreview #suaruamat #toner
Mong đc duyệt ạ
E có 1 số câu hỏi và muốn xin ý kiến của các chị thông thái, mong mng trl giúp e 
1 #tamsu 
Thật sự e muốn skincare để da mình đẹp hơn nhưng mà lúc e skincare thì da lại đổ nhìu dầu hơn. Hồi đó e dùng srm neutrogena, toner somebymi và k.dưỡng ẩm neutrogena, sau 1 tg sd e thấy chắc mình bị dị ứng vs tp silicone trong kd/ẩ nên e chỉ làm sạch và dùng toner somebymi nhưng nó vẫn ra nhìu dầu hơn lúc e ko xài. Thực sự e nản lắm luôn, e là HS nên ko có điều kiện thử nhìu loại để biết cái nào hợp vs da mình. E mong mng chia sẻ cho e ạ!!!! 
2. Da e da dầu và có mụn, nhưng hiện tại e trị đã đỡ r. Hồi đó e sd kem dưỡng ẩm của neutrogena thì mặt e dầu còn nhìu hơn lúc e ko dùng. Liệu e bị dị ứng tp silicone hoặc các tp khác mà e ko biết rõ lắm??  E muốn hỏi là có ai bị giống như e ko ạ??  Và mng đã thay đổi kem dưỡng ẩm nào ạ? , gth cho e vs!!! 
3. Liệu e có thể thay kem dưỡng ẩm bằng lotion dưỡng ẩm đc ko vì e thấy có nhìu lotion ko có silicone 
4.mng gth cho e sửa rửa mặt và toner có công dụng cấp ẩm, se khít lỗ chân lông mà xác suất bị kích ứng nhỏ đi ạ</t>
  </si>
  <si>
    <t>2019-11-29 13:55:42</t>
  </si>
  <si>
    <t>Trần Trang</t>
  </si>
  <si>
    <t>100014371330476</t>
  </si>
  <si>
    <t xml:space="preserve">#tamsu #toner #suaruamat #xinreview #duongam #ask </t>
  </si>
  <si>
    <t>E xin dùng acc clone ạ
Chuyện là gần tết rồi mà e muốn cắt tóc cho ưng với khuôn mặt đầy nọng và góc mặt nào cũng chết 😥😥 xin tha thiết chị em ở đây tư vấn cho e nên cắt kiểu nào ạ❤ cảm ơn mn rất nhiều
#toc
#tocdep</t>
  </si>
  <si>
    <t>2019-11-29 04:06:28</t>
  </si>
  <si>
    <t>Ngọc Hân</t>
  </si>
  <si>
    <t>100034917271791</t>
  </si>
  <si>
    <t xml:space="preserve">#tocdep #toc </t>
  </si>
  <si>
    <t xml:space="preserve">
#ask
Các cậu ơi, cho mình hỏi xí. Bình thường mình dùng niacinamide được gần hết rồi, nhưng khổ là cái này nó khô quá nên mình mới mua thêm HA về. Mà giờ không biết layer cái nào trước cái nào sau 😂
Ai có kinh nghiệm bày cho mình với, hay nên chia ra dùng sáng tối nhỉ? 
Cảm ơn các cậu ợ</t>
  </si>
  <si>
    <t>2019-09-29 20:05:11</t>
  </si>
  <si>
    <t>Nguyễn Ngọc Châu</t>
  </si>
  <si>
    <t>100008587726992</t>
  </si>
  <si>
    <t>#Ask #Help Ad duyệt bài giúp e với ạ
Em bị nội tiết tố, có cả mụn ngay cầm rất nhìu ạ, ngày dâu rụng nó cũng k đều và mình k ngủ ngon được, thức tới 1,2h mà buồn ngủ chút thôi nhưng ngủ k được 😭. Làm sao để khắc phục vậy m.n ơi. Em có mua viên uống trắng da với vitamin C của DHC mà uống có 1 viên làm biếng uống 😭 sẵn cho m hỏi 2 loại này uống trị được nội tiết tố k ạ. Có cách nào k cần dùng tới mấy thực phẩm chức năng k ạ, vì e cũng chưa dc 20t nên cũng sợ uống nhìu thực phẩm chức năng 🙁🙁
M.n ai có kinh nghiệm về vấn đề này chỉ em với ạ, e cảm ơn nhìu 🥰😍</t>
  </si>
  <si>
    <t>2019-10-23 14:55:38</t>
  </si>
  <si>
    <t>Trịnh Thị Na Ri</t>
  </si>
  <si>
    <t>100005223498564</t>
  </si>
  <si>
    <t xml:space="preserve">#Help #Ask </t>
  </si>
  <si>
    <t>Ad ơii duyệt giúp emm
Mng biết thuốc, serum nào trị thâm tốt hông mng, hôm nay nhìn lại chân ghê quá 😥😥😥</t>
  </si>
  <si>
    <t>2019-11-29 00:22:21</t>
  </si>
  <si>
    <t>Hứa Hồng Ngọc</t>
  </si>
  <si>
    <t>100003889482286</t>
  </si>
  <si>
    <t xml:space="preserve">
#Help
Các bác ơiii , em đang dùng BHA 2% Paulachoice thì không kết hợp đc với ordinary niacinamide 10%-+zinc1% đúng không ạ ???</t>
  </si>
  <si>
    <t>2019-10-18 03:22:15</t>
  </si>
  <si>
    <t>Phạm Lan</t>
  </si>
  <si>
    <t>100005062179623</t>
  </si>
  <si>
    <t>Tóc em dài cỡ ngang vai và em muốn tóc mọc nhanh thì dùng gì ạ? Cái gì giúp kích tóc mọc nhanh và dài ạ? 
Mong ad duyệt ạ vì em up nhiều lần mà ad k duyệt.</t>
  </si>
  <si>
    <t>2019-11-25 05:20:50</t>
  </si>
  <si>
    <t>Hải Yến</t>
  </si>
  <si>
    <t>100021792891951</t>
  </si>
  <si>
    <t>Mùa lễ hội tiệc tùng sắp tới rồi mấy cô nương của tui ơi
#makeup</t>
  </si>
  <si>
    <t>2019-12-02 02:39:45</t>
  </si>
  <si>
    <t>Ốc Hút</t>
  </si>
  <si>
    <t>100040036772278</t>
  </si>
  <si>
    <t>#ask 
Lần đầu tiên bị nổi mụn nên hoang mang vô cùng ce ạk
Gần đây e bị nổi ở trán .trước giờ e k sài mỹ phẩm hay bất cứ 1 thứ gì kể cả sữa rữa mặc. K hiểu vì sao dạo gần đây lại nổi lên ở trán nhũng chấm li ti  như hình.
E cũng có tìm hiểu trên nhóm của mình và đi mua 
Em mua: sữa rửa mặc cetaphil
Nước tẩy tranh l'oreal và nước muối sinh lý
Mask đất sét innisfree
Mấy ace có thể review giúp e mấy sẳn phẩm trên dc k ạk</t>
  </si>
  <si>
    <t>2019-12-02 11:10:52</t>
  </si>
  <si>
    <t>Ngọc Thủy</t>
  </si>
  <si>
    <t>100028351535498</t>
  </si>
  <si>
    <t>Chào mọi người.e năm nay 23 tuổi.cũng bị nám được 2 3 năm rồi.trước e khá nhiều mụn nên cứ tưởng vết thâm mụn nhưng giờ mới thấy rõ là nám(ở ngoài nhìn đậm hơn ak).mọi người có biết sản phẩm gì giúp làm giảm nám không ạ
E cảm ơn
#nam</t>
  </si>
  <si>
    <t>2019-11-27 06:47:22</t>
  </si>
  <si>
    <t>Mon Mon</t>
  </si>
  <si>
    <t>100009563497825</t>
  </si>
  <si>
    <t xml:space="preserve">#nam </t>
  </si>
  <si>
    <t xml:space="preserve">Mn cho e hỏi xíu ạ hôm e có đi làm mặt ở spa
Nta bôi thuốc j giống mùi rượu e bong da tè le và khô da 
Sau đó nta bảo da e bị độc rồi thải độc kb thoa serum j 
Giờ xong liệu trình da e ok đẹp r nhưng khô mà vẫn bong 
Mn tư vấn cho e dùng loại j để phục hồi da với ạ
E đang sài toner simple
Và time less b5
😢
Mong ad duyệt bài ạ
</t>
  </si>
  <si>
    <t>2019-12-04 23:40:12</t>
  </si>
  <si>
    <t>Quang Phùng</t>
  </si>
  <si>
    <t>100013593579978</t>
  </si>
  <si>
    <t xml:space="preserve"> #béomặt
Mọi người ơi. Mặt em béo quá nhưng người lại gầy. Em muốn tiêm tan mỡ. Mọi người tư vấn giúp em với.
Ảnh mạng.</t>
  </si>
  <si>
    <t>2019-12-03 12:13:34</t>
  </si>
  <si>
    <t>Hồ Hạ My</t>
  </si>
  <si>
    <t>100044484512127</t>
  </si>
  <si>
    <t xml:space="preserve">#béomặt  </t>
  </si>
  <si>
    <t>#ask
Cả nhà ơi cho em hỏi có dòng son kem nào mà ra được màu hồng tươi giống như hình không ạ? Em thích lắm nhưng mua mấy lần, hãng đưa màu như hình nhưng mua về bôi thử lên tay thì hầu như là hồng trầm pha tí đỏ chứ chưa thấy được cây nào hồng tươi y vậy ạ 😭
Cho em xin tên son với em cám ơn nhiều ❤️</t>
  </si>
  <si>
    <t>2019-11-26 08:01:26</t>
  </si>
  <si>
    <t>Hoàng My</t>
  </si>
  <si>
    <t>100007159418531</t>
  </si>
  <si>
    <t>Mng ơi cứu mình với....
Chuyện là dạo này mặt mình mọc mụn ẩn nhiều liên lục, mọc không có điểm dừng, nhìn trong tối không thấy nhưng khi ánh sáng hắt vào sẽ thấy 1 rừng mụn....
E cũng bị tắc kinh gần 1 tháng nay nhưng trước đó e có kinh rất đều đặn và khá đúng ngày
Mong mọi người đưa ra lời khuyên ạ chứ em thấy tự ti quá :((</t>
  </si>
  <si>
    <t>2019-12-11 01:50:42</t>
  </si>
  <si>
    <t>Đan Đan</t>
  </si>
  <si>
    <t>100010086437552</t>
  </si>
  <si>
    <t>Mọi người ơi biết cách nào giúp cổ em đều màu không ạ tại hồi em đi nắng không bao cổ cổ bị vậy 
H em làm cách nào nó cũng không đều màu hết ạ hic hic
#cổ_da_xấu</t>
  </si>
  <si>
    <t>2019-12-13 00:52:09</t>
  </si>
  <si>
    <t>Trúc Xíu</t>
  </si>
  <si>
    <t>100009432911752</t>
  </si>
  <si>
    <t xml:space="preserve">#cổ_da_xấu </t>
  </si>
  <si>
    <t>Dạ e chào mn ạ !!
E nhờ mn giúp e bệnh này là bệnh gì v ạ 
E đã đi khám nhiều nơi chỗ thì kêu nấm chỗ thì kêu chàm 
Và cũng đã sd thuốc nhưng nó vẫn nv 
Ai biết giúp e với ạ :((</t>
  </si>
  <si>
    <t>2019-12-05 11:54:22</t>
  </si>
  <si>
    <t>Hạ Băng</t>
  </si>
  <si>
    <t>100043622342754</t>
  </si>
  <si>
    <t>#lips #khovienmoi
Hello cả nhà, chuyện là đợt này môi mình cứ bị khô cứng quanh viền môi, bên trong môi thì không bị, viền môi còn tróc tróc da kiểu bị nẻ như ngoài HN đang vào đông, có bạn nào biết cách khác phục không chỉ giúp mình mình ngàn lần cảm ơn :((
Mình đã thử bôi vaserline, vitamin e mà vẫn vậy.
Nhờ ad duyệt bài giúp mình. Cảm ơn ad và mọi người.</t>
  </si>
  <si>
    <t>2019-11-27 04:07:14</t>
  </si>
  <si>
    <t>100006509391391</t>
  </si>
  <si>
    <t xml:space="preserve">#khovienmoi #lips </t>
  </si>
  <si>
    <t>Góc tìm hiểu
Em đang theo spa trị mụn , mụn thì hết rồi nhưng thâm để lại rất nhiều ( như ảnh đó ạ) 
Em có hỏi chị spa là làm sao để hết thâm thì c bảo cứ hết mụn rồi tự khâc hết thâm
Nhưng em hoang mang quá 😔😔😔
Mọi người ai có cách nào Sp nào để hết thâm k ạ , tư vấn em với🤦🏼‍♀️</t>
  </si>
  <si>
    <t>2019-12-12 12:25:27</t>
  </si>
  <si>
    <t>Bui Thu Hoai</t>
  </si>
  <si>
    <t>100041217560869</t>
  </si>
  <si>
    <t>Các bạn ơi cho e hỏi kem duong ẩm nao tốt ah 
Em đang muốn xài mà khong biết xài loại nào ah 
Em chỉ cần duong trắng vs lại se khít lỗ chân lông thôi ah tại vì lo chan Long em cung to ah</t>
  </si>
  <si>
    <t>2019-12-14 11:05:20</t>
  </si>
  <si>
    <t>Lâm Ánh Ngọc</t>
  </si>
  <si>
    <t>100005622138173</t>
  </si>
  <si>
    <t xml:space="preserve">
#help
#tritham
Chào anh chị em trong group, chả là sau 1 tháng mình dùng BHA của paula’s choice, trộm vía là mụn ẩn mụn trên da đều biến mất, sờ mặt láng mịn căng bóng k hề cộm ở bất kì 1 chỗ nào trên da cả, được bạn bè khen là trắng hơn mặc dù dòng sản phẩm này k có tác dụng làm sáng da, nhưng có 1 vấn đề cực nan giải là bị thâm... sau 1 thời gian đẩy mụn, mụn toàn tự rụng cồi chứ mình chưa phải dùng tay để nặn bao giờ cả, thì giờ lại bị thâm, thâm nhìn rất rõ luôn ạ 😞 dạo qua group thì thấy em cc melano serum này trị thâm có vẻ ổn vì có tinh chất LAA (vitaminC) nên trị thâm khá ok, giờ mình muốn hỏi là mình đang duy trì dùng bha paula’s choice để cải thiện lỗ chân lông và ngừa mụn, mình dùng kết hợp cả cc melano serum này đc ko ạ ? Nếu k đc thì có loại vitamin C của hãng này thay thế đc em này để dùng chung với bha đc ko ạ ?
C.ơn mọi người!</t>
  </si>
  <si>
    <t>2019-10-05 23:17:44</t>
  </si>
  <si>
    <t>Phong Hải</t>
  </si>
  <si>
    <t>100018942559412</t>
  </si>
  <si>
    <t xml:space="preserve">#tritham #help </t>
  </si>
  <si>
    <t>Các chị em ơi . Cho mình xin cách chưa trị với ạ
Em cảm ơn nhiều ạ ❤ 
🥺🥺🥺
Anh mình từng bị rất nhiều mụn , giờ tình trạng da anh mình bị sẹo như này và lỗ chân lông to , mụn thì k còn mọc nhiều như trước nữa . 
Mong Ad duyệt bài giúp e ạ . 😘</t>
  </si>
  <si>
    <t>2019-11-30 02:13:23</t>
  </si>
  <si>
    <t>Phạm Huyền Lương</t>
  </si>
  <si>
    <t>100006380400629</t>
  </si>
  <si>
    <t>Em muốn nhuộm tóc để ăn tết, nhưng không muốn tẩy tóc ạ, mng cho e ý kiến màu gì thì đẹp được không ạ? 
E cảm ơn ❤️🥰</t>
  </si>
  <si>
    <t>2019-12-02 14:51:15</t>
  </si>
  <si>
    <t>Phạm Hồng Trinh</t>
  </si>
  <si>
    <t>100006722409538</t>
  </si>
  <si>
    <t>#ask #help Xin chao mn e năm nay 16t da mặt e nổi rất nhiêu mụn ẩn ở trán nhưng k sưng đỏ còn ở cánh mũi thì nối mụn cám và đầu đen vùng vũi cứ bị xỉn màu í ạ . Da e đổ rất nhiêdu dầu nhờn ở trán và mũi mong mn tư vấn giúp e cách trị và cha sóc ạ e cảm ơn ạ.</t>
  </si>
  <si>
    <t>2019-11-28 00:24:42</t>
  </si>
  <si>
    <t>My Hồng</t>
  </si>
  <si>
    <t>100040172505944</t>
  </si>
  <si>
    <t>Em bị như này, cứ ngứa và e gãi nó lại khô rôi ngứa tiếp... hơn 1 năm nay chưa khỏi.
Mng ai bị như em không ạ? Cho e hỏi thuốc gì trị đc ạ. E đã thoa nhiêu thuôc nhưng ko khỏi.</t>
  </si>
  <si>
    <t>2019-12-24 01:58:44</t>
  </si>
  <si>
    <t>Trần Nguyễn Phương Thùy</t>
  </si>
  <si>
    <t>100005765432149</t>
  </si>
  <si>
    <t xml:space="preserve"> #help
mn ơi dạo gần đây da chân của em nó bị như vậy ạ! lỗ chân lông to với bên trong có nhân giống như bị mụn trên mặt ý ạ :((((
*edit: lông chân em cụt ngủn nên trước giờ em chưa wax hay cạo ạ!!!</t>
  </si>
  <si>
    <t>2019-12-23 16:11:42</t>
  </si>
  <si>
    <t>Vòng Ngọc Nguyệt</t>
  </si>
  <si>
    <t>100009929923353</t>
  </si>
  <si>
    <t xml:space="preserve">
#ask
#Mỹphẩmchothaikỳ
#skincarechobầu
Các chị em và các mom cho em xin phép hỏi những mỹ phẩm, các brand nào được sử dụng trong thời gian bầu ạ. Em đang trong thời gian tham khảo và chuẩn bị mọi thứ. Em tham khảo nhiều bài nhưng chưa có bài nào cụ thể. Có xem của Trinh Phạm rồi mà thấy chị đó xài gì mà nhiều thứ lắm luôn em hơi rối. Cho em xin ý kiến cụ thể từng loại với ạ.
- Ví dụ xài toner gì ? Serum gì ? Dưỡng ẩm loại nào cho từng giai đoạn ? Được đắp mask gì? Xài sữa tắm và dầu gội gì ? Và quan trọng là body mình được xài kem gì hay lotion nào ạ.
Trước khi có bầu cần chuẩn bị gì ? 
Và hiện nay em và chồng đang sử dụng các thuốc trong hình và em đang tính mua thêm elevit có người thì bảo black more cho bầu tốt hơn, elevit dễ bị bón. Các mom nào có kinh nghiệm rồi cho em xin ý kiến với ạ. Em cảm ơn.</t>
  </si>
  <si>
    <t>2019-12-17 01:19:44</t>
  </si>
  <si>
    <t>Hy Hy</t>
  </si>
  <si>
    <t>100010877446588</t>
  </si>
  <si>
    <t xml:space="preserve">#skincarechobầu #M #ask </t>
  </si>
  <si>
    <t>Em tẩy tóc nên giờ tóc khô sơ quá :((
Mn có biết loại dưỡng tóc nào tốt chỉ em với ạ?</t>
  </si>
  <si>
    <t>2019-12-10 08:18:44</t>
  </si>
  <si>
    <t>Lê Khánh Linh</t>
  </si>
  <si>
    <t>100000224764932</t>
  </si>
  <si>
    <t>#helpme #muntham
Em xinn mạnh dạn nhờ các ace thông thái xử lí dùm em ca này với.Nói sơ sơ qua là da em da dầu,bị mụn lum la hết,mà nó xẹp mụn cái là nó thâm thôi rồi,dùng megaduo thì nó đẩy mụn ẩn lên thôi chứ thâm thì chẳng ăn thua các bác ạ :((.Rất mong các bác recommend cho em 1 loại trị thâm giá bình dân tí ạ.Cảm ơn các bác nhé,yêu thương và bóp đ*t ♥️
Mong ad duyệt cho em nè</t>
  </si>
  <si>
    <t>2019-12-06 02:45:04</t>
  </si>
  <si>
    <t xml:space="preserve">#muntham #helpme </t>
  </si>
  <si>
    <t>#help
Mình xài xong 2 chai decumar và srm của decumar luôn thành như vầy,da mình da dầu,hiện mình ngưng xài và chỉ rửa mặt bằng nước,có cách nào hạn chế dầu với giảm thâm mụn hông ạ :(((</t>
  </si>
  <si>
    <t>2019-12-19 03:26:04</t>
  </si>
  <si>
    <t>Sơn Xuân Thịnh</t>
  </si>
  <si>
    <t>100005801166448</t>
  </si>
  <si>
    <t>Chào mọi người!
Em mới tậu 1 em foreo 3 màu hồng về sài. Mà em muốn hỏi mọi người em nên dùng sửa rửa mặt và dưỡng ẩm gì cho mặt ạ?
Da em thuộc da thường, ko mụn. Nhưng em sống ở đây nhiệt độ 0 độ, nên khi ra ngoài ko có dưỡng ẩm thì bị khô lắm luôn ạ
Mọi người biết có thể tư vấn cho em được không ạ?
Em cám ơn mọi người nhiều nhiều</t>
  </si>
  <si>
    <t>2019-11-26 02:09:43</t>
  </si>
  <si>
    <t>Shine Lệ</t>
  </si>
  <si>
    <t>100003378066934</t>
  </si>
  <si>
    <t>Các cao nhân nhìn giúp em bên nào là nhái vậy ạ huhu 
Hay là ra khác đợt thì khác tem??? 
Tiện thể em review dòng mỹ phẩm tầm trung này của hàn. Em dùng cả bộ kèm theo tẩy tbc với cả mặt nạ cùng hãng. Da có cải thiện nhưng ít. Riêng toner em dùng AHA nên chai toner của hãng này em không biết.</t>
  </si>
  <si>
    <t>2019-12-03 23:48:27</t>
  </si>
  <si>
    <t>Trần Thụy Thảo Ngân</t>
  </si>
  <si>
    <t>100003973202313</t>
  </si>
  <si>
    <t>#ask #duongtrang #body
các chị ơi, có ai biết cách dưỡng trắng da body ko? Chán ơi là chán. Da e dùng dưỡng thể hay chống nắng gì nó cũng ngăm ngăm ko trắng nổi, muốn mặc váy trắng nhiều khi cũng phải từ bỏ :(
Bạn e xúi đi tắm trắng nhưng em sợ về nó lại ăn nắng thì còn quá tội. Có kem dưỡng hay sữa tắm sáng da nào oki mn recomment cho e với ạ &lt;3</t>
  </si>
  <si>
    <t>2019-12-12 08:06:50</t>
  </si>
  <si>
    <t>100005869023537</t>
  </si>
  <si>
    <t xml:space="preserve">#body #duongtrang #ask </t>
  </si>
  <si>
    <t>#lankimtrimun#bachlinh#
Chào cả nhà, em vừa lăn kim trị mụn thấy ok lắm, nhưng trong qtr lăn lại dùng Bạch Linh do spa đưa, mùi như thuốc rượu
Giờ da đag đẹp, và khô, có b nào dùng r cho t hỏi cách chăm sóc đc k ạ, vì t vừa lăn lim xong
Đây là da t lúc trước nhé.</t>
  </si>
  <si>
    <t>2019-10-17 16:34:25</t>
  </si>
  <si>
    <t>Phuong Anh</t>
  </si>
  <si>
    <t>100013230915450</t>
  </si>
  <si>
    <t xml:space="preserve">#bachlinh #lankimtrimun </t>
  </si>
  <si>
    <t>#niengrang #niềngrăng
💗QUÁ TRÌNH NIỀNG RĂNG💗
Ai răng chưa xinh, còn lăn tăn có nên đi niềng không thì mong là đọc xong bài này tụi bây có động lực ủn mông đi niềng răng nhé🤣🤣🤣
À trước khi review nhẹ quá trình niềng răng của tao thì cho phép group xưng mày tao cho thân mật nha🤣🤣 Khổ quá tao là đứa khoái đi review mỹ phẩm dưỡng da makeup các thứ mà nội quy không cho người bán hàng review mà tao lại bán hàng online :'( nên tao nói về vấn đề được khá nhiều người quan tâm-niềng răng cho đỡ ghiền nha
Tao bắt đầu niềng răng từ tháng 6 năm ngoái đến nay cũng tầm được 8-9 tháng rồi, case của tao dự kiến tầm 2,5-3 năm sẽ tháo niềng. 
Tao niềng ở nha khoa Cao Thắng - Q3 vì tao học trường Y, các anh chị học ngành Nha tư vấn nên niềng ở đấy có bs Hồ rất giỏi, mà Nha khoa đó cũng chỉ có 1 mình bác làm nên sẽ tránh được trường hợp 1 case mà quá nhiều bác sĩ theo dõi đôi khi sẽ bị sót. 
Đầu tiên là sẽ đi tư vấn, chụp XQuang khung hàm free rồi mình mới quyết định có niềng hay không. Tao chọn loại mắc cài kim loại, giá là 25tr vì bác nói loại này tuy thẩm mỹ kém nhưng hiệu quả mang lại cao, cộng thêm tao phải cắm 3 minivis vào khung xương hàm để kéo răng, tránh tụt lợi nữa tổng hết là 28tr không phát sinh chi phí gì thêm nếu mày có bị sứt mắc cài, sứt dây gì họ cũng thay miễn phí ấy (tao thì trám thẩm mỹ 3 răng nữa cái này không được miễn phí trong hợp đồng nhưng bác cũng giảm 50% cho tao luôn, chỉ tốn 500k trám thẩm mỹ 3 cây răng 😋)
Sau khi đồng ý và cọc một khoảng 5triệu thì chúng mày sẽ được nha khoa lấy dấu răng và gắn chung tách kẽ để gắng band cố định ở răng số 7, bước này mấy ngày đầu thấy hơi ê ê khi cắn 2 hàm lại nhau trúng thun thì nhức, nên nhai tránh chỗ thun ra là ổn. Đặt chun 2 hàm khoảng 2 tuần thì sẽ được gắng band, vệ sinh răng, đánh bóng, cạo vôi rồi bắt đầu gắn mắc cài và dây cung.
Trường hợp của tao bị mất 1 răng số 4 hàm dưới và 1 răng số 6 hàm trên nên thời gian niềng lâu hơn người khác (thường nhổ 4 răng 4 kéo sẽ nhanh hơn, còn tao mất 2 răng vs nhổ 2 răng là 2 răng số 4, 2 răng số 6 nên lực kéo chậm hơn) mà cũng may tao không phải nhổ răng khôn vì 4 răng khôn tao mọc rất thẳng :))) nếu đứa nào có răng ngầm răng khôn thì sẽ phải xem xét để nhổ ấy. Tao nhổ 1 chân răng còn sót lại bác nhổ êm, không đau tí nào, nhưng tao kĩ nên vêg uống viên giảm đau rồi đi ngủ vì bữa đó đi nhổ lúc tối.
Sau khi mọi thứ ổn định thì cứ 1 tháng đến thay dây và kiểm tra 1 lần, độ khoảng 1 năm đầu khi răng dàn đều sẽ rất xấu nhưng đừng lo vì mọi thứ sẽ ổn cả. Trộm vía quá trình niềng tao hoàn toàn không đau đớn gì, đã thế còn tăng cân. Ngày trước cứ sợ đau nên không dám niềng. Đi niềng về chân gà, hột xoài, cóc ổi tao xử được hết, đôi lúc nhai nhiều thì hơi ê ê chứ không tới nỗi húp cháo nhưng 1 số bạn. Chỉ có 1 điều khó chịu là mắc cài hay cạ vào mồm làm tao bị nhiệt miệng thường xuyên lũ bạn cứ thấy môi có vẻ sưng lại chọc nghiệp tụ vành môi 😢😢😢
Về tiền thì tụi mày có thể trả 1 cục, có thể cọc 5triệu rồi sau đó mỗi tháng góp 1tr cũng được, rất ưu ái cho sinh viên luôn, lúc niềng thì các anh chị phụ tá sẽ đảm nhận vệ sinh, thay dây, còn bác Hồ sẽ làm những khâu quan trọng như gắn mắc cài, bắt vis,...
Dịch vụ ở đây khá tốt, nhiệt tình mỗi tội cứ bị quá tải, mặc dù đã đặt lịch từ sớm nhưng đến vẫn phải chờ rất lâu mới tới lượt :'( Khi quên lịch đi khám thì cũng phải tự liên hệ vs nha khoa đăng kí lại chứ nhân viên không gọi nhắc đâu.
Răng tao hồi trước mất răng, răng cửa mẻ, khớp cắn sâu, răng chìa thêm cả xương cằm ngắn, cằm lẹm nên nhìn ngang rất hô, niềng giờ tầm 9 tháng đã vào đáng kể, cằm cũng đỡ lẹm hơn, ai nói mắc cài kim loại không đẹp chứ răng xinh rồi tao cứ ngoác mồm cười suốt 🤣🤣🤣 Ai nói gì chứ gắn nguyên con iphone trên mồm ngại gì không nhe ra khoe 🤣🤣🤣</t>
  </si>
  <si>
    <t>2019-03-08 06:37:14</t>
  </si>
  <si>
    <t>100006818806973</t>
  </si>
  <si>
    <t xml:space="preserve">#niềngrăng #niengrang </t>
  </si>
  <si>
    <t>Xin chào mọi người:))
Nhóm mình cho mình xin review sản phẩm trị sẹo ở chân với ạk.
Vết sẹo này là do bị tai nạn mà để lại ạk</t>
  </si>
  <si>
    <t>2019-12-18 11:53:48</t>
  </si>
  <si>
    <t>100030999794208</t>
  </si>
  <si>
    <t>#help
Chào mng ! huhu mng ơi giúp em với ạ 😞 gần tết r mà mặt em như z tự ti chả muốn đi đâu 😞 mng có cách nào bớt mụn, bớt thâm và sẹo rỗ kh bày cho em với 😞 em cảm ơn nhiềuuuu
hiện tại em chỉ sử dụng serum Snail Truecica của Some By Mi và sữa rửa mặt Jeju Volcanic của Innisfree thôi ạ
mong ad duyệt giúp em</t>
  </si>
  <si>
    <t>2019-12-11 01:09:05</t>
  </si>
  <si>
    <t>Hồng Hồngg</t>
  </si>
  <si>
    <t>100039429430317</t>
  </si>
  <si>
    <t xml:space="preserve">Có bạn nào từng trị sẹo rổ bằng pp lăn kim hay laser mà hết ko ạ. Mình trước đây bị mụn viêm rất nặng sau khi điều trị thì để lại sẹo ntnay cũng đc 1 năm rồi. Mình muốn laser mà nghe nhiều người nói ko hết. Mình chỉ hy vọng nó đỡ hơn ko còn thấy vết rỗ rõ như này. 
#triseoro
</t>
  </si>
  <si>
    <t>2019-10-27 04:40:02</t>
  </si>
  <si>
    <t>100042973323195</t>
  </si>
  <si>
    <t xml:space="preserve">#triseoro </t>
  </si>
  <si>
    <t xml:space="preserve">
#ask
#hepme 
  Da em bị mụn ẩn rất nhiều + da mỏng yếu
 Mn chỉ e cách phục hồi da với ạ😭😭
  Mấy chị bán hàng đừng ib e nha.cảm ơn mn</t>
  </si>
  <si>
    <t>2019-08-05 03:45:05</t>
  </si>
  <si>
    <t>Thúy Nabi</t>
  </si>
  <si>
    <t>100025502149285</t>
  </si>
  <si>
    <t xml:space="preserve">#hepme #ask </t>
  </si>
  <si>
    <t>Mọi người ơi. Giúp em vơi. Em vừa thi xong. Dạo này e thức khuya quá nên da mặt em bị thế này. Nhiều mụn ẩn lắm ạ. Mấy chị có cách gì không chỉ em với ạ. E chụp bằng opple nên không nét lắm ạ.</t>
  </si>
  <si>
    <t>2019-12-14 16:48:29</t>
  </si>
  <si>
    <t>Lê Hiền</t>
  </si>
  <si>
    <t>100028767322817</t>
  </si>
  <si>
    <t>#Ask #Đẹp_chanh_sả
Mọi người cho mình hỏi da mình bị tình trạng như thế này thì phải skincare như thế nào ạ? :((( 
Da mình là da hỗn hợp thiên khô. Hiện tại mình chỉ mới dùng srm centaphil vì mình k rành skincare sợ bị dị ứng ạ. 1 tuần mình có xông hơi khô 3-4 lần nữa.</t>
  </si>
  <si>
    <t>2019-11-15 07:05:33</t>
  </si>
  <si>
    <t>Hoàng Long</t>
  </si>
  <si>
    <t>100003948006440</t>
  </si>
  <si>
    <t xml:space="preserve">#Đẹp_chanh_sả #Ask </t>
  </si>
  <si>
    <t>Chào mọi người
Tóc em dễ bị trẻ ngọn . Nên nay em có nghịch dại tự cắt phần trẻ ngọn của tóc đi không may ngắn quá mà còn lởm nhởm .
Mọi người có tips gì chia sẻ cho em cho tóc nhanh dài với ạ chứ sắp tết rồi tóc tai như này chán lắm !!</t>
  </si>
  <si>
    <t>2019-12-12 12:23:12</t>
  </si>
  <si>
    <t>Lại Thị Linh</t>
  </si>
  <si>
    <t>100029133255710</t>
  </si>
  <si>
    <t>Lúc trước da em bị nám nhẹ sau sinh càng đậm hơn .. các chị có cách nào làm nó hết hoặc mờ k ạ chỉ em với ạ .❤ e cảm ơn mọi người nhiều</t>
  </si>
  <si>
    <t>2019-11-24 15:33:01</t>
  </si>
  <si>
    <t>Phạm Thuý Mỹ</t>
  </si>
  <si>
    <t>100013262435546</t>
  </si>
  <si>
    <t>#ask 
Hi chị iem. Cho mình hỏi nếu dùng nhiều loại TPCN trong cùng 1 ngày thì có làm sao ko ạ?? Hiện tại thì mình đang uống Dầu cá, Collagen, Viên rau củ, Vitamin C, Viên bổ gan, Viên nghệ. Mình chia ra uống đều mỗi ngày luôn!!</t>
  </si>
  <si>
    <t>2019-03-26 08:35:36</t>
  </si>
  <si>
    <t>#ask #nails 
Anh chị em Đẹp chanh sả cho em hỏi có ai bị như thế này chưa, hoặc có ai biết là bị gì không ạ? 
Tự nhiên nó bị như thế, em không đắp móng, cũng không sơn hay làm gì đến móng hết. Trông sợ lắm ạ.  Em không biết bị gì, cũng chưa đi khám.
Ai có cách gì hay có mẹo gì giúp em với. 
Em cảm ơn.</t>
  </si>
  <si>
    <t>2019-10-13 05:09:34</t>
  </si>
  <si>
    <t>Lâm Uyên Phương</t>
  </si>
  <si>
    <t>100016538701386</t>
  </si>
  <si>
    <t xml:space="preserve">#nails #ask </t>
  </si>
  <si>
    <t>#hoidap #mayxongtinhdau
Cho e hỏi là đã ai dùng mấy kiểu máy xông tinh dầu như này chưa ạ.Dùng có bền k vậy mọi người
-Vs cho e hỏi dùng tinh dầu mùi nào thơm vậy ạ.E cảm ơn ạ</t>
  </si>
  <si>
    <t>2019-10-31 11:50:30</t>
  </si>
  <si>
    <t>Mai Anh</t>
  </si>
  <si>
    <t>100010627811816</t>
  </si>
  <si>
    <t xml:space="preserve">#mayxongtinhdau #hoidap </t>
  </si>
  <si>
    <t xml:space="preserve">
#tuvan #phukhoa
Xin chào các anh chị trong nhóm, vì vấn đề tế nhị nên e xin phép dùng nick ảo. E năm nay 23 tuổi, chưa có gia đình nhưng cũng có quan hệ rồi. E bị phụ khoa cách đây 3 năm. Lúc mới bị thì chỉ ra dịch nhẹ và ngứa. E có đi khám tại bệnh viện và bác sĩ có kê đơn uống và viên đặt. Nhưng nó chỉ đỡ đc 1 thời gian rồi lại bị tiếp. Lần 2 e đi khám tiếp thì bác sĩ lại cho thuốc đặt và uống nhưng chữa trong khoảng nửa năm. Và rồi sau đấy cũng vẫn chỉ đỡ đc tầm 1,2 tháng rồi lại tiếp tục bị. Lần 3 và 4 e tiếp tục đi khám, đặt thuốc rồi uống nhưng rồi kết quả vẫn vậy. Mà chả hiểu sao càng ngày dịch ra càng nhiều và con đặc. Trong khi e là đứa rất giữ vệ sinh, luôn rửa bằng dung dịch và thay đồ lót hằng ngày mà không hiểu sao mãi k khỏi đc. Đây là đơn thuốc lần cuối e khám gần đây nhất tại viện đại học Y. Bác sĩ còn bảo đặt xong thì thôi k cần đến khám lại. E ra hiệu thuốc thì chị bán thuốc còn bảo bệnh này giờ chỉ có đốt hoặc áp lạnh thôi chứ đặt mãi cũng k khỏi đâu. Ở đây có chị nào đã từng bị và chữa khỏi ở đâu, giá thành có đắt k ạ. Chứ e bất lực và lo lắng lắm rồi ạ. E chữa mất nhiều thời gian và tiền bạc quá rồi mà mãi chẳng khỏi, thậm chí còn nặng hơn trong khi e còn chưa có con cái gì cả. E cảm ơn mọi người đã đọc và mong ad duyệt bài giúp e ạ
- Edit: e xin phép chụp thêm tờ xét nghiệm của bệnh viện. Và e xin đính chính thêm là gần 1 năm nay rồi e chưa quan hệ nên việc lây từ bạn trai thì là k thể ạ</t>
  </si>
  <si>
    <t>2019-05-24 07:10:37</t>
  </si>
  <si>
    <t>Thương Thương</t>
  </si>
  <si>
    <t>100008721271974</t>
  </si>
  <si>
    <t xml:space="preserve">#phukhoa #tuvan </t>
  </si>
  <si>
    <t>#kemchongnang #review
Các anh chị xinh đẹp trong ĐcS cho em xin review 1 số loại kcn tốt với ạ.  Kiềm dầu, k bí da lên tone nhẹ và bôi lên mặt k bị loang hay bóng ạ.  Em cảm giác bôi kcn mặt bị trắng loang loang như đi văn nghệ trang điểm hát chèo ý ạ 😑 
Các ac ai dùng qua loại nào oke thì gth e với ạ. 
Cho em hỏi thêm là kcn bôi 1 ngày 1l hay là bao lâu phải dặm lại ạ
 Em da hỗn hợp ạ.</t>
  </si>
  <si>
    <t>2019-10-27 04:08:32</t>
  </si>
  <si>
    <t>Mai Đinh</t>
  </si>
  <si>
    <t>100008800398094</t>
  </si>
  <si>
    <t xml:space="preserve">#review #kemchongnang </t>
  </si>
  <si>
    <t>Mọi ngượi ơi cứu mh với, mấy tháng nay mh bị rụng tóc quá trời. Dạo gần đây mh gội đầu toàn bị rụng cả búi to ntn. Mh không biết phải làm sao. Ai có cách nào cải thiện mách mh với. Tóc bị mỏng lắm, sắp trọc đầu r ạ. Em cảm ơn, mong ad duyệt bài
#aks #rungtoc</t>
  </si>
  <si>
    <t>2019-11-30 00:05:47</t>
  </si>
  <si>
    <t>Thu Nga</t>
  </si>
  <si>
    <t>100005316374324</t>
  </si>
  <si>
    <t xml:space="preserve">#rungtoc #aks </t>
  </si>
  <si>
    <t>#tuvan
Chào mọi người! Chẳng là em bị cận nhưng không thích đeo kính vì mặt khá ngu. Bình thường em hay đeo lens nhưng lại là loại không giãn, size lens chỉ tầm 14.0 đổ lại thôi do mắt em khá nhỏ đeo to hơn sẽ không thấy lòng trắng :))
Hiện tại em đang xài lens của Caras và Lensnice. Nhưng vì bây giờ em muốn tìm lens màu đen mà 2 hãng trên lại ko có. Nên em muốn nhờ mọi người tư vấn cho em thêm vài hãng lens uy tín và có thể mua được ở Việt Nam giúp em ạ.
Hiện tại em có tham khảo thêm được DollEyes nhưng bên đó lại không có lens dưới 14.0 nên vẫn chưa biết mua lens cận màu đen size nhỏ ở đâu cả. 
Mọi người chỉ cho em vài chỗ tham khảo với ạ. Tks mọi người.</t>
  </si>
  <si>
    <t>2019-05-08 02:36:40</t>
  </si>
  <si>
    <t>Trần Hương Trà</t>
  </si>
  <si>
    <t>100009446250803</t>
  </si>
  <si>
    <t>#Gócreview #Tiptrịthâmbody
Hello mọi ngừoi, nay có thời gian rảnh rỗi nên lên review một chút về hành trình trị thâm body của mình ^^
Các bạn có thể vào group ĐCS và seach Nghi Nghi thì trước đó mình có đăng một bài viết hỏi về cách trị thâm. Lúc mình mang bầu thì có thể do sức đề kháng yếu nên bị ai lây ghẻ cũng chả biết, lúc đó bầu mệt mỏi + tính ỷ y là đẻ xong sẽ hết ngứa nên không có đi khám và chỉ trong gần 2 tháng cả người từ cổ tới bàn chân chi chít HOA !!! Đẻ xong thì tắm lá me mỗi ngày ( cần kiên trì ) cũng hết ghẻ và giờ là tip trị thâm cho các bạn ^^. Ban đầu thì rất stress luôn, không dám ra đường dù chỉ 1 bước, ở nhà cứ seach gg, hoặc vào các group, trang làm đẹp lớn để xin tip trị thâm. Rồi cũng làm theo nhưng k có hiệu quả mà hại da rất nhiều. Ví dụ có người kêu lấy kem đánh răng trắng Ps + 1 quả chanh rồi đắp lên chân để qua đêm và làm liên tục trong vòng 15 ngày sẽ hết 100% thâm, thì mình cùng làm theo nhưng ngày đầu tiên làm thì tới khoảng vài tiếng là đi rửa chân ngay bởi vì rất là bết rít và cũng tìm hiểu thì làm vậy sẽ bào mòn gây nguy hiểm cho da nên không làm nữa ( à mình quên lúc trong tháng mình có đắp nghệ trị thâm nữa, cứ lấy bột nghệ pha nước hoặc sữa tươi đắp hết lên người để qua ngày lun, nhưng làm theo cách này thì rất bẩn quần áo và khắp nhà đều là bột nghệ rơi vãi ra, em bé cũng bị dính bột nghệ nữa huhu nên ra tháng cũng k làm nữa, theo cảm nhận thì nghệ trị thâm khá tốt cũng đỡ 2/10 phần thâm của mình ) mà mình khuyên thật tâm là không nên mua tinh dầu trị thâm linh Ngọc hương gì đó và cái loại của Rose Beauty nhé, mình đã dùng cả rồi, bào mòn da kinh khủng , khi mình ra nắng thấy rõ da chân của mình chỗ đen chỗ trắng phệt luôn ý, hét dám xài. Tiếp theo mình tẩy tế bào chết bằng Muối tẩy tế bao chết trái cây + sữa dưỡng thể Vitamin C cùng hãng Abonne thì mình dùng rất ưng, muối tắm thì dạng sệt khi dùng không bị trầy da, sdt thẩm thấu nhanh, khá ưng mùi hương của em này trị đc 1/10 phần thâm còn lại của mình ( trị thâm gian nan lắm các bạn ạ 😞 )  hết muối trái cây nên mình vào lotte mua 2 túi muối tẩy tế bào chết Vitamin C của Abonne luôn, cảm giác dùng vào rất thích trắng, thơm, trị thâm khá tốt mình thấy loại muối này dùng vào là trắng nhất trong loại muối của Abonne tuy nhiên đây là dạng muối rất dễ trầy da luôn nên mình khuyên các bạn trộn chung với sữa tắm hoặc sữa tươi hay mật ong để tăng công dụng. Lúc này thì mình thử lấy sữa dưỡng thể Nivea coconut loại chai màu xanh dương của any giờ là nyc òi thì cảm thấy loại này dưỡng ẩm tốt hơn hẳn sdt Abonne VitaC nên mình chuyển sang dùng loại này luôn. Cứ tối đến sau khi tắm rửa sạch sẽ là lấy ẻm ra massage, trị đc 2/10 phần thâm của mình, tác dụng trong vòng vài tuần.
Thoii chốt lại luôn nhé mình đã tham khảo cực kì nhiều các tip trị thâm nhưng đây là tip trị thâm hữu dụng nhất dành cho trị thâm và viêm lỗ chân lông luôn. Tình cờ ngồi lướt fb thì thấy một bài viết của một chị đẹp trong group mình up tip trị viêm lỗ chân lông và da trắng mướt sau 1 năm. Thì thấy ở nhà có những nguyên liệu đó nên bắt đầu làm thử và thấy kết quả rõ rệt sau 1 tuần luôn ( haha giống đang PR kem trộm ghê ta ) Nguyên liệu : bột gạo - không phải bột gạo xay mịn làm bánh bán ngoài siêu thị đâu nha các nàng, mình có thể lấy gạo nấu cơm mỗi ngày rồi xay ra hoặc giã ra nên xay sao cho lợn cợn chứ đừng mịn quá nhé rồi lấy 2 nắp dầu dừa Vietcoco trộn đều bột, khi tắm lấy bột pha với nước sao cho sền sệt rồi chà hết người ( khôg tắm sữa tắm nhé, mình lấy bột gạo này làm sữa tắm mỗi ngày luôn ) chà cho hết bột thì xối nước, xong. Mình nói khá phức tạo nhưng cách làm cực kì đơn giản luôn. Tỉ lệ trộn thì 50g bột gạo 2 muỗng dầu dừa, pha nước sao cũng đc đừng loãng quá là Ok. 
1 tip nhỏ để Tẩy tế vào chết cho các bạn nữa nè, nguyên liệu : 30g muối mịn ( loại dùng để nên nếm đồ ăn nhưng nên chọn loại cực mịn để tránh trầy da ) nửa quả chanh, 3 thìa cafe mật ong, 1 viên vitamin E, vỏ chanh bào nhỏ trộn tất cả lại sao cho sền sệt, dùng cho 1 lần thoii nhé các nàng. Làm ướt cơ thể rồi lấy chà khắp người sau đó tắm sữa tắm ( có thể dùng tip bột gạo làm sữa tắm   nêu trên để tăng công dụng )  ( các bạn có thể đắp mask thêm cho body của mình lúc này ) rửa sạch lại và lau mình. Khi tắm xon các bạn massage chân để dầu dừa thẩm thấy , máu lưu thông và mau thay da mới. Cảm giác lúc này da rất mướt luôn. Chúc các bạn thành công ! ❤️
Edit thêm : các bạn nên trị từ trong ra, e có em thải độc gan, sau đó là viên nghệ mật ong và quan trọng là uống thật nhiều nước, ăn nhiều trái cây rau củ ❤️
Edit : mọi người ơi hôm nay là ngày 24/7, đã qua 3 tháng dùng bột gạo và chân mình đã giảm thâm đc 80% rồi nha !</t>
  </si>
  <si>
    <t>2019-04-25 09:04:30</t>
  </si>
  <si>
    <t xml:space="preserve">#Tiptrịthâmbody #Gócreview </t>
  </si>
  <si>
    <t>#help 
Mình mới sinh bé được nửa năm, gần tết tới nơi rồi mà không biết làm sao với mái tóc này, và cái quầng mắt thâm đen, mọi người ơi có cách nào trị thâm mắt và có thể gợi ý cho mình kiểu tóc và màu tóc nào phù hợp không ạ ( vì da mình ngăm ngăm) chứ giờ mới 23t mà ai cũng kêu già 😭 cảm ơn mọi người nhiều ạ</t>
  </si>
  <si>
    <t>2019-12-13 23:25:31</t>
  </si>
  <si>
    <t>An Đoàn</t>
  </si>
  <si>
    <t>100043873717093</t>
  </si>
  <si>
    <t>Hiện tại e đang sd trị mụn đông y của magic skin, đã gần như hoàn tất qtrinh bong da nhưng chưa hết mụn, nghe mn nói về tác hại của n nên e rất lo lắng ạ, giờ mn cho e xin ý kiến nên dừng thuốc đi khám hay dùng hết mụn rồi dưỡng ạ, nếu dưỡng thì nên dùng những loại gì ạ</t>
  </si>
  <si>
    <t>2019-12-17 04:30:20</t>
  </si>
  <si>
    <t>Trần Hồng Nhung</t>
  </si>
  <si>
    <t>100019295290594</t>
  </si>
  <si>
    <t>mọi người giúp em với ạ.
em bị dính kem trộn
sau khi ngưng được ít tuần thì nó nổi rất nhiều mụn . đặc biệt là cổ và 2 quai hàm.
da em thuộc dạng siêu dầu luôn ạ. 
ad duyệt bài dùm em với 😪😪</t>
  </si>
  <si>
    <t>2019-12-21 13:14:28</t>
  </si>
  <si>
    <t>100024781512817</t>
  </si>
  <si>
    <t xml:space="preserve">
#MụnBọc
#SợiBãNhờn
Giúp e với, từ khi tập tành skin care đến giờ cằm mọc mụn bọc và sợi bã nhờn nhiều hơn. 
E chỉ dùng srm 👉nhh 👉 dưỡng ẩm. 
Tẩy tbc 2-3l/1 tuần
Mặt nạ ngủ của lanege 2-3l/1 tuần.</t>
  </si>
  <si>
    <t>2019-12-20 13:30:10</t>
  </si>
  <si>
    <t>Phạm Hằng</t>
  </si>
  <si>
    <t>100004377731171</t>
  </si>
  <si>
    <t xml:space="preserve">#SợiBãNhờn #MụnBọc </t>
  </si>
  <si>
    <t>#ask #mohoitaychan
Mọi người ai đã từng phẫu thuật cắt dây thần kinh giao cảm để ngăn mồ hôi tay chân có thể cho em 500 trải nghiệm không ạ, em muốn phẫu thuật nhưng nghe nói hết đổ mồ hôi tay chân thì lại ra mồ hôi vùng khác nên còn phân vân ạ!
Mong ad duyệt bài giúp em ạ!
(Ảnh mạng)</t>
  </si>
  <si>
    <t>2019-09-12 10:58:12</t>
  </si>
  <si>
    <t>Lauren Ross</t>
  </si>
  <si>
    <t>100011561192819</t>
  </si>
  <si>
    <t xml:space="preserve">#mohoitaychan #ask </t>
  </si>
  <si>
    <t xml:space="preserve">
#tuvan
Chào anh chị ạ, hiện tại em 45kg và cao 1m5. Dạo gần đây em cảm thấy đồ em mặc gây cảm giác mập và lùn nên hơi tự ti, anh chị có thế giúp em tìm những bộ đồ mà em mặc vào giúp tạo cảm giác cao đc không ạ :((
Edit: Em nghĩ em cần 1 chiếc quần hoặc váy qua đầu gối ạ, vì đầu gối em kh được trắng nên cũng 1 phần tự ti</t>
  </si>
  <si>
    <t>2019-11-06 11:54:24</t>
  </si>
  <si>
    <t>Bảo Ngọc</t>
  </si>
  <si>
    <t>100038989999735</t>
  </si>
  <si>
    <t>#ask #help
Mong ad duyệt bài giúp e ạ!
 E đăng lên hỏi dùm chị e, tay chị ấy bị bong tróc quanh năm rất ngứa đặc biệt là đến mùa hanh khô như bây giờ lại càng tệ hơn( c ấy ko dùng xà phòng), chị ấy đã bôi nhiều loại thuốc rồi tình hình vẫn không khả quan ạ, chị ấy đang mang bầu đc 7 tháng rồi tay như vậy chắc ko chăm em bé đc mất 😢 anh chị nào đã từng gặp t/h như vậy mà chữa khỏi chưa chỉ giúp e với, e cảm ơn nhiều ạ :(((</t>
  </si>
  <si>
    <t>2019-12-07 13:02:56</t>
  </si>
  <si>
    <t>Kim Quý</t>
  </si>
  <si>
    <t>100003522964852</t>
  </si>
  <si>
    <t>Mn chỉ e cách dưỡng da chân với, còn k bằng chân mấy bác làm nông :((</t>
  </si>
  <si>
    <t>2019-12-25 07:56:50</t>
  </si>
  <si>
    <t>Huyen Tran</t>
  </si>
  <si>
    <t>100001285033356</t>
  </si>
  <si>
    <t xml:space="preserve">
#ask
Chào mọi người ạ,có ai vừa lệch mặt vừa lệch môi không ạ?? 
Em vừa lệch mặt vừa lệch môi luôn😭😭😭môi em không son môi thì nhìn không rõ còn son đậm như vậy thì nhìn rất rõ luôn, 2 bên không hề cân đối, em rất là tự ti với cái môi này luôn 😞 chụp cam thường hay chụp chính diện nhìn lệch kì lắm luôn. Nhìu khi makeup ổn mà son môi đậm xíu là hỏng hết luôn :((((
Em muốn hỏi môi như này thì làm sao có thể khắc phục ạ?Như tiêm môi hay sao ạ và có cách makeup nào làm cho cân
 không ạ,em cảm ơn moi người nhiều</t>
  </si>
  <si>
    <t>2019-08-09 09:59:53</t>
  </si>
  <si>
    <t>100038987595455</t>
  </si>
  <si>
    <t>Cả nhà ơi cho em hỏi có mỹ phẩm nào trị mụn liti như thế này không ạ do da em hay bị khô có xài sữa rửa mặt hada labo màu trắng và serum super collagen</t>
  </si>
  <si>
    <t>2019-12-17 10:57:34</t>
  </si>
  <si>
    <t>Kim Xuân</t>
  </si>
  <si>
    <t>100022767631390</t>
  </si>
  <si>
    <t>Da em thuộc da hỗn hợp thiên dầu, có mụn đầu đen ngay mũi và lcl gần 2 bên mũi ấy ạ.. :(
Em dùng tẩy trang Loreal, toner Mamonde màu hồng, nước thần Loreal, serum AHC màu hồng, kem mắt Meishoku và kem khóa ẩm Neutrogena.
Da em thuộc không trắng không đen ấy :( dưỡng hoài không thấy trắng lên và hết mụn đầu đen thu nhỏ lcl..
Mọi người giới thiệu em vài sản phẩm tâm đắc dưỡng trắng căng bóng da và cách thu nhỏ lcl và mụn đầu đen với ạ..
Em cảm ơnnn ạ ❤️</t>
  </si>
  <si>
    <t>2019-11-23 08:23:31</t>
  </si>
  <si>
    <t>Bảo Bảo</t>
  </si>
  <si>
    <t>100029508342862</t>
  </si>
  <si>
    <t>Đây là da mặt của mẹ e ạ! mẹ e năm nay gần 50t chuyện là mấy năm nay mẹ có sử dụng 1 loại kem gì đấy mua ở ngoài tạp hóa nhưng vài ngày nay hết kem nên ngưng và da bị nám đỏ rát cả mặt (bong tróc ) ăn cơm thôi mà cơ mặt cũng cảm thấy đau 😢, em thì đi học nhiều với lại cũng là con trai nên ít để ý tới mấy chuyện này lắm nay thấy mặt mẹ đỏ như vậy nên mới chú ý! 
Anh chị chỉ giúp e làm sao để da bớt đỏ lại ạ và sp nào có thể phục hồi da như thế 
Mong ad duyệt bài</t>
  </si>
  <si>
    <t>2019-12-08 00:44:48</t>
  </si>
  <si>
    <t>Shiotaku Senpay</t>
  </si>
  <si>
    <t>100026007937344</t>
  </si>
  <si>
    <t xml:space="preserve">Cho em hỏi dầu tẩy trang nào tốt  dành cho da nhạy cảm ạ. Em đang dùng nước tẩy trang byphasse. Nhưng cảm giác không được sạch sâu ạ. Da em cũng có mụn.  Cho em hỏi dầu tẩy trang Klairs, Kose hay muji ổn ạ? 
</t>
  </si>
  <si>
    <t>2019-12-13 16:37:34</t>
  </si>
  <si>
    <t>Mỹ Thùy</t>
  </si>
  <si>
    <t>100010791696808</t>
  </si>
  <si>
    <t>Ai có kinh nghiệm trị mụn đầu đen, mụn cám chỉ e với ạ dùng gì thì oke ạ e da dầu ạ</t>
  </si>
  <si>
    <t>2019-12-13 00:42:59</t>
  </si>
  <si>
    <t>Oanh Mắt To</t>
  </si>
  <si>
    <t>100025575514032</t>
  </si>
  <si>
    <t xml:space="preserve">
#triseo
Chị em có ai bị tai giao thông phải mổ mà để lại sẹo ko ạ. Chia sẻ giúp e loại thuốc trị sẹo hiệu quả với ạ. E mới bị tai nạn để lại sẹo dài ở chân. Ko trị thì sau này ko mặc được váy mất 😭</t>
  </si>
  <si>
    <t>2019-12-17 23:09:09</t>
  </si>
  <si>
    <t>Lê Thị Huyền</t>
  </si>
  <si>
    <t>100005335334258</t>
  </si>
  <si>
    <t>#ask #muntrungca 
Em 23t, đã từng dính thuốc rượu mấy năm trước và kem trộn gần đây. Sau đó mặt e lên mụn quá nhiều, sờ vào sần cả tay nên e đi bác sĩ da liễu. E đi bs đc 4 tuần thì lúc này e bị viêm da tiếp xúc, e cứ nghĩ là bị chàm vì e từng bị chàm nên e sợ e đi bvien, lúc này bs trong bv biết e uống iso thì bảo e ngưng ngay. Bây giờ e ngưng uống mà mặt e bớt 60-70% rồi, mấy chị tư vấn cho e bây giờ bôi gì để trị mụn hiệu quả ạ? 
Quy trình skincare của e là: 
+ Sáng: srm cetaphil - toner simple - chấm mụn của bsi (cái này e thấy nó chậm lắm, kiểu có uống thuốc thì mới ok), nếu có ra đường thì e k chấm mụn mà e thoa một lớp lotion dịu da của bs rồi đến kcn của bs.
+ Chiều: serum trị sẹo của bs (bôi 2 tiếng rồi rửa nước) - sau đó chấm mụn
+ Tối: tt (loreal hồng) - gel rửa mặt nha đam của bs - toner simple - serum trị thâm 
+ Tuần e tẩy tbc 2-3 lần (loại tẩy tbc thoa ra chà chà có trắng trắng ấy ạ), cái này của bs luôn.
+ Mask giấy naruko xanh lá (tuần 2 lần), xông mặt + mask đất sét innis 2x (tuần 2 lần, xen kẽ với mask giấy)
+ Mỗi ngày e lăn đá khổ qua, xịt khoáng la roche
Em cám ơn mọi người</t>
  </si>
  <si>
    <t>2019-11-23 12:15:19</t>
  </si>
  <si>
    <t>Mì Nhiều Tiêu</t>
  </si>
  <si>
    <t>100030187432052</t>
  </si>
  <si>
    <t xml:space="preserve"> #muntrungca #ask </t>
  </si>
  <si>
    <t>#ask Chào mọi người, chuyện là mặt của em 2 má cứ phúng phính mỡ nhiều  và gò má cao nên góc nghiêng của em nó nhìn cứ bị phồng như Umji trong hình hồi lúc trước ấy, sau rồi mình biết chị ấy có giảm cân và đã có sự thay đổi rõ rệt ở hai bên má nên mình hỏi  làm sao mình có thể làm giảm mỡ ở vùng má ạ ? cân nặng của mình là 48kg cao 1m59 , tạng người nhìn cũng thấy không phải là mập thậm chí còn thấy hơi ốm một tí nhưng mặt thì vẫn cứ trông to vì phúng phính ấy :(((</t>
  </si>
  <si>
    <t>2019-12-09 00:51:12</t>
  </si>
  <si>
    <t>Lê Ngọc</t>
  </si>
  <si>
    <t>100039363291316</t>
  </si>
  <si>
    <t>#help
Các cao nhân chỉ em cách trị thâm từ thiên nhiên với ạ😥😥</t>
  </si>
  <si>
    <t>2019-11-23 08:29:17</t>
  </si>
  <si>
    <t>100034630395660</t>
  </si>
  <si>
    <t xml:space="preserve">
#cantuvan
Cho em hỏi mấy chị có bí quyết nào để dưỡng trắng da không ạ? Da em thuộc dạng ngâm đen   😭 Em cảm ơn nhiều ạ.</t>
  </si>
  <si>
    <t>2019-04-28 12:24:44</t>
  </si>
  <si>
    <t>Lâm Thảo Vy</t>
  </si>
  <si>
    <t>100009551470300</t>
  </si>
  <si>
    <t xml:space="preserve">#cantuvan </t>
  </si>
  <si>
    <t>Huhu mng trong gr giúp e với ạ 😢
Chuyện là trước kia e có cắt tóc thì tóc nó theo nếp lắm nhưng sau một thời gian tóc dài ra thì bị vểnh lung tung, rất đơ luôn.
Mặc dù e đã sd rất nhìu sp như: ủ, serum các kiểu thì tóc nó vẫn k theo nếp và hết đơ dc hic 😪 
Các anh chị có tips gì share giúp e với. Thiệt là lúc chụp hình e ngại chụp tóc lắm lun.. 🤦🏻‍♀️</t>
  </si>
  <si>
    <t>2019-12-01 14:05:16</t>
  </si>
  <si>
    <t>Gia Linh Pham</t>
  </si>
  <si>
    <t>100017574076281</t>
  </si>
  <si>
    <t>#ask mọi người ơiii, giúp em với ạ, em lỡ giặt mấy cái váy trắng xinh xắn cùng vs cái quần đen 😞 huuuuhuu. H nó phai hết ra quá zời. Mọi người giúp em xử lí với ạ. Em cảm ơn ☹️☹️</t>
  </si>
  <si>
    <t>2019-12-05 12:45:39</t>
  </si>
  <si>
    <t>Nguyễn Kim Thúy</t>
  </si>
  <si>
    <t>100006663120940</t>
  </si>
  <si>
    <t>Toc em rụng nhiều phát hờn luôn ạ 
Em sinh be dc 4 tháng bắt đâu rụng 
Mỗi lân gội đau la gâp 3.lân chỗ nay luôn ý 
Ce có kinh nghiệm gi mách em vs</t>
  </si>
  <si>
    <t>2019-12-16 13:10:03</t>
  </si>
  <si>
    <t>Thùy An</t>
  </si>
  <si>
    <t>100004614035173</t>
  </si>
  <si>
    <t xml:space="preserve">
#trịsẹo
Em có đọc được 1 vài bài trong nhóm hỏi về thuốc trị sẹo và cách trị sẹo.Hơn 1 năm trước em bị bỏng cồn rất nặng và để lại rất nhiều sẹo lồi nên em xin được chia sẻ một chút về kinh nghiệm của mình với những ai đang có cơ địa sẹo lồi giống em ạ!
1, những đồ ăn cần kiêng thật kỹ:
+ đồ nếp(xôi,bánh chưng,...)
+ thịt gà: gây ngứa và đau 
+ thịt bò:gây thâm sẹo
+rau muống, rau dền: lồi sẹo
+ trứng :sẹo không đều màu, loang lỗ( thèm quá thì có thể ăn lòng đỏ, trứng muối)
( những ai có cơ địa sẹo lồi thì vẫn sẽ có sẹo lồi nhưng kiêng kỹ sẽ giúp điều trị sẹo tốt hơn và nhanh hơn)
2, thuốc trị sẹo và cách hạn chế sẹo:
+ Với sẹo nhỏ:
-các chị em chỉ cần kiên trì bôi thuốc, mát xa nhẹ, không gãi không cào trừ khi ngứa quá thì gãi nhẹ thôi, kiêng kỹ và nịt băng keo nịt sẹo sẽ khắc phục và dần thì sẹo sẽ xẹp nhưng cách này rất lâu và không đẹp( thậm chí nếu không cẩn thận sẹo sẽ lan rộng ra gấp vài lần vết thương ban đầu)
- cách tốt nhất là laser, sẹo sẽ không phát triển và sau vài lần laser thì sẹo mờ đi đáng kể trông đẹp như chưa bị gì ý ạ
(thuốc và băng em có để dưới ảnh ạ, bên cạnh là đường may em nịt băng và bôi thuốc nó không còn bị lồi nữa)
+ Với sẹo mảng rộng thì em vẫn đang điều trị ở khoa thẩm mỹ tại Viện bỏng quốc gia, ngoài việc dao kéo ra thì thật sự không còn cách khác ạ!
***** em khuyên các chị em là không nên tiêm thuốc gì vào sẹo cả vì nó tốn kém, dễ gây hoại tử sẹo, hại gan, hại thận ,nếu tiêm lượng lớn có thể gây vô sinh ạ! Đừng vì sợ sẹo quá mà tìm sai phương pháp ạ*****
 Thật sự là nói về sẹo sẽ rất dài nên em chỉ tóm tắt nhiêu đó thôi ạ, lần đầu em đăng bài nên có gì chưa đúng các chị em thông cảm giúp em, cảm ơn ad duyệt bài ạ</t>
  </si>
  <si>
    <t>2019-10-22 13:06:23</t>
  </si>
  <si>
    <t>Đỗ Thùy Linh</t>
  </si>
  <si>
    <t>100011361176074</t>
  </si>
  <si>
    <t xml:space="preserve">#trịsẹo </t>
  </si>
  <si>
    <t>Mọi người cho em hỏi mỹ phẩm Hàn bán ở Việt Nam có phải hàng chính hãng xịn không ạ?? Vì mua ở store bên Hàn 1 hộp missha velvet finish cushion tận 760k chưa kể ship mà về Việt Nam thấy shop nào cũng bán chỉ từ 200-300k là max @@ Giá bán ra là như vậy tức là giá nhập về chỉ khoảng trên dưới 100k cả ship thôi... 
Vấn đề là shop nào cũng bán với giá đó và đều cam kết hàng chính hãng r show ra đủ thứ giấy tờ chứng minh luôn (em tìm hoài chưa thấy shop bán lẻ nào ở VN mà bán với giá như ở store Hàn hết). Nên thật sự em hoang mang quá chả nhẽ các bạn í có thể nhập mỹ phẩm về với giá chỉ bằng 1/7 ở store XD XD XD 
Cứ cho là các bạn í săn được đúng đợt sale + mua với số lượng lớn + thẻ vip đi thì cũng không thể có chuyện mua với giá thấp lè tè vậy được :( Nhất là sale cũng có đợt và có giới hạn. Vậy mà thời điểm nào trong năm cũng mua được với giá đó và các shop thì đủ hàng cung cấp cho cả năm luôn :( Các bạn í mà nhập được với giá đó thật thì store có mà móm ạ @@ ???
Trên đây là thắc mắc của cá nhân em thôi ạ :( Nếu thực sự các shop có thể nhập hàng chính hãng xịn về với giá như vậy thì mọi người giải thích cho em với ạ. Tại thực sự mua được hàng rẻ ai mà chả thích, nhưng rẻ bằng 1/4 như vậy thì cũng được quyền thắc mắc chứ ạ. Em cảm ơn ạ.
#ask #myphamhantaiVN #realorfake 
Dưới đây là hình cushion của Missha và April Skin với giá chênh lệch cực lớn giữa web hãng (giá trên web tương đương với giá mua tại store Hàn) với 1 web bán lẻ ở VN (em xin phép giấu tên).</t>
  </si>
  <si>
    <t>2019-05-19 03:30:32</t>
  </si>
  <si>
    <t>Minh Tùngg</t>
  </si>
  <si>
    <t>100007734517377</t>
  </si>
  <si>
    <t xml:space="preserve">#realorfake #myphamhantaiVN #ask </t>
  </si>
  <si>
    <t xml:space="preserve"> #mắtcận
Chào mọi người, ở đây có ai chữa cận không phẩu thuật,  bằng phương pháp đeo lens thuốc k ạ? Mình đang phân vân nên đi mổ lun hay dùng thử pp này, mình làm vp vi tính thường xuyên nên sợ mổ sẽ bị cận lại
À pp này nếu người lớn thì sẽ k hết cận luôn chỉ giúp k tăng độ. Và kéo dài thời gian mắt trở về 0 độ ( 24 đến 48 tiếng).
Cám ơn mọi người
Cám ơn ad duyệt bài</t>
  </si>
  <si>
    <t>2019-10-30 05:53:04</t>
  </si>
  <si>
    <t>Phạm Diễm Thúy</t>
  </si>
  <si>
    <t>100003213406340</t>
  </si>
  <si>
    <t xml:space="preserve">#mắtcận  </t>
  </si>
  <si>
    <t>Da mình thuộc dạng nhờn, lỗ chân lông to. Hôm qua mới nặn mụn xong, hôm nay đỏ và thâm nhiều. Mình dùng srm senka xanh, tối hay bôi mặt nạ ngủ laneige xanh, bôi trị mụn pair và melano cc của nhật, đắp sữa chua và sữa tươi. Tư vấn cho mình với vì da còn thâm nhiều quá, mình up hình da hiện tại nhé, mới nặn mụn xong, camera ảo quá nên cũng ko rõ da mặt lắm 😭😭😭</t>
  </si>
  <si>
    <t>2019-12-13 09:36:16</t>
  </si>
  <si>
    <t>100000365574284</t>
  </si>
  <si>
    <t>Can đảm lắm mới dám up ảnh của e lên đây!!!
Mọi người cho e hỏi có cách nào cho tóc đỡ khô và rụng k ạ? Tóc e khô cứng chẻ ngọn kinh khủng 😰 Mỗi lần ra đường là rất ngại với mái tóc của mình luôn ấy😥 
Mong Ad duyệt bài cho e ạ!!!</t>
  </si>
  <si>
    <t>2019-12-14 11:04:26</t>
  </si>
  <si>
    <t>Nguyễn Kỳ Duyên</t>
  </si>
  <si>
    <t>100038743176501</t>
  </si>
  <si>
    <t>#ask#nguaseo#
Mọi người ơi, em bị phỏng ngay mặt tiền, mọi người biết cách nào hiệu quả cho mờ sẹo bày giúp em với ạ. Ngay ngực mà kiểu này em buồn chết mất!!!</t>
  </si>
  <si>
    <t>2019-11-17 02:16:10</t>
  </si>
  <si>
    <t>100003838723891</t>
  </si>
  <si>
    <t xml:space="preserve">#nguaseo #ask </t>
  </si>
  <si>
    <t>Helpppp. Mụn do uống kháng sinh nổi như vậy sao cho hết đây mn ơi, tết tới rồi :(((. Da em không có mụn mà uống kháng sinh giờ tiết dầu vs mụn quá.</t>
  </si>
  <si>
    <t>2019-12-06 13:41:31</t>
  </si>
  <si>
    <t>#Help
#trimun 
Lần đầu đăng bài mong mn giúp đỡ e với ạ.
Chả là e vừa mới chuyển nơi sống ở Mỹ , e thì kiểu chưa thích nghi được thời tiết ở đây , tới cũng 1tuan rồi mà da thì bị khô bong tróc nhỏ nhỏ, dễ lên mụn , lỗ chân lông rất là to T^T, còn mụn li ti nữa , qua đây mà cảm giác già đi mấy tuổi. Bên đây lạ nước lạ cái nên không biết phải làm sao , mong ai có kinh nghiệm mách giúp e cách dưỡng da + thu nhỏ lỗ chân lông ( nhìn mất thẩm mỹ cực luôn) , nen mua sp nào có thể mua ở Mẽo để sử dụng ạ? Da e da dầu nhiều nữa ( đúng combo luôn 😞. ) do tính chất công việc e hay makeup nên khó dưỡng được nữa @@ . 
Mong  và mọi người cho e xin ý kiến và lời khuyên ạ. E cám ơn mn trước nha.
Ảnh minh hoạ.</t>
  </si>
  <si>
    <t>2019-06-26 04:45:10</t>
  </si>
  <si>
    <t>July Na</t>
  </si>
  <si>
    <t>100022572313890</t>
  </si>
  <si>
    <t xml:space="preserve">  #trimun #Help </t>
  </si>
  <si>
    <t>#tuvan #body
Mong ad duyệt bài
Mọi người ơi, gần tết rồi mà da em bị ăn nắng 1 cách dã mang luôn ấy, bao bịt váy chống nắng các kiểu con đà điểu như da body vẫn bị đen mọi người ạ 😞 da mặt thì đở hơn 1 tí, nhìn da mặt với da body 2 màu da khác nhau làm em tự ti lắm
Mọi người cho em tham khảo kem dưỡng body nào sử dụng nâng tone da lên được không ạ? Em cảm ơn mọi người</t>
  </si>
  <si>
    <t>2019-12-20 22:14:36</t>
  </si>
  <si>
    <t>Thiết Vũ</t>
  </si>
  <si>
    <t>100022701076343</t>
  </si>
  <si>
    <t xml:space="preserve">#body #tuvan </t>
  </si>
  <si>
    <t>#Gócnhờvả #Tóctẩy #Dưỡngtóc
Em mới tẩy hết toàn bộ tóc, lúc ở salon nó cũng còn mượt với đẹp nhưng về nhà cái đúng nó khô cực í, ngta bảo "tóc chỉ đẹp khi còn ở salon" quả không sai, anh thợ bảo cứ về ủ dầu cho mềm tóc nhưng e làm vẫn không thấy mượt hơn, mọi người có sản phẩm nào dành riêng cho tóc nhuộm tóc tẩy không ạ,, please 🙏🏻🙏🏻
Cảm ơn ad đã duyệt bài cho e ạ 😘☺️</t>
  </si>
  <si>
    <t>2019-08-22 03:19:26</t>
  </si>
  <si>
    <t>Phan Cẩm Thúy</t>
  </si>
  <si>
    <t>100004046166532</t>
  </si>
  <si>
    <t xml:space="preserve">#Dưỡngtóc #Tóctẩy #Gócnhờvả </t>
  </si>
  <si>
    <t>Dáng lông mày của e khá rậm nhưng bị ngắn. E muốn nó dài hơn thì có cách nào ko ạ? E cảm ơn</t>
  </si>
  <si>
    <t>2019-12-11 02:31:40</t>
  </si>
  <si>
    <t>Minh Tran</t>
  </si>
  <si>
    <t>100014407450955</t>
  </si>
  <si>
    <t xml:space="preserve">
#nhuomtoc
Chào mọi người :) hiện tại em mới cắt tóc ngắn vì hè nóng quá với cũng ưng ngựa thử nhuộm tóc nhưng lại ngại tẩy vì em còn phải đi làm ở cty, vậy mn biết màu nào có thể nhuộm không cần tẩy và lên màu rõ ko ạ? Như xanh dương hay xanh rêu gì đấy, trừ nâu vs đen vì tóc em bẩm sinh có màu nâu sáng khi ra nắng rồi ạ, cám ơn mn ^_^ 
P/S: ảnh chống trôi</t>
  </si>
  <si>
    <t>2019-05-05 12:18:57</t>
  </si>
  <si>
    <t>Hường Hồng Thị Nguyễn</t>
  </si>
  <si>
    <t>100022200828462</t>
  </si>
  <si>
    <t>Chào tất cả mọi người trong nhóm ạ !! Chuyện là e bị môi thâm bẩm sinh mọi người ạ, bình thường thì thâm còn nhạt nhạt , nhưng mà mỗi khi đi ngoài trời quá lạnh mà ko bịt khẩu trang hoặc là đi nắng ko bịt là y như rằng môi hắn thâm đen bầm tím như kiểu mới chết trôi luôn ạ . Hồi cấp 1 cấp 2 e tự ti về vấn đề này lắm ,tìm tòi đủ thứ mà môi chẳng bớt thâm được , nhiều lúc cứ nghĩ hay do da e đen nên môi e cũng thâm , nên là  sang cấp 3 e bắt đầu chăm sóc da , da e thì thuộc tuýp da khô ,ko bị mụn nhưng mà đen lì ,e thì cũng chẳng chăm sóc chu đáo gì đâu , chủ yếu là ngày đi học thì bịt kín, sáng bôi kem chống nắng , tối rửa sữa rửa mặt , tát sương sương nhẹ nhẹ như mátxa rồi đi ngủ luôn í , sau 3 năm chăm sóc thì da e đã trắng hơn được xiu xíu , nhưng mà mặt e thì trắng hơn cổ với tay chân luôn ạ , e cứ tưởng trắng là môi sẽ bớt thâm ,ai ngờ vẫn đen sì mọi người ạ , vì đi học cấp 3 ở trường e ko đc tô son nên mỗi lần phải chưng cái môi thâm đen đi học e cảm thấy tự ti vô cùng tận , nhiều ngưòi còn bảo môi thâm là ác , híc mà em thì sống hiền lành lắm ,nghĩ cũng oan ,mọi người ai có cáh gì trị MÔI THÂM BẨM SINH GIÚP EM với ạ ,chứ e bất lực quá rồi😞😞</t>
  </si>
  <si>
    <t>2019-11-05 00:48:24</t>
  </si>
  <si>
    <t>100028097387519</t>
  </si>
  <si>
    <t>Trán của mình vừa cao vừa rô, mặt lại to phè phè thì để tóc gì cho dễ nhìn vậy mấy bạn ơi...</t>
  </si>
  <si>
    <t>2019-11-05 08:54:31</t>
  </si>
  <si>
    <t>Khuê Kim</t>
  </si>
  <si>
    <t>100009018996362</t>
  </si>
  <si>
    <t>#kemtron 
PHÁT HIỆN KEM TRẮNG DA, TRỊ MỤN CHỨA CHẤT GÂY TEO DA, RẬM LÔNG
Cục Quản lý Dược (Bộ Y tế) vừa phát hiện nhiều sản phẩm và lô sản phẩm làm trắng da, trị mụn có chứa Dexamethason acetat - chất cấm sử dụng trong mỹ phẩm do có nhiều tác dụng phụ như làm teo da, rậm lông.
Ngày 20/8, Cục Quản lý Dược (Bộ Y tế) cho biết vừa gửi văn bản đình chỉ lưu hành và thu hồi nhiều sản phẩm mỹ phẩm có chứa chất cấm Dexamethason acetat.
Theo kết quả kiểm nghiệm lấy mẫu, Cục Quản lý Dược phát hiện một lô sản phẩm Bảo Lâm trắng da ngừa mụn (lô 8, ngày sản xuất (NSX) 17/8/2018, hạn sử dụng (HSD) đến ngày 17/8/2021) do Công ty cổ phần Đông y học Bảo Lâm sản xuất và chịu trách nhiệm đưa ra thị trường có chứa chất cấm Dexamethason acetat.
Tương tự, chất cấm này cũng được phát hiện trong lô sản phẩm Kem 3 tác dụng Trúc Mai (số lô 01, NSX: 12/12/2017, HSD: 11/12/2020) do Công ty cổ phẩn Dược phẩm Pharmedic sản xuất, Công ty TNHH SX-XNK-TM mỹ phẩm Khôi Nguyên (Tân Phú, TP HCM) chịu trách nhiệm đưa ra thị trường.
Cục Quản lý Dược yêu cầu các đơn vị trên phải gửi thông báo thu hồi tới các địa chỉ phân phối và tiến hành thu hồi toàn bộ các lô mỹ phẩm không đáp ứng quy định trên. Sở Y tế TP Hải Phòng, TP.HCM phải giám sát việc thu hồi và xử lý vi phạm theo quy định.
Theo các chuyên gia, chất Dexamethason acetat làm giảm phản ứng phòng vệ tự nhiên của cơ thể, giảm những triệu chứng như sưng tấy hay phản ứng dị ứng khác.
Tuy nhiên, chất này có tác dụng không mong muốn như teo da, ban đỏ, bầm máu, rậm lông, khó liền sẹo, da thâm, giãn mao mạch, trứng cá… nên đã được cấm sử dụng trong mỹ phẩm.
Cùng ngày, Cục Quản lý Dược cho biết cũng thu hồi lô mỹ phẩm không đạt chất lượng của Kem thảo dược đông y Như Xuân do cơ sở Ngân Anh sản xuất và toàn bộ các sản phẩm mỹ phẩm có nhãn hàng Bạch Hoa Hồng, Bạch Thiên Tằm, Bạch Hoa Cúc của Công ty TNHH Thanh Bạch Kim Đồng.</t>
  </si>
  <si>
    <t>2019-12-04 12:39:30</t>
  </si>
  <si>
    <t>Nguyễn Hà</t>
  </si>
  <si>
    <t>100003279907850</t>
  </si>
  <si>
    <t xml:space="preserve">#kemtron </t>
  </si>
  <si>
    <t>Mong ad duyêt bài e với ạ. E có đăg 1 lần mà chưa đc duyệt
E năm nay 23t. Nhỏ giờ ít khi bị mụn lắm ạ. Mà năm 21t không biết là do nóng gan hay là do môi trường em tiếp xúc bụi bặm mà mụn kinh khủng lắm ạ. Sau 1 thời gian e sử dụng thuốc bắc thì da mặt láng và trắng đẹp. Đến bây giờ đc 1 năm thì da e lại bị mụn kinh khủng. Mng giúp e với ạ. E ít khi chăm sóc da vì thật sư là không biết chăm như nào. Chỉ dùng sữa rửa mặt thoi ạ. Mong các chị chỉ giúp em cách trị mụn và thâm. Và chỗ cánh mũi e hay thâm đỏ và mụn đầu đen nhiều lắm ạ.</t>
  </si>
  <si>
    <t>2019-12-20 13:57:36</t>
  </si>
  <si>
    <t>Lê Thúy Vy</t>
  </si>
  <si>
    <t>100003658846750</t>
  </si>
  <si>
    <t xml:space="preserve">
Mọi người ai biết làm sao để thức.khuya mà không cần uống cafe không ạ.
Em năm nay cuối cấp phải thức khuya học bài mà uống cafe nhiều thì không tốt cho da
Chị nào biết cách nào chỉ em với
#help</t>
  </si>
  <si>
    <t>2019-12-22 13:29:53</t>
  </si>
  <si>
    <t>Đặng My</t>
  </si>
  <si>
    <t>100040984462817</t>
  </si>
  <si>
    <t>Mong ad duyệt
E làm nghề tóc cứ đến mùa này là tay e nó bị như này đau kinh khủng. Mn biết loại dưỡng da tay nào chỉ e với ạ. E dùng kem nẻ kem dưỡng ẩm mà k ăn thua gì😭😭
Vết nứt kia là nó tự nứt ra đấy ạ bật cả máu😭😭😭</t>
  </si>
  <si>
    <t>2019-12-06 11:23:26</t>
  </si>
  <si>
    <t>Lê Kiều Thúy Vân</t>
  </si>
  <si>
    <t>100027660391881</t>
  </si>
  <si>
    <t>Chị em cho em hỏi không biết dùng nịt bụng có hiểu quả thực sự như mọi người review không ạ? :(((</t>
  </si>
  <si>
    <t>2019-11-25 12:39:34</t>
  </si>
  <si>
    <t>Trang Nguyễn</t>
  </si>
  <si>
    <t>100025074044225</t>
  </si>
  <si>
    <t>Huhu. Mọi người ơi cíu e với ạ. Dạ tay và chân e mùa này lúc  nào cũng sần sùi và thô giáp, bị tróc da như thế này. Nó hay bị dính vào quần áo nữa ạ.Các chị tư vấn giúp e dùng loại dưỡng ẩm nào cho body ổn với ạ. E có dùng sữa dưỡng thể Vaseline 1 thời gian rồi n mn bảo lông nhanh dài nên em đã ngừng. Thi thoảng e cũng có dùng tẩy da chết ạ. Không biết dùng Nivea thì có ổn hơn ko ạ? 
Mn giúp e với ko e tự ti quá. Ko dám mặc váy hay áo ngắn tay luôn ạ. Huhuhh
Cảm ơn ad đã duyệt bài và mọi người đã tư vấn ạ😘😘</t>
  </si>
  <si>
    <t>2019-11-09 13:56:45</t>
  </si>
  <si>
    <t>Thanh Hoa</t>
  </si>
  <si>
    <t>100016610688093</t>
  </si>
  <si>
    <t>#Funny
Cái vid trang điểm vô dụng nhất tao từng thấy 
Cre : fb</t>
  </si>
  <si>
    <t>2019-12-16 04:59:29</t>
  </si>
  <si>
    <t>Các chị thông thái ơi cho em hỏi chút ạ 😞 
Em bị mắt lệch, một bên mắt 2 mí và 1 bên bị sụp mí do em cận lệch độ
Em đã thử qua miếng dán kích mí nhưng mà nhìn lộ quá 😞 còn keo kích mí em đã thử vài loại nhưng chỉ có hiệu quả 1-2 ngày rồi keo nó bị khô luôn ấy 😭 hoặc nếu không khô thì mắt em nó lại không chịu lên nữa ý 🙂 
Em đang phân vân giữa miếng dán mí lưới hoặc lại mua một loại keo kích mí khác :(( 
Vì em không make mắt nên là rất khó che ấy:(( mà mắt lệch trông cứ mất thẩm mĩ kiểu gì ấy 😢😓 
Em up bài lên mong được mng cho ý kiến với ạ
Cảm ơn mng ạ</t>
  </si>
  <si>
    <t>2019-11-08 00:44:06</t>
  </si>
  <si>
    <t>Hiền Mai</t>
  </si>
  <si>
    <t>100007514281488</t>
  </si>
  <si>
    <t>M.n cho e hỏi mặt bự vây để tóc gì hợp  và trẻ ak  .
Em sn 98</t>
  </si>
  <si>
    <t>2019-12-19 11:26:29</t>
  </si>
  <si>
    <t>Ngọc Lài</t>
  </si>
  <si>
    <t>100025972117220</t>
  </si>
  <si>
    <t>da mặt e bị mụn thâm li ti rất nhiều chỉ yếu là vùng trán ....gần chỗ em không có spa để điều trị ,cận ngày cưới rồi mà em không biết làm cách nào cho mau hết mụn da vẻ đẹp lên hết 
#mong add duyệt bài giúp em 🥺🥺</t>
  </si>
  <si>
    <t>2019-11-21 05:38:20</t>
  </si>
  <si>
    <t>Kim Ngân</t>
  </si>
  <si>
    <t>100012974733608</t>
  </si>
  <si>
    <t xml:space="preserve">#mong </t>
  </si>
  <si>
    <t>E bị mụn ẩn dùng loại này có hết không ạ ai dùng cho e xin ý kiến với , mặt e da dầu nhạy cảm có dùng được không ạ</t>
  </si>
  <si>
    <t>2019-11-30 00:42:23</t>
  </si>
  <si>
    <t>Huyền Thanh</t>
  </si>
  <si>
    <t>100039938748297</t>
  </si>
  <si>
    <t>Xin ad duyệt dùm e vs ạ 😭
Mọi người ơi có cách nào cứu vãn k ạ ... hiện tại 2 bên đùi và bắp chân của e điều bị như vậy ...rất rất nhiều lun ... nhìn sơ qua cứ tưởng như bị bầm ý 😭
E k dám bận quần ngắn vì rất tự ti 😭</t>
  </si>
  <si>
    <t>2019-11-29 12:47:38</t>
  </si>
  <si>
    <t>Pha Pha</t>
  </si>
  <si>
    <t>100011355679788</t>
  </si>
  <si>
    <t xml:space="preserve">
MÀU SON NÀO PHÙ HỢP VỚI BẠN ?Chào các chị đẹp, nay hông review skincare nữa chuyển qua khoe son nha. Mình có bộ sưu tập màu son mà theo mình, là khá hợp với mọi người từ da trắng đến da trung bình nha . Da ngăm quá thì mình sẽ review màu son nào hợp sau nha 
#Born_to_the_peach : màu này lên môi mình dạng hơi hồng đất xiu á mọi người. Màu này lưu ý nên make up nha. Màu này được cái là không bị lộ vân môi hay gây khô nè. Da ai hay khô nên dùng loại missha này nha . Da trung bình đến hơi ngăm dùng được nha 
#Young_Boss : đỏ thuần khá nổi, màu này lên môi khá xinh luôn nha, nói đỏ  nhưng ko quá rực đâu, da ai trắng trắng xíu dùng okie lắm á, màu này mình dùng hằng ngày luôn. Đặc biệt là ko để lại base nè,, mình thấy đa số màu đỏ hay hồng đều để base mà cái này ko để lại nè . Da trắng nên dùng nè
#Missha_Hot_Stuff: theo hang thì nó là cam đào nhưng mà mình ko thấy cam chỗ nào luôn. Thây đúng ra là đỏ hồng á. Màu này nhẹ nè dùng hằng ngày, ko cần make up nhiều vẫn xinh nha . Da trắng nên dùng nha 
#Itskin_04 : mà hồng tím, khá lạ nhưng lên môi xinh. Lên đẹp nhất đối với ai có base môi hồng nha, môi cam lên sai màu ra hơi thâm thâm đó nha. Chất son thì hơi dở xíu , nó kiểu lúc đầu sẽ ướt nhưng sau đó sẽ khô lại , dễ gây khô môi nè.
#Bj04: hồng đào xinh xắn, à da ngăm ko nên dùng lun. Cái này base môi nào cũng dùng được nha . Apply 1 lần thì ko hiện màu đẹp đau mà phải apply 2 -3 lần á. Lâu trôi nhưng mùi hơi tệ 
#Bra15 : táo đỏ nè )), da ngăm dùng em này hơi bị tây luôn í. Nhưng ko khuyên dùng với base môi hồng. Mình base môi hồng đánh lên hơi bầm bầm, ko hợp lắm. Màu này làm sáng da , chất son dày , nhưng dễ gây khô môi nếu không dưỡng kỹ nha 
#Bra22 : 😑 một màu hông bik nói sao lun =)))) khá giống mắm tôm. Màu lên ác, hợp da sáng nhưng chất son lên ko đều có chỗ đậm chỗ nhạt nhé. Kiểu gì cũng đánh ko đẹp lắm. À nên make up khi dùng son )) Nhiu đó thôi nha tại lười quá á ai thắc mắc thì hỏi thêm nha ^^ Xie xie cả nhà</t>
  </si>
  <si>
    <t>2019-10-31 03:50:54</t>
  </si>
  <si>
    <t>Lin Lin</t>
  </si>
  <si>
    <t>100000260275817</t>
  </si>
  <si>
    <t xml:space="preserve">#Bra22 #Bra15 #Bj04 #Itskin_04 #Missha_Hot_Stuff #Young_Boss #Born_to_the_peach </t>
  </si>
  <si>
    <t>[ GÓC #tuvan ] 
Xin 500 review các loại xịt khử mùi/nước hoa các chị dùng với ạ. Em đang định mua nhưng giờ thị trường nhiều dòng quá không biết giá cả mùi hương thế nào là hợp. 
Cảm ơn các chị trước ạaa 
*Ảnh chống trôi bài 😂</t>
  </si>
  <si>
    <t>2019-05-22 15:26:55</t>
  </si>
  <si>
    <t>Phương Phước Như</t>
  </si>
  <si>
    <t>100006071977348</t>
  </si>
  <si>
    <t>Mn oi sáng ngủ dậy e bị như vậy, chỗ đó k đau cũng k ngứa, ai biết là bị gì k ạ</t>
  </si>
  <si>
    <t>2019-11-28 00:23:53</t>
  </si>
  <si>
    <t>Duong Ha</t>
  </si>
  <si>
    <t>100025449696857</t>
  </si>
  <si>
    <t>Cho em hỏi em đi lấy nhân mụn rồi Sài luôn loại này được không ạ ❤️</t>
  </si>
  <si>
    <t>2019-12-13 02:52:28</t>
  </si>
  <si>
    <t>Hàn Ca</t>
  </si>
  <si>
    <t>100011027707158</t>
  </si>
  <si>
    <t>🙂 ủa rồi làm z để làm chi 
Thấy phốt Mai Thảo Mộc nhiều quá rồi đổi qua 9days xong đổi lại tên thành phần easy quá z ( lúc đầu cũng để 8 loại thảo mộc gì đó i chang bên Mai Thảo Mộc chả khác 1 cái nào :)))  
Đọc cái story nó đăng mà tức á 
Ig  là true.cosmetic nha 
* Bức cuối là của bà chủ vs 1 bạn nào đó, xong chính em cũng hỏi bạn đó là sử dụng ra sao bạn đó bảo chỉ xài cái serum lá thảo mộc gì bên truecosmetic thôi chứ chưa xài 9days mà bà chủ true.cosmetic bã up fb con người ta xài serum 9days của bã :)) z suy cho cùng lá thảo mộc với 9days là 1 loại mà bị trá tên với thành phần :))) trời ơiiii 
* nghe đồn MTM 199k/1 lọ 5ml 
Còn True.cosmetic đây 350k/1 lọ 5ml 🙂 má nó tiền mất tật mang ( cũng như nhau mà bán như chém ng ta z )? 
Mỗi ngày nó đi mấy trăm đơn, nhìn nó up trên insta mà tội mấy bạn đặt hàng gì đâu á.. 
----Mọi người share để giúp các bạn khác tránh sp này ra nha----- 
Hot girl pr là trả tiền ng ta mới pr nha chứ mấy c đó kh xài đâu 
Bầu bì nó còn đ tha</t>
  </si>
  <si>
    <t>2019-11-02 03:41:52</t>
  </si>
  <si>
    <t>Phương Thy</t>
  </si>
  <si>
    <t>100003911142092</t>
  </si>
  <si>
    <t>#ask #fake #auth #hatomugi
Các bạn ơi giúp mình phân biệt chai này xem có phải hàng auth ko ạ. Mình mua trên Tiki, mới nhận hàng trưa nay mà thấy nó khác với hình mà các shop khác quá.
**Chai mình mua ko có chữ "Naturie" trên thân chai và đằng sau còn có nhãn giấy dán trên màng bọc của chai nữa.**
Mình thì không nghĩ là Tiki mà có hàng fake được ý.
Cảm ơn ad duyệt bài ạ!</t>
  </si>
  <si>
    <t>2019-10-01 13:14:13</t>
  </si>
  <si>
    <t>Minh Bích</t>
  </si>
  <si>
    <t>100003178265873</t>
  </si>
  <si>
    <t xml:space="preserve">#hatomugi #auth #fake #ask </t>
  </si>
  <si>
    <t xml:space="preserve">
#Tocrung
. Em mới sinh được 3 tháng mấy. Tóc rụng em thấy khủng khiếp quá. Mấy chị cho em xin reviwe dầu gội nào trị rụng tóc giúp tóc mau dài với ạ. Giá bình dân thôi nhen tại em chưa đi làm. 😅 Mong ad duyệt bài. 
Em cảm ơn</t>
  </si>
  <si>
    <t>2019-11-03 09:42:34</t>
  </si>
  <si>
    <t>Kim Thu</t>
  </si>
  <si>
    <t>100022718715337</t>
  </si>
  <si>
    <t xml:space="preserve">#Tocrung  </t>
  </si>
  <si>
    <t>mặt e bị mụn ẩn và thâm gần tết oy mk mặt e tan bành như này buồn qua..😭ce nào có biết các sp skincare dùng cho da mụn hiệu qua ko chỉ giùm e vs ạ...e cảm on ạ</t>
  </si>
  <si>
    <t>2019-12-03 12:17:19</t>
  </si>
  <si>
    <t>Thuỳ Vinh</t>
  </si>
  <si>
    <t>100034587396507</t>
  </si>
  <si>
    <t>5 năm   ròng trị sẹo rỗ, nhưng càng trị càng thất vọng vì kết quả nhận được không  đáng kể hoặc chuyển biến xấu.</t>
  </si>
  <si>
    <t>2019-11-01 05:19:30</t>
  </si>
  <si>
    <t>Khôi Đăng</t>
  </si>
  <si>
    <t>100042973629498</t>
  </si>
  <si>
    <t>#helpme #Damun
Em khẩn cầu một lần nữa,mong ad duyệt bài giúp em.
Mọi người ơi,có ai từng bị mụn giống em và chữa trị như nào vậy ạ 😭😭.Mọi người giúp em với</t>
  </si>
  <si>
    <t>2019-11-22 07:37:41</t>
  </si>
  <si>
    <t xml:space="preserve">#Damun #helpme </t>
  </si>
  <si>
    <t>Mong ad duyệt bài giúp mình với.
Cho mình hỏi skincare routine của các mẹ sau sinh như thế nào ak? Mọi người dùng sản phẩm gì review mình tham khảo với. Ai cũng nói sinh xong tự khắc đẹp. Mà đẹp đâu chả thấy chỉ thấy đầu bù tóc rối.</t>
  </si>
  <si>
    <t>2019-12-06 14:15:55</t>
  </si>
  <si>
    <t>Ái Xuân</t>
  </si>
  <si>
    <t>100024983806707</t>
  </si>
  <si>
    <t>#ask #makeup #kechanmay
Mn chỉ e cách vẽ chân mày với, học hoài mà kẻ ko đc. Thảm họa năm ngoái cạo chân mày bằng dao cạo râu và vẽ xong nhìn như trương phi.
Ảnh dưới là ảnh thảm họa. Ảnh trên là hiện tại ạ. Sắp tiệc tùng đến nơi rồi 😭😭</t>
  </si>
  <si>
    <t>2019-12-01 09:14:59</t>
  </si>
  <si>
    <t>Grace Chu</t>
  </si>
  <si>
    <t>100005133096278</t>
  </si>
  <si>
    <t xml:space="preserve">#kechanmay #makeup #ask </t>
  </si>
  <si>
    <t>Xin chào các anh, chị trong group. Chả là e muốn để râu như trong hình nhưng khổ nỗi cơ địa e ít râu quá, chỉ mọc vài sợi râu tơ. Chính vì thế, các ac có thể chỉ cho e cách để kích thích mọc râu được ko ạ? E cảm ơn rất nhiều ạ. Mong add duyệt giúp em ạ.</t>
  </si>
  <si>
    <t>2019-12-16 17:13:21</t>
  </si>
  <si>
    <t>Thành Cônqq</t>
  </si>
  <si>
    <t>100009723071165</t>
  </si>
  <si>
    <t xml:space="preserve">
#help
#sos
Các chị ơi em là người bị mụn lâu năm rồi, sau có bị skincare sạch sẽ thì mặt đỡ mụn nhưng lưng thì không hề đỡ, uống thuốc da liễu hết rồi 2 năm sau vẫn bị lại, ăn uống kiêng cử chỉ bớt mặt chữ lưng trường tồn, khổ nỗi em mơ mặc đồ hở lưng và đi bơi nhìu, mong các chị chỉ giáo tuyệt chiêu diệt sạch mụn lưng
- em đã thử papulex, các loại xịt
- sữa tắm neutro và lifebouy
- mặc thông thoáng
- hay tập thể thao để giảm béo nên ngay phần áo ngực thể thao mụn rất nhiều
Bên cạnh đó muốn hỏi thêm về triệt lông mỡ trăn tina ok không( em đang bắn ipl) và  rụng tóc nhìu, tóc ngã vàng thì dưỡng ntn để óng ánh chắc khoẻ hơn ???
Xin các chị và ad cứu em</t>
  </si>
  <si>
    <t>2019-08-05 04:03:10</t>
  </si>
  <si>
    <t>Giang T Vũ</t>
  </si>
  <si>
    <t>100007480599959</t>
  </si>
  <si>
    <t xml:space="preserve">#sos #help </t>
  </si>
  <si>
    <t>Mấy chị ơi em vừa hết thuỷ đậu có chách nào làm hết thâm và k đễ dẹo k ạ 
Mong ad duyệt</t>
  </si>
  <si>
    <t>2019-12-12 14:15:21</t>
  </si>
  <si>
    <t>Phương Hằng</t>
  </si>
  <si>
    <t>100041368099039</t>
  </si>
  <si>
    <t>Hiii mọi ngườiii, da mặt của một đứa 19 tuổi và một nùi nám... Hồi em còn ở VN thì nó không có bị như vậy đến khi sang nước ngoài chắc bị ăn nắng.. có ai từng khổ sở về nó như đi chơi hay chụp hình cùng bạn bè thôi cũng thấy ngại vì tụi nó không dùng app để che hộ em =)))) em up lên chỉ muốn biết anh chị em nào đã từng dùng sản phẩm nào có thể làm mờ nó dần đi hay cách nào đó khác ngoài bắn tia laze vô mặt hong ạ? Em cám ơnn
#nam 
#tannhang</t>
  </si>
  <si>
    <t>2019-12-02 00:26:46</t>
  </si>
  <si>
    <t>Uyen TD Nguyen</t>
  </si>
  <si>
    <t>100033580970587</t>
  </si>
  <si>
    <t xml:space="preserve">#tannhang #nam </t>
  </si>
  <si>
    <t>#tritham
#bongdamat
M.n ơi lần này là lần thứ n+1, không được ad duyệt thì em sẽ không bao giờ up bài luôn😭
Mặt em bị thâm do nghe ngu đắp tỏi lên mặt trị mụn, mụn đâu chưa hết mà thấy thâm hết cả da mặt do bị bỏng vì tỏi quá nóng, lúc đầu nó ửng đỏ lên em cứ tưởng bth thôi lát sau sẽ hết ai dè sáng dậy nó thâm hết cả mặt, nó thâm kiểu thâm loan ý ạ, m.n cho em xin vài tips trị thâm với, chứ k em tự ti lắm ạ😭😭😭😭😭😭😭 em cũng siêng dùng kem, serum, với đắp mặy nạ, nhưng em thấy chị làm mờ thôi chứ muốn hết thâm hoàn toàn là điều rất khó ạ, chị em ai cứu em với, em cầu cứu m.n thật lòng chứ m.n đừng dụ em mua mĩ phẩm trị thâm gì nữa ạ😭😭😭 em mua nhiều lắm rồi😭😭😭</t>
  </si>
  <si>
    <t>2019-11-10 17:52:58</t>
  </si>
  <si>
    <t>Tú Iris</t>
  </si>
  <si>
    <t>100038666473856</t>
  </si>
  <si>
    <t xml:space="preserve">#bongdamat #tritham </t>
  </si>
  <si>
    <t>Mình bị viêm da tiết bã (viêm da dầu). Lúc trc mình có đi khám tư ở chỗ bs Ngọc Ánh o q. PNhuận năm 2012 bác cho dùng thuốc Protopic 0,1 % . Thc này xài rất ok luôn xài khi nào bệnh tái lại thì lại bôi tiếp (mình có đi tái khám of bác vài lần và vẫn dc chỉ định dùng tiếp thc này), cho đến năm ngoái 2018 mình mua thì hầu như tất cả các nhà thc lớn đều ko còn bán thc này nữa họ nói chỉ có thc thành phần giống giống vậy thui chứ xài thc Protopic này lâu dài bị tác dụng phụ và fải lệ thuộc vào thc (cái này thì đúng vs mình nè... Haiz!!). Thấy lạ mình tìm hiểu kĩ hơn thì thấy có 1 bài nằm 2006 nói thuốc này bị Mỹ dán nhãn đỏ vì xài lâu dài đã có chục ng bi ung thư da huhu... 😢
Bởi v jờ mình ko có thuốc xài mình bế tắc quá mn ơi, da mình nhìn kinh dị làm mất tự tin vô cùng, mình co xài qua AcNeem (Mỹ) va Eczestop Stop (VN) nhưng ko hiệu quả lắm.. 😢. Chắc do cơ địa mình 😞
Ck và bố mình nói dùng qua thc đông y đi đừng dùng tây y nữa. Đông y thì nào jờ mình chưa thử bao jờ, ko biết thế nào. Mn có ai biết chỗ nào khám da liễu đông y uy tín và tốt ko chỉ mình vs... xin cám ơn mn nhiều 😔😔😔
Ps: Da mình lúc này là cũng đỡ hơn mấy bữa trc rùi ak. Nhưng chỗ đỏ đỏ rất mỏng vì da mấy bữa rày nó khô ngứa bong lên hết r 😞. Đau, rát, ngứa khô... 
Ad thân thương duyệt bài dùm mình nhé. Thanks ad !! 🤧</t>
  </si>
  <si>
    <t>2019-05-23 04:06:16</t>
  </si>
  <si>
    <t>Poca Nguyen</t>
  </si>
  <si>
    <t>100001831750680</t>
  </si>
  <si>
    <t>Mọi người ơi ai có kinh nghiệm trị sẹo thâm lâu năm ở chân cho mình xin với ah.
Mình đã thử dùng qua thuốc trị sẹo của Mỹ, tinh dầu trị thâm và chanh nhưng đều không hiệu quả.
Mình định đi trị sẹo bằng laser ở bệnh viện Kangnam, ai điều trị ở đây rồi cho mình xin review với.
Cám ơn mọi người.</t>
  </si>
  <si>
    <t>2019-06-23 14:04:14</t>
  </si>
  <si>
    <t>Huỳnh Bảo Bình</t>
  </si>
  <si>
    <t>100033957615144</t>
  </si>
  <si>
    <t>#ask #help #hair
Tình trạng của mình là mình tóc tém ~và rồi mình đi nối tóc cho thuỳ mị 😂. Sau 1 thời gian tầm 20 ngày tóc mình rất ngứa , vuốt tóc thôi là tóc rụng 2,3 tép ( 1 tép cũng tầm mấy trăm cộng tóc ấy )   có ngày rụng 1 lúc 10 tép tóc . Và đỉnh điểm rụng 70 tép rồi nên m đi gỡ ra . Cuối cùng là như hình dưới ạ tóc giả ra đi kèm theo chân tóc thật luôn , đầu bị lủng không tóc rất nhiều mảng , có cả chảy máu nhẹ . Giờ m dùng sản phẩm gì cho mau ra tóc lại ạ ( ưu tiên sp thiên nhiên ) . Các bác thông thái chỉ hộ e chứ e sắp hói rồi huhu .Em cảm ơn !!
edit 1: đi luôn cả chân tóc như này thì có mọc lại dc ko ạ</t>
  </si>
  <si>
    <t>2019-05-07 04:32:19</t>
  </si>
  <si>
    <t>Trương Mỹ Nhàn</t>
  </si>
  <si>
    <t>100001435356967</t>
  </si>
  <si>
    <t xml:space="preserve">#hair #help #ask </t>
  </si>
  <si>
    <t>#ask #DALAT #Chupanhcuoi 
Sang tuần sau Thứ 5 tuần sau e có buổi chụp hình tại Đà Lạt. Không biết trong nhóm mình có ai đi chụp ảnh cưới ở Đà Lạt chưa ạ ? Gói chụp của e được chọn từ 2 đến 3 địa điểm để chụp và e có hỏi ý kiến bên Studio mà bên ý đưa ra khá là nhiều địa điểm chụp, e có lên mạng xem nhưng vẫn chưa chốt được địa điểm nào ạ :( Chị em nào đi chụp ở Đà Lạt rồi cho e xin vài địa điểm mà mng đã chụp ảnh cưới ở Đà Lạt và thấy đẹp nhất đi ạ ? ( Địa điểm chọn nằm trong bán kính 25Km đổ lại ạ ) 
Em Cảm Ơn trước ạ ! 
Không liên quan đến làm đẹp cho lắm ạ . Nhưng e mong AD sẽ duyệt cho em .</t>
  </si>
  <si>
    <t>2019-10-28 03:20:05</t>
  </si>
  <si>
    <t>Hương Mai Trần</t>
  </si>
  <si>
    <t>100004933268844</t>
  </si>
  <si>
    <t xml:space="preserve">#Chupanhcuoi #DALAT #ask </t>
  </si>
  <si>
    <t>Mng ơi cứu e với😭😭😭
Em bị mụn ẩn đỏ vs mụn bọc ntn thì chữa thế nào ạ em 15t em có dùng srm innisfree và toner thayer thỉnh thoảng em cũng công hơi và dùng mặt nạ khoai tây 
Em có nên dùng chấm mụn của mairio badescu.... ko ạ 
Em cảm ơi mng nhiều ạ
Mong ad duyệt ạ</t>
  </si>
  <si>
    <t>2019-11-27 14:04:02</t>
  </si>
  <si>
    <t>Minh Lea</t>
  </si>
  <si>
    <t>100044155416584</t>
  </si>
  <si>
    <t>Các chị ơi cách nào để chống được hôi chân ạ. Hay có sp nào giúp ngừa hôi chân k ạ?</t>
  </si>
  <si>
    <t>2019-12-03 15:28:13</t>
  </si>
  <si>
    <t>Nguyễn Thiên Hương</t>
  </si>
  <si>
    <t>100022412317262</t>
  </si>
  <si>
    <t>Các chị ơi, năm nay em 16 tuổi, mà có một vấn đề quan ngại là ngực lại quá bự (so với bè bạn, thậm chí là một số người phụ nữ trưởng thành), tầm hơn 90cm ạ. Đúng là em có béo lên nên ngực cũng đầy hơn, nhưng nó bự quá lố ạ :( em có giảm cân mà nó không giảm phần ngực theo mấy. Nay đi mua quần áo, mặc đồ mà trông sợ :( nó làm thân hình trên em như thô, đô hơn í ạ. Có cách nào giảm bớt hay ăn mặc sao cho hợp không ạ? Huhu. 
Mong các chị, các bạn quan tâm và giúp em ạ :( em cảm ơn. 
#ask</t>
  </si>
  <si>
    <t>2019-12-01 12:19:40</t>
  </si>
  <si>
    <t>Hà Ang</t>
  </si>
  <si>
    <t>100043090090695</t>
  </si>
  <si>
    <t>Help me. Xin chào mấy chị em. Tóc em uốn nhưng gội thì bị tơi ra k vào nếp em muốn tìm loại dưỡng giúp tóc bóng óng ả và vuốt dễ vào nếp chị e có loại nào tốt chỉ em với ạ.</t>
  </si>
  <si>
    <t>2019-12-12 08:53:42</t>
  </si>
  <si>
    <t>Linh Nguyễn</t>
  </si>
  <si>
    <t>100004363176410</t>
  </si>
  <si>
    <t>#đẹpchanhxã #asktanmobung
Chào mng chuyện là mình năm nay cũng vào tuổi mặc cảm mọi thứ mình sợ bệnh nữa.Mình bắt đầu giảm cân được 3 tháng nhìn thì không mập như trước nữa nhưng mà nó giảm cân chứ không giảm mỡ nhiều.Mình đăng bài mong mng chỉ cách giảm mỡ hiệu quả nhất được không ạ😞Hiện tại mình chạy bộ và đi bộ ít ăn cơm với cử đường cử nước ngọt mà giảm mỡ hong có nhiêu hết á.</t>
  </si>
  <si>
    <t>2019-11-17 11:30:48</t>
  </si>
  <si>
    <t>Thanh Ngân</t>
  </si>
  <si>
    <t>100011379790699</t>
  </si>
  <si>
    <t xml:space="preserve">#asktanmobung #đẹpchanhxã </t>
  </si>
  <si>
    <t xml:space="preserve">
#help
Chỉ giùm em tips chăm sóc tóc và các loại sản phẩm hay phương pháp kích thích mọc tóc với mn ơi.
Hiện tại e đang dùng gội xả Dove, mấy năm rồi chưa đổi vì đổi sợ ko hợp sẽ bị gàu.
Trước cũng có rụng nhưng chưa bao giờ rụng nhiều khủng khiếp như đợt này.
Trong ảnh là kết quả của một lần vuốt tóc ạ :((( em sợ quá
Cảm ơn ad duyệt bài.</t>
  </si>
  <si>
    <t>2019-12-05 03:24:10</t>
  </si>
  <si>
    <t>Lưu Huỳnh</t>
  </si>
  <si>
    <t>100025313491045</t>
  </si>
  <si>
    <t>E bị thế này chữa dc k ace ơi , hizzzz</t>
  </si>
  <si>
    <t>2019-12-13 12:54:22</t>
  </si>
  <si>
    <t>Quân Đăng</t>
  </si>
  <si>
    <t>100030348403101</t>
  </si>
  <si>
    <t xml:space="preserve">Mấy chị cho em hỏi sau sinh mấy tháng thì mình được sài kem body vậy ạ 🤧🤧
</t>
  </si>
  <si>
    <t>2019-12-09 15:38:50</t>
  </si>
  <si>
    <t>Nguyễn Thị Thảo</t>
  </si>
  <si>
    <t>100010550111850</t>
  </si>
  <si>
    <t>Cíu em với mọi người ơi :(( e bị lên lẹo 3-4 hôm rùi . có ra tiệm thuốc mua uống rồi mà k đỡ . Lúc đầu chỉ hơi sưng nhưng sáng nay ngủ dậy em thấy trà ra cả mí mắt. bệnh viện mắt hnay lại nghỉ em k khám đc . có cách nào k mn? e k muốn bị để lại sẹo :(( 
#gochoi</t>
  </si>
  <si>
    <t>2019-12-22 15:18:43</t>
  </si>
  <si>
    <t>Trann Nhung</t>
  </si>
  <si>
    <t>100020255826256</t>
  </si>
  <si>
    <t xml:space="preserve">#gochoi </t>
  </si>
  <si>
    <t>#dakho
( mong Ad duyệt giúp em ạ )
Chào mn ạ. 2 hôm nay da em tự nhiên khô và tróc vảy như này ạ, nhất là sau khi rửa mặt. Em ở đồng nai thì qua nay buổi sáng trời khá lạnh ko biết là do thời tiết hay em bị dị ứng với tẩy trang nữa. Em chỉ dùng nước muối sinh lí ( sáng và tối ) và tẩy trang chai xanh nhạt L'Oreal ( dùng buổi tối). Trc đây em cũng dùng rượu thuốc nên giờ da cũng mỏng và nhạy cảm . Mn tư vấn giúp em nên dùng sp nào để phục hồi da với ạ. Em cảm ơn!</t>
  </si>
  <si>
    <t>2019-12-05 09:03:03</t>
  </si>
  <si>
    <t>Nguyen Tien</t>
  </si>
  <si>
    <t>100043895946372</t>
  </si>
  <si>
    <t xml:space="preserve">#dakho </t>
  </si>
  <si>
    <t>#Triseolaunam
   Tình trạng da mặt hiện tại của em!!!!!</t>
  </si>
  <si>
    <t>2019-11-25 13:59:45</t>
  </si>
  <si>
    <t>Hải Đỗ</t>
  </si>
  <si>
    <t>100006207589068</t>
  </si>
  <si>
    <t xml:space="preserve">#Triseolaunam </t>
  </si>
  <si>
    <t>#gochoi #vaynen
Có ai trong hộ từ bị bệnh vảy nến hoặc người thân bị vảy nến mà có thuốc chữa khỏi k ạ :((
Cô em bị vẩy nến lâu năm đã chữa nhiều nơi cả bv da liễu nhưng chỉ khỏi 1 thời gian lại bị lại.khi tái lại càng nặng hơn.da bị bào mòn ngày càng mỏng :(( giờ da mỏng quá đi lại rất khó khăn và rất đau
Mn ai biết cách gì chữa chỉ em với ạ
Cô em bị cả người 
Mong ad duyệt bài ạ</t>
  </si>
  <si>
    <t>2019-11-15 05:14:07</t>
  </si>
  <si>
    <t>Phạm Bích Ngọc</t>
  </si>
  <si>
    <t>100008606613004</t>
  </si>
  <si>
    <t xml:space="preserve">#vaynen #gochoi </t>
  </si>
  <si>
    <t>#ask #chốnglãohoá 
Năm nay mình 26 tuổi, đang bắt đầu dùng kem chống lão hoá mà chưa biết nên dùng loại nào tốt. Vì mình để ý thấy và cũng nghe nói là chống lão hóa nên bắt đầu từ 25 tuổi để bảo vệ da trước khi "xuống cấp" ở tuổi 30, 40. Nhiều người sau khi sinh con là da bắt đầu nám, tàn nhang và có nhiều nếp nhăn thấy rõ. Mình cũng chăm chỉ tập thể dục và ăn uống nhiều rau quả tươi lắm nhưng vẫn muốn bảo vệ da thêm để chống lão hóa sớm. Mọi người tư vấn giúp mình cách "hack tuổi" như các sao với, toàn U30 U40 mà vẫn trẻ trung</t>
  </si>
  <si>
    <t>2019-11-13 10:50:37</t>
  </si>
  <si>
    <t>Lê Vũ Minh Anh</t>
  </si>
  <si>
    <t>100010194128109</t>
  </si>
  <si>
    <t xml:space="preserve">#chốnglãohoá #ask </t>
  </si>
  <si>
    <t>Chào mọi người, trước đây do tính chất công việc của mình, da thường xuyên tiếp xúc với ánh nắng mặt trời nên da mặt bị đen, xỉn màu, mặt lun nổi mụn và có dấu hiệu nám 2 bên khuôn mặt. Mình bắt đầu skincare và đầu tháng 6, gần 5 tháng da mình có chút thay đổi, da sáng và điều màu hơn, bề mặt da được ổn định... Hiện tại da mình bắt đầu có dấu hiệu lão hoá kèm theo thâm nám, mình đang tìm hiểu về retinol, và định đưa vào skincare routines của mình, xin mọi người cho xin ý kiếm và chút kiến thức về retinol với...thanks all❤️❤️❤️</t>
  </si>
  <si>
    <t>2019-11-21 07:29:39</t>
  </si>
  <si>
    <t>Toan Hua VI</t>
  </si>
  <si>
    <t>100001154029930</t>
  </si>
  <si>
    <t>#trimun #hoidap
Mọi người ơi cứu em với ạ. Mấy tháng gần đây da em mụn nhiều quá nên càng ngại tiếp xúc với mọi người. Bạn bè em có chỉ mấy sản phẩm nhưng nhiều ý kiến quá em cũng không biết dùng cái nào. huhu!
Tết tới rồi mà da em cứ như v hoài buồn chả dám có người yêu.
Các anh chị biết sản phẩm nào tư vấn em với ạ! Đường cùng quá nên em đăng lên đây để hỏi. Mong ad duyệt bài em với ạ!</t>
  </si>
  <si>
    <t>2019-12-18 05:24:07</t>
  </si>
  <si>
    <t>Nguyễn Quốc Khánh</t>
  </si>
  <si>
    <t>100026431486851</t>
  </si>
  <si>
    <t xml:space="preserve">#hoidap #trimun </t>
  </si>
  <si>
    <t>Em đang cực kì thích body như thế này luôn ý ạ. Mọi người có thể gợi ý cho em các bài tập để tay chân nhỏ, bụng số 11 như vậy được không ạ. Cả chế độ ăn nữa, e định ăn theo chế độ keto vì tầm 2 tháng nữa là đến Tết rồi, e lại thích mặc áo croptop nữa. Năm nay e lớp 9, cao m73 nặng 60kg ạ</t>
  </si>
  <si>
    <t>2019-11-26 02:17:33</t>
  </si>
  <si>
    <t>Yen Nhi</t>
  </si>
  <si>
    <t>100041898649054</t>
  </si>
  <si>
    <t>E chào mọi người ạ. E bị viêm nang lông mấy năm nay rồi nhưng tài 1 cái là mùa hè thì e ko bị. Cứ bắt đầu trời se lạnh là e lại bị nổi mụn nang lông nên nv. Thật sự nản luôn. Đến lúc lạnh hẳn là nó lại lên nhiều hơn. E ko biết phải làm thế nào nữa. Trong hội mình ai từng bị mà chữa khỏi hay ai biết cách j thì chỉ e với ạ. E cám ơn☺️</t>
  </si>
  <si>
    <t>2019-10-28 01:53:05</t>
  </si>
  <si>
    <t>khánh hồi Vui Tươi</t>
  </si>
  <si>
    <t>100007975115930</t>
  </si>
  <si>
    <t>#help #munnuoctrenmat
Mọi người cho mình hỏi có từng bị giống mình ko, thỉnh thoảng mình hay nổi mụn nc quanh miệng nhưng cục nhỏ, sáng nay ngủ dậy thấy bị 1 cục bự chà bá trên má. Ai có kinh nghiệm cho mình hỏi nguyên nhân vì sao, cách trị và phòng nha. Mình cảm ơn nhiều.</t>
  </si>
  <si>
    <t>2019-11-29 03:49:02</t>
  </si>
  <si>
    <t>Lili Giày Nữ XK</t>
  </si>
  <si>
    <t>100006744733207</t>
  </si>
  <si>
    <t xml:space="preserve">#munnuoctrenmat #help </t>
  </si>
  <si>
    <t>#damuntuoidaythi
#help
Mọi người ơi, cứu em với. Em 15 tuổi và da mặt đang dậy thì nổi mụn. Em đang rất rối và không biết phải làm thế nào nữa. Lcl của em rất to hơn nữa vết thâm cũng nhiều. Em không biết phải xử lý ra làm sao mà mấy hôm nữa đi học rồi. Để mặt thế này mà đi học thực sự rất ngại. Mong anh chị đưa ra phương pháp tốt nhất cho em với. Hiện tại em không dùng bất cứ một sản phẩm nào ngoài nước muối sinh lí để rửa mặt. Mong ad duyệt bài để em có được gợi ý tốt nhất cho da mặt mình với ạ.
Em còn bị mụn ẩn nữa
Edited: Nửa tháng trước thì em có dùng sản phẩm bên Lương Y Lại Ánh Ngọc ấy mọi người, cái này là cô dì chú bác ở quê giới thiệu nên mẹ em cũng sốt ruột cho đi luôn. Nhưng da không đỡ mà còn lên mụn ẩn nhiều(trước đó thì em không có bị mụn ẩn). Em dùng được tầm một tháng rưỡi thì đọc được các bài phản ánh về hậu quả của rượu thuốc. Mà em thấy là một trong các sản phẩm lúc ấy em đang dùng là rượu thuốc và em đã quyết định dừng lại. Bây giờ em đang có ý định sử dụng bộ trị mụn của Hiruscar thì có hiệu quả không mọi người?</t>
  </si>
  <si>
    <t>2019-08-03 02:51:39</t>
  </si>
  <si>
    <t>Ely May</t>
  </si>
  <si>
    <t>100021441455200</t>
  </si>
  <si>
    <t xml:space="preserve">#help #damuntuoidaythi </t>
  </si>
  <si>
    <t>#ask 
Mọi người ơi, em hay bị mụn bự, sưng to ở dưới cằm. Bây giờ nó lành bớt và để lại vết thâm ( em đang bắt đầu dùng GEL NACURGO ạ ,nên em muốn hỏi mn ai dùng r cho em xin review ). Sẵn tiện mn chỉ giúp em cách nào để hạn chế bị mụn sưng to, mủ ở dưới cằm ạ :(( 
Thứ hai là mọi người cho em hỏi da dầu và mun nên dùng tẩy trang và cấp ẩm loại nào tốt ạ? 
#mongadduyetchoem</t>
  </si>
  <si>
    <t>2019-11-29 15:41:13</t>
  </si>
  <si>
    <t>Hin Còn Liêm Sĩ</t>
  </si>
  <si>
    <t>100042826877902</t>
  </si>
  <si>
    <t xml:space="preserve">#mongadduyetchoem #ask </t>
  </si>
  <si>
    <t xml:space="preserve">
#CẮTLỢI
 Xin chào mọi người mình là đứa hôm trước hỏi mọi người về vấn đề đi cắt lợi đây.
Cảm ơn những lời góp ý và động viên của mọi người rất nhiều 😘 
Sáng nay mình vừa đi cắt về.nhưng thấy bên cắt nó vẫn thấp hơn bên còn lại.hay là do mới cắt phần nướu nó chưa săn lại vậy ạ.
Mọi người cho mình hỏi cắt vậy là xong luôn chưa hay là sau này nó lại mọc lên nữa ạ
Ad duyệt hộ e lần nữa nha.e cảm ơn ạ.</t>
  </si>
  <si>
    <t>2019-05-24 06:29:41</t>
  </si>
  <si>
    <t>Nguyễn Thư</t>
  </si>
  <si>
    <t>100036115598098</t>
  </si>
  <si>
    <t xml:space="preserve">#CẮTLỢI  </t>
  </si>
  <si>
    <t xml:space="preserve">Các chị thông thái ơi giúp em với ạ Cho em hỏi đây là athu hay fake ạ mấy lọ khác e dùng đều là chữ LAVENDER ở trên lọ này thì chữ lại ở dưới ạ dù là vẫn có công ty nhập khẩu mà em vẫn lo 😢😢em hỏi ngta kêu đây là mẫu cũ ngưng sản xuất rồi ạ.             
</t>
  </si>
  <si>
    <t>2019-12-14 06:17:29</t>
  </si>
  <si>
    <t>Thúy Duyên</t>
  </si>
  <si>
    <t>100007112474619</t>
  </si>
  <si>
    <t xml:space="preserve">
#vienuongrauquadhc
Trong gr của mình có ai đã từng dùng viên uống  này chưa ạ, cho em xin review với ạ. Em xin cảm ơn ạ 🥰</t>
  </si>
  <si>
    <t>2019-11-21 15:10:54</t>
  </si>
  <si>
    <t>Loan My</t>
  </si>
  <si>
    <t>100012258123082</t>
  </si>
  <si>
    <t xml:space="preserve">#vienuongrauquadhc </t>
  </si>
  <si>
    <t>Chị em group
Ai bị khó ngủ thức khuya rồi hay đau đầu k ạ
E thì tính chất cv với hay thức hay suy nghĩ lubu việc
Dạo này đau đầu lắm ạ, đau bất chợt rồi hết, mỗi lần đau đầu đư dội chịu k nôi
Tối thì ngủ rất khó, tầm 3-4h em mới ngủ cơ.
Ai có bí kiếp gì ngủ sâu giấc và k đau đầu k ạ
E ngại uống thuốc quá. Sợ nóng người nữa.</t>
  </si>
  <si>
    <t>2019-12-22 22:08:45</t>
  </si>
  <si>
    <t>Phượng Lê</t>
  </si>
  <si>
    <t>100008829107644</t>
  </si>
  <si>
    <t>#auth #fake #mac
Chị em check giúp mình 2 món này với ạ!!
Người nhà mình xách về cho, mà bạn mình ai cũng nói là fake. Người bảo có mùi nồng, người lại bảo ko có mùi. Trong khi mình cầm rất chăcs tay, chữ khác rõ nét.</t>
  </si>
  <si>
    <t>2019-12-22 09:28:43</t>
  </si>
  <si>
    <t>Mya Nguyen</t>
  </si>
  <si>
    <t>100000209197887</t>
  </si>
  <si>
    <t xml:space="preserve">#mac #fake #auth </t>
  </si>
  <si>
    <t>#ask
Mọi người ơi cho mình hỏi đây là mụn gì với? Nó nằm ở đấy chắc cũng được mấy tháng rồi. Mà bỗng dưng 2 bên má đều có 1 2 cục. Search hình mụn thịt thì thấy cũng k giống lắm  do của mình đầu nó màu trắng. Mà nó cứ chai lỳ ở đó k hết 😒😒</t>
  </si>
  <si>
    <t>2019-12-20 13:30:51</t>
  </si>
  <si>
    <t>Hạ Vy</t>
  </si>
  <si>
    <t>100015646000795</t>
  </si>
  <si>
    <t xml:space="preserve">Tay e bị ntn từ hồi bé đến h rồi ạ (cả 2 bên cánh tay đều bị ạ) huhu hiện tại e đang chà tay bằng muối bò, e ms dùng nên chưa thấy hiệu quả gì lắm ạ 😢 
Ai có cách gì chữa giúp em với huhu con gái mà tay ntn e ko dám mặc đồ hở tay ra ngoài đg luôn ạ 😭
#helpme
</t>
  </si>
  <si>
    <t>2019-06-16 07:02:44</t>
  </si>
  <si>
    <t>Trang Tran</t>
  </si>
  <si>
    <t>100017261446928</t>
  </si>
  <si>
    <t xml:space="preserve">
#gochoidap
#son
Ad duyệt bài em với ạ :(((((((
Mọi người tư vấn cho em loại son nào mà hợp với người da trắng, không bị base, bám môi tốt ( son đừng lỳ quá ạ nhưng cũng không mau trôi ạ 😂 ), giá sinh viên chút ạ ( tầm giá như bbia hay blackrouge là được ạ )
Em có thích màu như này nhưng không biết hợp không. Mọi người ai dùng loại gì hợp tiêu chí trên cho em xin review ạ, có ảnh thật càng tốt ạ.</t>
  </si>
  <si>
    <t>2019-06-20 11:19:41</t>
  </si>
  <si>
    <t>Tĩnh Yên</t>
  </si>
  <si>
    <t>100034317561366</t>
  </si>
  <si>
    <t xml:space="preserve">#son #gochoidap </t>
  </si>
  <si>
    <t>#đepchanhsa
Cho em hỏi có cách nào làm da trở nên hồng hào không ạ. Da em xạm màu tối xỉn nhìn như người vừa ốm dậy. Liệu có phải do ngày nào e cũng makeup không ạ
Em hỏi thêm là có nên đến spa tắm trắng , hấp trắng da mặt rồi về dưỡng không ạ. Tại em skincare cỡ nào thì da cũng không trắng sáng nên được ạ. 
 Ảnh chống trôi thôi ạ</t>
  </si>
  <si>
    <t>2019-10-08 14:52:44</t>
  </si>
  <si>
    <t>Xì Trum</t>
  </si>
  <si>
    <t>100039155380957</t>
  </si>
  <si>
    <t>Hello mn cho e xin chút ý kiến về làn da khô của e bt k sao cứ trang điểm cái là nó xù xì lên kinh khủng thêm vào da e bị thâm có loại nào trị đc da khô và thâm k ạ</t>
  </si>
  <si>
    <t>2019-12-13 05:09:51</t>
  </si>
  <si>
    <t>An Ny</t>
  </si>
  <si>
    <t>100042125055823</t>
  </si>
  <si>
    <t>Các chị ơi! Làm sao để mất các dấu này đây ạ? E vã quá 😭
#body</t>
  </si>
  <si>
    <t>2019-11-26 13:18:57</t>
  </si>
  <si>
    <t>Thảo Trang</t>
  </si>
  <si>
    <t>100014787600381</t>
  </si>
  <si>
    <t xml:space="preserve">#body </t>
  </si>
  <si>
    <t>#ask #mọcrăngkhôn
mong ad duyệt bài giúp e ạ, e cảm ơn nhiều ~~
trong nhóm có ace nào từng mọc răng khôn ở dưới không ạ? e mọc 1 lần 2 răng 2 bên luôn, nhưng 1 bên mọc gần hết rồi còn một bên mới hé được xíu. quên mất hôm qua ăn cay nên nó sưng lên hơi ngứa với đau. đang ở Hàn nên chi phí khám răng cũng khá là mắc nên e muốn hỏi có cách nào giảm ngứa với sưng không ạ?
có a/c nào nhổ rồi cho e xin ít kinh nghiệm với ạ.</t>
  </si>
  <si>
    <t>2019-10-09 07:03:18</t>
  </si>
  <si>
    <t>Ly Nguyễn</t>
  </si>
  <si>
    <t>100006801705374</t>
  </si>
  <si>
    <t xml:space="preserve">#mọcrăngkhôn #ask </t>
  </si>
  <si>
    <t>Mấy chị ơi giúp e ạ. 
E phun chân mày dc 1 tuần rồi
Như vầy sau khi bong het có nhỏ lại k ạ
E đag khổ sợ lắm luôn huhu</t>
  </si>
  <si>
    <t>2019-12-17 08:09:50</t>
  </si>
  <si>
    <t>Mãnh Tình Vỡ</t>
  </si>
  <si>
    <t>100034614728691</t>
  </si>
  <si>
    <t>Em năm nay 17 tuổi 
Tình trạng da em như này bắt đầu từ năm ngoái trở lại đây 
Vùng trán và quanh má và miệng em đều bị ntn 
Có ai biết cách khắc phục thì chỉ em với , em cảm ơn mọi người nhiều</t>
  </si>
  <si>
    <t>2019-12-15 14:48:04</t>
  </si>
  <si>
    <t>Mỹ Nguyễn</t>
  </si>
  <si>
    <t>100033443956464</t>
  </si>
  <si>
    <t xml:space="preserve">Chào mọi người.
Xin m.n cứu chữa cái bản mặt này giúp e với ạ
 Da e là da hỗn hợp thiên dầu, bị phụ thuộc mask dữ lắm ạ, phải đắp mỗi ngày thì mới k lên mụn...nhưng cứ ngưng 2 3 ngày thì lại lên 😭 mụn đi để lại vô vàn vết thâm và nám. M.n chỉ giúp e loại serum nào trị thâm với ạ... Còn về phần bóng dầu như hình thì e uống innerb nên bớt bóng dầu chứ k còn như trong hình ạ...
Cảm ơn m.n ☺️
#serumtritham
#ask
</t>
  </si>
  <si>
    <t>2019-12-07 08:01:56</t>
  </si>
  <si>
    <t>Thảo Thảo</t>
  </si>
  <si>
    <t>100033768038977</t>
  </si>
  <si>
    <t xml:space="preserve">#ask #serumtritham </t>
  </si>
  <si>
    <t xml:space="preserve">
#ask 
#skincare 
#kemduongtrang #kemduongam 
E chào mn,trước h e chưa biết nhiều về skincare cho đến khi tham gia group và nghiền ngẫm group mỗi ngày, e sẽ bắt đầu skincare tr bây giờ, và  e đang tìm kem dưỡng trắng và kem dưỡng ẩm cho da hỗn hợp,em đang phân vân kem v7 dưỡng trắng này,các anh chị cho e xin review nhé, nhân tiện cho e hỏi về kem dưỡng ẩm nào tốt ạ
Mong ad duyệt bài hộ e ạ huhu đăng nhiều nhưng chưa được ad duyệt</t>
  </si>
  <si>
    <t>2019-10-23 13:34:27</t>
  </si>
  <si>
    <t>Thi An</t>
  </si>
  <si>
    <t>100007130928419</t>
  </si>
  <si>
    <t xml:space="preserve">#kemduongam #kemduongtrang #skincare #ask </t>
  </si>
  <si>
    <t>#Tưvấn #Lens 
Chào ad và mn. E mới viết bài lần đầu có gì sai sót mn bỏ qua nha. 
E bị cận 4.25 độ cả 2 mắt và đang đeo lens giãn nhẹ 14.2 để thỉnh thoảng đi chơi thôi chứ k đeo hàng ngày ạ. Mỗi lần đeo lens e đã ngâm, rửa lens cẩn thận và khi đi đường e đều có đeo kính chắn bụi. Nhưng khổ nỗi đeo khoảng 3 tiếng đã bị khô mắt r và phải nhỏ mắt liên tục luôn. K biết nguyên nhân gì 😢 Mn cho e xin vài phương pháp dưỡng mắt và xin tên loại nhỏ mắt để dưỡng trong và sau khi đeo lens với ạ. E cảm ơn ad và mọi người.</t>
  </si>
  <si>
    <t>2019-10-31 03:55:36</t>
  </si>
  <si>
    <t>Cherry Cherry</t>
  </si>
  <si>
    <t>100003098984120</t>
  </si>
  <si>
    <t xml:space="preserve">#Lens #Tưvấn </t>
  </si>
  <si>
    <t>Em mong ad duyệt bài em ạ. Em cảm ơn rất nhiều
Da em mỏng lắm ạ nhìn vài là thấy mạch máu đỏ luôn
Da dễ bị nóng rồi ửng đỏ
Bây giờ nếu em dùng sữa non đắp mặt thì có làm sao không ạ.
Cho em vài ý kiến ạ
Em cảm ơn</t>
  </si>
  <si>
    <t>2019-12-23 13:25:35</t>
  </si>
  <si>
    <t>Hoàng Yến</t>
  </si>
  <si>
    <t>100028759233236</t>
  </si>
  <si>
    <t>#ask
Mn ơi cho mình hỏi có ai từng đi tẩy trắng răng chưa ạ? 
Cho mình xin tý review với ạ?</t>
  </si>
  <si>
    <t>2019-10-21 14:25:06</t>
  </si>
  <si>
    <t>Huỳnh Minh Phượng</t>
  </si>
  <si>
    <t>100007896300766</t>
  </si>
  <si>
    <t>Mn ơi có ai uống viên Biotin này rồi cho e xin ít review với ạ?
Dạo gần đây tóc e rụng khá nhiều, e đã chuyển sang dùng dầu gội thiên nhiên và dùng tinh dầu bưởi nhưng thấy tóc vẫn rụng kha khá nên muốn uống thêm thực phẩm chức năng để bổ sung dưỡng chất. Ai uống lọ này rồi cho e xin review là có giảm rụng tóc ko ạ?</t>
  </si>
  <si>
    <t>2019-11-16 15:15:06</t>
  </si>
  <si>
    <t>Thanh Linh</t>
  </si>
  <si>
    <t>100007641794612</t>
  </si>
  <si>
    <t>#laohoada #helpme
Các chị đẹp cho em hỏi. Năm nay em 28 tuổi xuân. Có nếp nhăn nhẹ trên trán và khoé mắt cùng với kha khá tàn nhang. Hiện em không dùng gì ngoài sữa rửa mặt nghệ. Dạ em hình như khô hoặc da thường ak.
Nay e có đứa em zai đi bên Đức mà thấy có loại kem thấy chống lão hoá tốt. Có chị đẹp nào sử dụng qua 2 loại này cho e ý kiến với ak.
Thanks các chị đẹp nhìu.</t>
  </si>
  <si>
    <t>2019-09-01 03:30:36</t>
  </si>
  <si>
    <t>Yến Yen</t>
  </si>
  <si>
    <t>100001788890252</t>
  </si>
  <si>
    <t xml:space="preserve">#helpme #laohoada </t>
  </si>
  <si>
    <t xml:space="preserve">
#xokhuyen
Anh chị em nào đã từng xỏ khuyên môi hoặc có kinh nghiệm về xỏ khuyên môi cho em xin ý kiến với ạ!? Ăn uống kiêng cữ như thế nào và tầm bao lâu thì lành ạ!? Ai biết địa chỉ nào xỏ khuyên môi uy tín ở tphcm thì gợi ý giúp em nhé, chi phí tầm bao nhiêu và nên dùng loại khuyên môi nào nữa ạ. (ảnh chống trôi bài thôi ạ)
Cảm ơn admin đã duyệt bài ☺️</t>
  </si>
  <si>
    <t>2019-12-12 08:52:27</t>
  </si>
  <si>
    <t xml:space="preserve">#xokhuyen </t>
  </si>
  <si>
    <t>Da mặt của em hiện tại các chị ạ, lỗ chân lông to, mụn và thâm mụn!! Da em thuộc loại dầu khô ạ. Em cb đi năn mụn và làm peel trị thâm các chị thấy có ổn không ạ? 
Sau khi đi làm về thì mình nên chăm sóc da bằng những sp nào là tốt cho da vậy ạ 😭😭
Em định mua máy rửa mặt foreo và lọ serum b5,các c cho em xin nhận xét và ý kiến ạ 😭</t>
  </si>
  <si>
    <t>2019-12-12 04:23:46</t>
  </si>
  <si>
    <t>Trần Nguyễn Thuỳ Linh</t>
  </si>
  <si>
    <t>100044042626172</t>
  </si>
  <si>
    <t xml:space="preserve">
#ask_trị_mụn
Mọi người trong group mình có ai dùng loại trị mụn này của nội địa trung chưa ạ? Có thể cho em xin ít review với được không ạ? Gần tết rồi mà mặt lên nhiều mụn quá, lại thấy cái này nổi nổi nhiều người dùng mà tìm trên gg không có mấy thông tin :((</t>
  </si>
  <si>
    <t>2019-12-10 12:36:13</t>
  </si>
  <si>
    <t>Hạ Lữ</t>
  </si>
  <si>
    <t>100022743163345</t>
  </si>
  <si>
    <t xml:space="preserve">#ask_trị_mụn  </t>
  </si>
  <si>
    <t>#help #trịmụn
Huhu da em như thế ạ :( 
Gần 2 năm trước em có dính vào 1 chai thuốc rượu, da cũng đẹp lên được một thời gian ngắn, còn sau đó thì...  Ôi thôi rồi. Mụn lên đầy mặt và dầu đổ khinh khủng. 
6 tháng nay em cũng tập skincare, da cũng đỡ hơn rất nhiều kiểu như chỉ còn mụn ẩn, nhưng gần 2 tháng nay, mụn có mủ lên rất nhiều, rửa mặt cực kì đau luôn. Giờ thì thay phiên nhau lên, hết chỗ này lại mọc chỗ khác, có khi lặn rồi lại mọc lại chỗ cũ, còn mụn ẩn thì nhiều cũng lên nhiều hơn. Lúc nào trong người cũng cảm thấy nóng,  ăn nhiều đồ mát + uống nhiều nước :(,  nhưng chả thấy khá lên tí nào ạ
-Sáng dậy em rửa mặt với innisfree ( dành cho da mụn) rồi bôi kem chống nắng the same, em ko make up, hết ngày thì  tẩy trang của L'OREAl, rửa sạch lại với srm .Tối em dùng toner của simple, rồi đến tinh chất rau má madagascar, rồi chấm mụn của the body shop-teatree. 
Em rất mong nhận được tư vấn của mọi người.Em cảm ơn mọi người thật nhiều ạ. Nhìn bạn bè makeup mà ham, da v nên em không dám. Stress kinh khủng :(</t>
  </si>
  <si>
    <t>2019-11-26 14:28:12</t>
  </si>
  <si>
    <t>Ngân Khánh</t>
  </si>
  <si>
    <t>100039275670406</t>
  </si>
  <si>
    <t xml:space="preserve">#trịmụn #help </t>
  </si>
  <si>
    <t>#skincare
Mình năm nay 26 tuổi. Mẹ 1 em bé gần 2 tuổi và đang mang bầu 7 tháng 😂
Thời kì mang bầu và sinh con đối với mình là quãng time da thay đổi kinh khủng và xấu tệ. Chuyển từ da dầu sang da siêu khô 🤣. Nám xuất hiện. Vì vậy mình chia sẻ skincare routine của mh cho bạn nào đang rơi tình trạng này.
Mình skincare cũng lâu rồi. Để mà nói đối với mh tìm sản phẩm cho da dầu lại dễ hơn da quá khô. Nhưng đến nay thì tạm ổn.
1. Tẩy trang bio hồng. Giờ mh mua thêm kem tẩy trang gạo của the face shop (vì bữa trc sale rẻ hều). 
2. Tối: Sửa rửa mặt nghệ e100 (mh thực tế thích dùng của thorakao hơn nhưng siêu thi hết nên mua e100, k hạt, k bọt). Sáng: simple. Nói chung trước đến giờ da dầu hay khô mh đều dùng sữa rửa mặt k bọt hoặc ít tạo bọt cả. Simple thì nhẹ nhàng quá nên mh chỉ rửa sáng thôi.
Mình dùng máy rửa mặt lumispa của nuskin. (Nói chung mh thấy mua máy rửa mặt là đúng đắn. Đỡ mụn đầu đen, lỗ chân lô nhỏ hơn, da sạch và mềm mại hơn)
3. Toner: simple. Trc mình dùng love natural oat của oriflame. Nhẹ nhàng mùi dễ chịu cả
4. Serum novage collagen của oriflame và serum dòng dưỡng ẩm của pure beau essence. (Theo thể trạng của serum thì mh dùng pure trc novage sau). Đều thấm nhanh. Cái pure dùng xong kiểu hơi căng da sao sao á. Novage collagen thì dùng xong da mềm mại. Hai cái này mh dùng sáng tối cả.
5. Kem dưỡng ẩm dòng honey milk của oriflame. Cái này có dòng ngày và đêm. Nhưng vì da mh khô nên mh thích dùng kem đêm hơn (dạng cream, ban ngày dạng lotion). Thấm nhanh. 
6. Dưỡng môi thì mua vô vàn loại nhưng thích mỗi kiss me tonight của phisolophy. 
7. Kem chống nắng cell bản nâng tone. Nhưng dùng xong vẫn thấy hơi khô da. 🤔 Ai biết dòng nào da khô dùng ổn hơn bày mh với.
Hiện trạng da mh k kem chống nắng. Chỉ quẹt tí son nhìn cho đỡ nhợt nhạt 😂</t>
  </si>
  <si>
    <t>2019-09-24 04:55:15</t>
  </si>
  <si>
    <t>Bùi Trần Quỳnh Anh</t>
  </si>
  <si>
    <t>100003691673258</t>
  </si>
  <si>
    <t>#hoidap
#mundauden. 
Mọi người cho em hỏi mask nào giảm mụn đầu đen ạ , trên mũi bị miết thôi , nặn phát là thâm tè le 😭
Ad duyệt cho em với ạ.</t>
  </si>
  <si>
    <t>2019-11-21 15:12:21</t>
  </si>
  <si>
    <t>Duong Trinh</t>
  </si>
  <si>
    <t>100029981113592</t>
  </si>
  <si>
    <t xml:space="preserve">#mundauden #hoidap </t>
  </si>
  <si>
    <t>Hu2 cơ địa Da e xấu dã man 😞 nhiều lúc tự ti lắm 
bị lên mụn mặt cho đến lưng ngực ,da cũng ko trắng n loang lổ cả ng ko đều 😞 
Kèm theo đó là cả thâm
Giờ em không biết làm thế nào để khắc phục trình trạng này
Mong anh chị trong nhóm chia sẻ kinh nghiệm em với ạ
Em xin chân thành cảm ơn !</t>
  </si>
  <si>
    <t>2019-12-22 22:11:56</t>
  </si>
  <si>
    <t>Suri Nguyen</t>
  </si>
  <si>
    <t>100042449539472</t>
  </si>
  <si>
    <t>#tuvan
Anh chị em trong group có ai làm tiểu phẫu cắt lợi chưa, có đau có đẹp không, bao nhiêu tiền cho em xin ít review với ạ? Răng của em khi cười bị hở lợi tuy không nhiều nhưng hơi mất thẩm mỹ nên em muốn tham khảo thực hiện phương pháp này ạ 😭🙁</t>
  </si>
  <si>
    <t>2019-11-07 00:38:30</t>
  </si>
  <si>
    <t>Vân Mai</t>
  </si>
  <si>
    <t>100037629338346</t>
  </si>
  <si>
    <t>Hôm qua em mới đi spa nặn mụn về nhưng giờ trên mặt hiện nhiều mụn mà trắng trắng kiểu mủ ấy ạ
Hqa về em chỉ dùng nước muối sinh lý để rửa mặt và sáng nay cũng vậy
Nhưng trong lúc mà đi nặn mụn xong thì chị trong spa có thoa lên mặt em serum thảo mộc gì ấy ạ, lần trc em đi thì không có thoa lên
Thoa xong chị ấy bảo về xin mẹ mua bình này với giá là 500k.
Em mới 17 tuổi và đang trong giai đoạn dậy thì mọi người cho em xin ý kiến với ạ
Em stress quá nên hôm nay xin nghỉ học vì sợ ra đường quá đây ạ.
#nanmun</t>
  </si>
  <si>
    <t>2019-11-04 05:49:05</t>
  </si>
  <si>
    <t>Minh Đức</t>
  </si>
  <si>
    <t>100025719850459</t>
  </si>
  <si>
    <t xml:space="preserve">#nanmun </t>
  </si>
  <si>
    <t>#ask #kemmat
Mọi người ơi đây là ảnh chụp cận mắt khi cười của mình. Năm nay mình mới 23 thôi mà có khác gì 42 ko huhu 😭😭😭
Mình nghĩ do đi đường xa nắng gắt không đeo kính râm (mình hay chạy xe máy về quê) nên mình hay nheo mắt trong thời gian dài. Ngoài ra thì không chăm chút dưỡng mắt gì cả.
Mọi người có dùng loại kem mắt nào giảm nhăn và bọng tốt không ạ?</t>
  </si>
  <si>
    <t>2019-06-08 04:11:48</t>
  </si>
  <si>
    <t>Lê Thị Vương Quỳnh</t>
  </si>
  <si>
    <t>100007954178660</t>
  </si>
  <si>
    <t xml:space="preserve">#kemmat #ask </t>
  </si>
  <si>
    <t>Góc tham khảo
💓💓💓
Với khuôn mặt này nên để kiểu tóc nào thì hợp đây mọi người, tất bật lâu nay cũng kg quan tâm đến gương mặt giờ nhìn lại kg còn như xưa rồi</t>
  </si>
  <si>
    <t>2019-12-15 11:25:36</t>
  </si>
  <si>
    <t xml:space="preserve">Mọi người cho em xin một chút review về nước hoa với ạ
em không chuộng nước hoa lắm vì trước đây em có mua 1 lọ nhưng mùi nó nặng nên em ngưng dùng
Em muốn tìm một loại nước hoa bánh bèo ngọt ngào chút ạ, giữ hương lâu càng tốt :(( 
</t>
  </si>
  <si>
    <t>2019-10-29 01:21:42</t>
  </si>
  <si>
    <t>Diệp Nhung</t>
  </si>
  <si>
    <t>100041094484397</t>
  </si>
  <si>
    <t xml:space="preserve">
#help
500 chị e ai biết cách sao cho hết mấy đốm đốm này chỉ giúp em với đi ạ 😭😭?
E nge nói sau này nó có hết đỏ nó vẫn bị đốm 😖😖😖 Chân đã xấu lắm rồi 😵
E đang bôi dầu dừa mà e sợ nó ko ăn thua</t>
  </si>
  <si>
    <t>2019-12-11 13:21:15</t>
  </si>
  <si>
    <t>Quyên Nguyễn</t>
  </si>
  <si>
    <t>100003995090100</t>
  </si>
  <si>
    <t>#trịnám #help 😭
Chả là mẹ em bị nám , nám nhiều luôn ạ 😭. Trc nó còn mờ ,giờ có tuổi rồi nên nhìn n rõ lắm luôn ạ . Mà ở quê em ko có chỗ nào bán mĩ phẩm hay gì để trị nám cả ,toàn bán mấy loại kem trộn ko . Ngửi đã sợ chứ đừng nói là dùng. Nhìn mẹ buồn cũng xót lắm ạ  .
Thế nên em đăng bài này mong mọi ng có ai biết sản phẩm nào trị nám tốt hoặc có cách nào trị nám bày cho em với ạ . Em cảm ơn mọi ng nhiều ❤
Mong đc ad up cho em ạ . 😭😭</t>
  </si>
  <si>
    <t>2019-08-08 09:30:25</t>
  </si>
  <si>
    <t>Trịnh Thu Minh</t>
  </si>
  <si>
    <t>100010297243334</t>
  </si>
  <si>
    <t xml:space="preserve">#help #trịnám </t>
  </si>
  <si>
    <t>Mong ad duyệt bài ạ. Chuyện là thế này ạ da tay da chân em thì trắng mà e mới 21t thôi ạ chưa sinh con ạ. Mà không biết sao da em nó không đều màu ví dụ da tay da chân trắng mà bụng với lưng lại đen e tự ti chưa bao giờ dám mặc áo hở chán lắm ạ. Có ai có cách nào chỉ giúp em vs ạ. Nên dùng loại body nào hoặc tắm trắng không ạ</t>
  </si>
  <si>
    <t>2019-12-13 00:51:00</t>
  </si>
  <si>
    <t>Tu Ly</t>
  </si>
  <si>
    <t>100006868008181</t>
  </si>
  <si>
    <t xml:space="preserve">
#lochanlongtokinhkhung
Lỗ chân lông em nhìn như cái lỗ đen vũ trụ ấy, chán quá các bác ạ, tự ti khinh khủng. Vì làn da trâu này đã đánh mất biết bao nhiêu cơ hội trong cuộc đời rồi... 
Em xin tips se khít lcl với ạ. E trước giờ chưa từng bôi kem dưỡng trắng hay j lên mặt cả, nên ko có tí kinh nghiệm nào 😣😣</t>
  </si>
  <si>
    <t>2019-12-01 00:09:55</t>
  </si>
  <si>
    <t>NT Thanh Tthúy</t>
  </si>
  <si>
    <t>100005208123774</t>
  </si>
  <si>
    <t xml:space="preserve">#lochanlongtokinhkhung </t>
  </si>
  <si>
    <t>Mn ơi cho em hỏi là làm cách nào để lổ chân lông nhỏ lại ạ, em thử lăn đá rồi nhưng ko có tác dụng gì hết... :((((
* đừng ai để ý mấy vết trày của em ạ :)))
 #HELP #dadau</t>
  </si>
  <si>
    <t>2019-12-10 11:47:32</t>
  </si>
  <si>
    <t>Huỳnh Phương</t>
  </si>
  <si>
    <t>100021787431518</t>
  </si>
  <si>
    <t xml:space="preserve">#dadau #HELP  </t>
  </si>
  <si>
    <t>#help
Mọi người giúp em với huhu. Chẳng biết bị gì mà 2 bên mép miệng của em nó bị thâm mà cứ sần sùi, rờ lên thấy cứng cứng. Mỗi lần cười bành miệng ra là y như muốn đứt môi luôn ý ạ, nó vừa rát vừa khó chịu. Mọi người giúo em tìm cách trị với ạ chứ tự ti lắm ạ thoa son mà nó cứ thâm sì 2 bên mép😭
Xin lỗi vì em dùng aclon vì trong đây em thấy nhiều người quen quá hic
Mong ad duyệt giúp em với ạ. Em cảm ơn trước</t>
  </si>
  <si>
    <t>2019-12-22 05:11:01</t>
  </si>
  <si>
    <t>Tạ Lan</t>
  </si>
  <si>
    <t>100045163925260</t>
  </si>
  <si>
    <t>Mọi người ơi cho em hỏi da em dạo này có hiện tượng lên vài nốt nám nhìn gần thấy rõ dùng gì để triệt đi không ạ em năm nay mới 18 thoii làm em mất tự tin hẳn 😭em  cảm ơn ạ</t>
  </si>
  <si>
    <t>2019-12-05 03:23:49</t>
  </si>
  <si>
    <t>Vi Thị Kim Oanh</t>
  </si>
  <si>
    <t>100024739823560</t>
  </si>
  <si>
    <t>Mong ad duyệt bài của em ạ :((
Mọi người nào có cách tăng cân an toàn và hiệu quả không ạ? Khoảng nửa năm gần đây, em vẫn sinh hoạt bình thường nhưng do em bị chán ăn nên sụt cân khá nhiều, chỉ mới nửa năm mà em sụt mất 10 cân :((( Cân nặng lúc trước của em là 55kg, giờ thì chỉ còn 45kg thôi ạ. Em rất muốn mình tròn trịa lại một xíu, vừa để đảm bảo sức khỏe, vừa nhìn cho bớt gầy gò hơn í ạ :((
#tangcan</t>
  </si>
  <si>
    <t>2019-11-23 14:06:35</t>
  </si>
  <si>
    <t>Nguyễn Nga</t>
  </si>
  <si>
    <t>100042757392268</t>
  </si>
  <si>
    <t xml:space="preserve">#tangcan </t>
  </si>
  <si>
    <t>Giúp e với ạ.. mỗi lần ngủ dậy mà e lấy tay dụi mắt dù dụi nhẹ hay mạnh là nó sưng lên như thế này, không biết có chị nào bị giống e k ạ. 
Giúp e làm giảm sưng với chứ ở ngoài nhìn còn ghê hơn trong hình ạ.. với lại chị nào biết về trường hợp này chỉ giúp e làm sao cho vùng da mắt đó khoẻ hơn để lỡ e có dụi nó k bị sưng ạ!
Em cảm ơn ạ!</t>
  </si>
  <si>
    <t>2019-12-25 12:22:44</t>
  </si>
  <si>
    <t>Hy Lười</t>
  </si>
  <si>
    <t>100024012276987</t>
  </si>
  <si>
    <t>chào mọi người, em năm nay 17 tuổi, gần đây em thấy trí nhớ và tư duy của em giảm một cách không phanh. Năm trước em có bị bệnh và dùng kháng sinh nặng suốt hơn 1 tuần, em cảm thấy từ lúc ấy trí nhớ em bị giảm rất nhanh. Mọi người có ai biết thuốc hay có cách nào giúp tăng trí nhớ không ạ ?
Thật sự sắp thi THPTQG nên em rất lo . Mong mọi người giúp em với ạ 
#Tưvấn_đẹpchanhsả</t>
  </si>
  <si>
    <t>2019-11-25 12:45:15</t>
  </si>
  <si>
    <t>Đinh Thu Hiền</t>
  </si>
  <si>
    <t>100012254508752</t>
  </si>
  <si>
    <t xml:space="preserve">#Tưvấn_đẹpchanhsả </t>
  </si>
  <si>
    <t>E bị mụn ẩn với da dầu quanh năm còn hay bị đỏ nữa
Bh làm sao để đỡ được ạ
M.n chỉ e với
Thanks</t>
  </si>
  <si>
    <t>2019-12-14 13:24:55</t>
  </si>
  <si>
    <t>Trà Ngô</t>
  </si>
  <si>
    <t>100014090444764</t>
  </si>
  <si>
    <t>Mong ad duyệt bài 
Cho e hỏi lên thuỷ đậu thì phòng như nào để k bị sẹo ạ</t>
  </si>
  <si>
    <t>2019-11-16 09:15:23</t>
  </si>
  <si>
    <t>Vàng Bạc Hùng Hương</t>
  </si>
  <si>
    <t>100028108534604</t>
  </si>
  <si>
    <t>Netflix vừa ra mắt series Broken, phim tài liệu điều tra về những nguy hiểm tiềm tàng mà chủ nghĩa tiêu dùng gián tiếp mang lại. Cảnh này trong tập đầu Makeup Mayhem nói về nạn làm mỹ phẩm giả, coi xong chắc chị em quéo luôn, ở nhà băm củ dền ra quẹt cho an toàn :)
Cơ bản kinh doanh hàng giả lợi nhuận cao hơn mai thúy, bởi thế giới chắc 5-10% người phê pha, còn lại 90% dân số đương nhiên "nghiện" mỹ phẩm, đồ có thương hiệu. Nếu bạn bị bắt vì bán hàng giả mức phạt cũng không cao so với lợi nhuận thu được. Đó là gian thương bán lẻ, còn đám làm hàng giả tận gốc ở tung của thì đó là câu chuyện phức tạp khác phải để chính quyền bên đó giải quyết. Còn mớ hàng giả cập bến tới Mỹ? Chỉ 1% số hàng trong ngày được kiểm tra tận tay, test thành phần trong phòng lab, và với tình hình làm giả hiện nay, dù tỷ lệ nâng lên 25% cũng như muối bỏ bể.
Series có 4 tập nói về mỹ phẩm, vape, nội thất và đồ nhựa dùng 1 lần.
Cre: Phương Phương</t>
  </si>
  <si>
    <t>2019-12-03 10:44:22</t>
  </si>
  <si>
    <t>các cao nhân đã có ai xài qua cả 2 máy yaman t10 và pro t10 luôn chưa ạ? sao e thấy độ rung của t10 nó mạnh hơn dong pro ấy ạ . Các cao nhân chỉ giáo giúp e chút và bước dưỡng thì nên chạy sau bước thoa serum hay chạy trên mask giấy vậy ạ ? xin ad duyệt bài giúp e ạ ,e xin cảm ơn !</t>
  </si>
  <si>
    <t>2019-11-15 23:25:01</t>
  </si>
  <si>
    <t>Mỹ Duyên</t>
  </si>
  <si>
    <t>100003823642830</t>
  </si>
  <si>
    <t>Cà khịa một chút thì vui 
Cà khịa nhiều chút thì vui vlone :)) 
#j4f</t>
  </si>
  <si>
    <t>2019-12-10 06:05:28</t>
  </si>
  <si>
    <t>Phương Thanh</t>
  </si>
  <si>
    <t>100009174919349</t>
  </si>
  <si>
    <t xml:space="preserve">#j4f </t>
  </si>
  <si>
    <t xml:space="preserve">Nhờ ad duyệt bài dùm 
Chuyện là mấy tuần trước té xe đi cà thọt hơn tuần lê lếch khổ sở tưởng tróc ra là lành rồi nên ăn cả ký tôm và lẩu cua😭 giờ nó nổi lên ngứa kinh thiên phải uống thuốc uống nhưng vẫn ko hết cả chổ này và cả đồi gối huhu😥 
#triseotham
</t>
  </si>
  <si>
    <t>2019-12-25 12:24:16</t>
  </si>
  <si>
    <t>Diễm Trương</t>
  </si>
  <si>
    <t>100006622775178</t>
  </si>
  <si>
    <t xml:space="preserve"> #triseotham </t>
  </si>
  <si>
    <t>#ask #nutgotchan
Em bị nứt gót chân lâu năm rồi nhưng dùng cái gì cũng k đỡ từ ngâm chân đến dùng vaseline rồi dùng cả thuốc tây để bôi mà không xi nhê gì. Em cũng làm theo cách của mn bảo là đeo tất thì đỡ mà cũng k thấy đỡ gì cả :(( 
Anh chị có thể cho em 1 vài cách trị nó không :(( chứ đeo guốc hở gót hay sandal thực sự cảm thấy tự ti lắm luôn ý 😭</t>
  </si>
  <si>
    <t>2019-06-09 09:51:28</t>
  </si>
  <si>
    <t>Ph Phương</t>
  </si>
  <si>
    <t>100036046655860</t>
  </si>
  <si>
    <t xml:space="preserve">#nutgotchan #ask </t>
  </si>
  <si>
    <t>#xintuvan
Mọi người ơi cứu mình với
Da mình nhìn chung khá ổn,tuy nhiên ở gan bàn chân lại có 1 cục chai rất to ạ 😭
Bình thường thì không sao nhưng lâu lâu nó lại ụ ụ lên,đi lại đau chân lắm 😣
Có ai đã bị mà trị được ko ạ? Chỉ mình với.
Mình cám ơn ạ!</t>
  </si>
  <si>
    <t>2019-11-17 07:57:04</t>
  </si>
  <si>
    <t>Thiên Thảo</t>
  </si>
  <si>
    <t>100003287668655</t>
  </si>
  <si>
    <t xml:space="preserve">#xintuvan </t>
  </si>
  <si>
    <t>#Cậnthi 
#Loạnthi 
Mn có ai bị cận và cả loạn không ạ ? Em vừa cận vừa loạn . Có ai bị vậy mà hay nhức mỏi mắt không mn ? Và loạn thì có ảnh hưởng gì về sau và cách giúp hạn chế loạn mắt ntn ạ ? Huhu mắt cứ mỏi và chỉ muốn nhắm mắt ngủ suốt cho khoẻ thôi 😭😢</t>
  </si>
  <si>
    <t>2019-11-23 12:18:37</t>
  </si>
  <si>
    <t>黎芳蘭</t>
  </si>
  <si>
    <t>100037745658663</t>
  </si>
  <si>
    <t xml:space="preserve">#Loạnthi #Cậnthi </t>
  </si>
  <si>
    <t>#ask #moi 
Môi em bị thâm môi trên. Thâm dã man mặc dù em ít đánh son lắm ạ. Vậy còn lên màu không chuẩn 😭. Màu em đánh là đỏ cherry. Đánh hồi nó ra màu hồng 😢. Em không biết làm sao hết ạ. Mà môi trên của em rất khó ăn son luôn. Mỗi lần son môi với em là 1 cực hình vì phải dùng tay chét chét môi trên chứ bặm môi nó không đều chỗ có chỗ không trông kinh dã man 😭😭. Giúp em với mấy chị ơi 😭. Em cảm ơn. 
P/s: cho em hỏi da ngâm nên dùng son màu gì ạ ?</t>
  </si>
  <si>
    <t>2019-11-30 12:42:58</t>
  </si>
  <si>
    <t>Hà Ngân</t>
  </si>
  <si>
    <t>100027503046253</t>
  </si>
  <si>
    <t xml:space="preserve">#moi #ask </t>
  </si>
  <si>
    <t>Mng ơi lại là em đây, mng cho em cách trị mụn này với ạ. :( Thật sự thì em rât tự ti khi có làn da như thế này ạ :( hic
Hiện tại em đang dùng hạt đình lịch và sữa rửa mặt cetaphil thôi ạ. 
Em cảm ơn mng. &lt;3
#mun</t>
  </si>
  <si>
    <t>2019-11-17 13:13:50</t>
  </si>
  <si>
    <t>Tuệ Lâm</t>
  </si>
  <si>
    <t>100031067418375</t>
  </si>
  <si>
    <t xml:space="preserve">#mun </t>
  </si>
  <si>
    <t>#trịsẹo #depchanhsả
 Chào các chị. Cách đây vài tháng thì em có bị bỏng do em hậu đậu và kết quả là bị sẹo như thấy này đây ạ. Các chị có biết thuốc nào trị sẹo hay thì chỉ em với ạ 😞 Chứ em tự ti không dám diện đồ ngắn luôn ạ. Em cám ơn các chị nhiều!
Mong ad duyệt bài giúp em ạ. Em cám ơn😘</t>
  </si>
  <si>
    <t>2019-12-20 22:17:03</t>
  </si>
  <si>
    <t>Amy Lee</t>
  </si>
  <si>
    <t>100042704645773</t>
  </si>
  <si>
    <t xml:space="preserve">#depchanhsả #trịsẹo </t>
  </si>
  <si>
    <t>Không biết đúng nội quy k nên e đăng lại. 
#help#
#Đẹp #chanhsả 
Đây là da mặt mình. Sáng mà nhìn cái mặt là buồn lắm. Cảm giác mỗi cái lông là 1 mụt mụn đầu đen.
Đi đâu củng phải thoa lớp kem mới dám ra đường.
 K biết nên xài gì uống gi bổ sung cho nó ổn.</t>
  </si>
  <si>
    <t>2019-12-11 06:58:30</t>
  </si>
  <si>
    <t>Kim Vu</t>
  </si>
  <si>
    <t>100035909161409</t>
  </si>
  <si>
    <t xml:space="preserve">#chanhsả #Đẹp #help </t>
  </si>
  <si>
    <t>Chào mn, mn ơi cho em hỏi da em trc giờ ko dùng mỹ phẫm khi dung vào cảm giác khó chịu kiểu như dị ứng vậy á . Da em dầu, bị sạm , mụn ẩn nhưng mọc rất ít da hơi thâm , có ít tàn nhang. Em cung co tham khao 1 so dưỡng ẩm, sưa rửa mặt, toner nhưng khi dùng thấy rát , kiểu như không hợp. Em chưa rành các bước skincare , mong mn giúp đỡ ạ! Tks ad duyệt bài ạ! Đây là ảnh da em hiện tại ạ!</t>
  </si>
  <si>
    <t>2019-12-13 16:29:24</t>
  </si>
  <si>
    <t>The Muse</t>
  </si>
  <si>
    <t>100006795431625</t>
  </si>
  <si>
    <t>🤪 Chị em toàn quốc ơi ! Em đi chơi chụp hình thấy cái mặt trong hình nọng cằm ko à, bình thường e ko để ý tới, giờ thấy hết hồn, nhìn đâu cũng ra 2 cái cằm luôn mà em thì không hề mập, có biện pháp nào để giảm nọng cằm hiệu quả không chị em, các phương pháp trong spa thẩm mĩ viện cũng được ạ, chị em nào đã từng làm cho em xin kinh nghiệm nha ❤</t>
  </si>
  <si>
    <t>2019-12-24 05:45:14</t>
  </si>
  <si>
    <t>Nguyễn Daisy</t>
  </si>
  <si>
    <t>100043926611712</t>
  </si>
  <si>
    <t>Hội mình có ai biết làm thế nào hết thâm nách ,hôi nách không ạ.
Chỉ em với
Sinh xong cái nách vừa thâm,vừa hôi nữa không thể yêu thương dk
Tết nhất đến nơi rồi mà cứ ntn k dám ra đường mất
Có ai giống em không 
Hãy nói em không cô đơn đi 
Mong ad duyệt bài</t>
  </si>
  <si>
    <t>2019-12-19 10:24:45</t>
  </si>
  <si>
    <t>Linh Đan</t>
  </si>
  <si>
    <t>100028075002114</t>
  </si>
  <si>
    <t>#helpme
Do tăng cân quá đà nên bụng dưới to và rạn cả da bắp chân và đùi...
Chị nào có cách giảm cân hiệu quả và trị rạn tốt cho em tham khảo với ạ!
Em stress nặng nề vì béo rồi ạ! 😣😣</t>
  </si>
  <si>
    <t>2019-11-01 01:15:21</t>
  </si>
  <si>
    <t>Hà Vũ Hà</t>
  </si>
  <si>
    <t>100012684462205</t>
  </si>
  <si>
    <t xml:space="preserve"> #ask
Mọi người cho em hỏi có ai uốn saffron mà bị nổi mụn như em không ạ. Mất ngủ mua uống mà lên mụn xì choét mất ngủ thêm hâu hâu. Cảm ơn mọi người ạ!</t>
  </si>
  <si>
    <t>2019-06-22 08:12:16</t>
  </si>
  <si>
    <t>Nhu Tran</t>
  </si>
  <si>
    <t>100000566758081</t>
  </si>
  <si>
    <t>Trong hội đã lâu hôm nay mới đăng bài 
Mọi ng chi m hỏi hai loại này công dụng của nó là j vậy ạ</t>
  </si>
  <si>
    <t>2019-12-12 04:51:02</t>
  </si>
  <si>
    <t>Đông Trùng Hạ Thảo</t>
  </si>
  <si>
    <t>100039716092038</t>
  </si>
  <si>
    <t xml:space="preserve">Mọi người ơi, cho em hỏi nếu make up nhẹ và cơ bản thì mình cần mua những sản phẩm make up nào ạ (nếu được mọi người tư vấn em những sản phẩm giá sinh viên nha ạ :&lt;) ??? Cảm ơn ad và mọi người nhiều ạ ❤❤❤
#help </t>
  </si>
  <si>
    <t>2019-10-22 11:58:52</t>
  </si>
  <si>
    <t>An Di</t>
  </si>
  <si>
    <t>100037169468025</t>
  </si>
  <si>
    <t xml:space="preserve">
#son
#dangam
Các chị/em tư vấn giúp mình về màu son cho da ngăm vs ạ. Mình đang dùng a15 black rouge và nghiền em này. Kb các dòng son khác có màu nào tương tự em này k ạ?</t>
  </si>
  <si>
    <t>2019-08-06 09:01:33</t>
  </si>
  <si>
    <t>진서성</t>
  </si>
  <si>
    <t>100022136763386</t>
  </si>
  <si>
    <t xml:space="preserve">#dangam #son  </t>
  </si>
  <si>
    <t>Cả nhà ơi, em bị như thế này đã lâu lắm rồi. Em đi khám thì bs nói là bị dày sừng nang lông, có thuốc nhưng phải bôi suốt luôn không được bỏ. Liệu mình có thể dùng bha hay gì được không ạ? :(( Tết nhất đến nơi rồi cả mặt chỉ có hai bên má này là có vấn đề thôi :(((</t>
  </si>
  <si>
    <t>2019-12-16 08:47:39</t>
  </si>
  <si>
    <t>Nguyễn Trang Nhung</t>
  </si>
  <si>
    <t>100007170163767</t>
  </si>
  <si>
    <t>#ask
#toner
Da em thuộc da hh dầu, lcl to, có mụn đầu đen
Em muốn tìm 1 loại toner cho phù hợp, em có nghía qua đc mấy em. Tình yêu nào dùng rồi cho em xin review ạ
Em cảm ơn
Love all ❤</t>
  </si>
  <si>
    <t>2019-08-12 01:27:47</t>
  </si>
  <si>
    <t>Nhã Trúc Nguyễn Hoàng</t>
  </si>
  <si>
    <t>100017725955417</t>
  </si>
  <si>
    <t xml:space="preserve">#toner #ask </t>
  </si>
  <si>
    <t>Mấy chị có cách nào để cho vòng 1 nhỏ lại đc không ạ 😢
Em năm nay 15 tuổi nhưng vòng 1 to tới 94cm
E muốn mặc đầm hay mấy cái áo ôm lắm nhưng ngực lại to nên chả bao giờ vừa đc với lại đi đâu cũng bị soi :(((
Mặc đồng phục đi học thì ngực to nhìn em cực béo luôn:(
Cho e xin tip để vòng 1 nhỏ lại với ạ :(((</t>
  </si>
  <si>
    <t>2019-12-03 08:16:55</t>
  </si>
  <si>
    <t>Hương Zang</t>
  </si>
  <si>
    <t>100014012059260</t>
  </si>
  <si>
    <t>#ask #tocuon #tocxu
Tình hình là e mới đi uốn hôm chủ nhật ạ. E k nghe thợ tư vấn mà chọn ngay kiểu tóc uốn sóng siêu xinh mà sau khi lên đầu e lại thành thế này. E cũng thử cuốn lô mà tóc vẫn k vào nếp đc. E muốn duỗi ra mà sợ làm hóa chất sát nhau quá tiêu cái đầu e luôn. Có ai từng bị giống e cho e lời khuyên vs ạ</t>
  </si>
  <si>
    <t>2019-08-22 00:00:25</t>
  </si>
  <si>
    <t>Vũ Phương Thảo</t>
  </si>
  <si>
    <t>100004164844766</t>
  </si>
  <si>
    <t xml:space="preserve">#tocxu #tocuon #ask </t>
  </si>
  <si>
    <t xml:space="preserve">
#trietlong
Câu chuyện huyền thoại về lông chân..  cạo rồi cũng lên.. tẩy cũng lên..chà chanh gì gì các kiểu rồi nó cũng lên..  lên ngày càng nhiều 😕
Mọi người ơi có cách nào giúp mình loại mớ lông này hông..  chứ cũng thích đầm váy giống cgái nhà ngta lắm..  mà lông chân nhiều quá hổng dám mặc..  mn biết cách gì giúp mình với 
Mong ad duyệt 
Cảm ơn nhiều nhiều 😘</t>
  </si>
  <si>
    <t>2019-10-24 03:49:54</t>
  </si>
  <si>
    <t>Lê Mi Mi</t>
  </si>
  <si>
    <t>100022294037283</t>
  </si>
  <si>
    <t xml:space="preserve">#trietlong </t>
  </si>
  <si>
    <t>#ask 
Chào mn ạ, e năm nay 18t, da mặt bị mụn đc 2-3 năm rồi, cứ hết lại lên chưa bao h ngưng ạ! Mùa đông này em còn bị khô 2 bên mép và cánh mũi, dù đã bôi kem dưỡng ẩm rồi nhưng vẫn bị khô lại sau 2p, mn cho e xin lời khuyên và quy trình skincare với ạ! E cảm ơn!</t>
  </si>
  <si>
    <t>2019-12-07 02:48:26</t>
  </si>
  <si>
    <t>Myha Nguyễn</t>
  </si>
  <si>
    <t>100009223805477</t>
  </si>
  <si>
    <t>Kiểu Tây Tây này đẹp tóa
#Makeup</t>
  </si>
  <si>
    <t>2019-12-03 02:33:08</t>
  </si>
  <si>
    <t xml:space="preserve">
Tự nhiên 1 buổi sáng ngủ dậy mép môi em bị khô, tróc da ￼xong rồi thâm ntn 😭😭 bị hơn cả tuần rồi chưa hết 😭😭 mọi người biết cách gì chỉ em với ạ em cảm ơn mọi ng 💕💕
e cảm ơn ad đã duyệt bài ❤️</t>
  </si>
  <si>
    <t>2019-12-20 06:07:04</t>
  </si>
  <si>
    <t>Phạm Thảo</t>
  </si>
  <si>
    <t>100004500433909</t>
  </si>
  <si>
    <t xml:space="preserve">
#thammat
#help
Mọi người cho em hỏi cách trị quầng thâm mắt với ạ, người ta chỉ bị có mí mắt dưới còn em bị hết nguyên mắt luôn ạ 😔</t>
  </si>
  <si>
    <t>2019-12-02 11:13:07</t>
  </si>
  <si>
    <t>Uyên Uyên</t>
  </si>
  <si>
    <t>100033579010532</t>
  </si>
  <si>
    <t xml:space="preserve">#help #thammat </t>
  </si>
  <si>
    <t>#ask #laneige
Em vừa mua lọ mặt nạ ngủ mini này. Mn xem giúp em đây là fake hay auth vậy ạ? Em có cạo chữ nhưng không ra và mùi dâu thơm ạ nhưng cũng không yên tâm lắm. Mong mn xem giúp em với. Em cảm ơn ạ.</t>
  </si>
  <si>
    <t>2019-11-23 08:26:00</t>
  </si>
  <si>
    <t>Thảo Uyên</t>
  </si>
  <si>
    <t>100009133011962</t>
  </si>
  <si>
    <t xml:space="preserve">#laneige #ask </t>
  </si>
  <si>
    <t xml:space="preserve"> #KCN #Dadau #Help
Mng ơii tư vấn giúp em loại kem chống nắng drugstore cho da dầu giá hs với ạ :((( em băn khoăn nhiều loại quá ạ. Em cảm ơn mng ❤</t>
  </si>
  <si>
    <t>2019-07-03 06:51:32</t>
  </si>
  <si>
    <t>Nguyễn Tâm</t>
  </si>
  <si>
    <t>100018567610629</t>
  </si>
  <si>
    <t xml:space="preserve">#Help #Dadau #KCN  </t>
  </si>
  <si>
    <t>Chao cả nhà 👌👌👌
Da e hh nhạy cảm dễ dị ứng
e bị dính thuốc bắc và kem trộn bị mụn nhiều quá e vừa trị mụn xong e muốn tìm sp giúp da khoẻ phục hồi da tốt ❤️
Mọi ng chỉ e với ạ 
#
#phụchoida</t>
  </si>
  <si>
    <t>2019-12-13 12:56:23</t>
  </si>
  <si>
    <t>Bùi Thị Mai</t>
  </si>
  <si>
    <t>100016416137169</t>
  </si>
  <si>
    <t xml:space="preserve">#phụchoida </t>
  </si>
  <si>
    <t>Mọi người cho e hỏi, mặt e bị như vậy cả hè lẫn đông luôn ạ, ngày nào cũng sần sần rồi cả vẩy li ti rồi nó thành sẹo đỏ đỏ như nẻ nhưng e bôi kem nẻ thấy k có tác dụng lắm. E nghĩ 1 phần do thiếu nước. Mọi người có ai biết nguyên nhân và cách khắc phục k ạ</t>
  </si>
  <si>
    <t>2019-12-02 13:17:12</t>
  </si>
  <si>
    <t>Phương Thảo</t>
  </si>
  <si>
    <t>100023566052461</t>
  </si>
  <si>
    <t>#ask  #help
Thời gian gần đây 2 vai và lưng e xuất hiện rất nhiều mụn và vài ngày đổ lại đây thì cổ em lên mụn ồ ạt ko kiểm soát dc luôn :((( da mặt e bị mụn đã đành với lại bị lâu r cũng k nói tới làm gì.. 
trước giờ thì da chân tay em rất ok k mụn gì hết chỉ thỉnh thoảng lên 1 2 nốt. Mn ơi!!! Ai biết cách nào trị k giúp em với!! E tuyệt vọng quá! Cái mặt đã nát rồi mà h body cũng bị nốt</t>
  </si>
  <si>
    <t>2019-12-19 23:25:12</t>
  </si>
  <si>
    <t>Nụ Nụ</t>
  </si>
  <si>
    <t>100023885025129</t>
  </si>
  <si>
    <t>Cho em xin phép đăng bài dùng acc clone ạ
Mọi người ơi tình trạng da em như này, sẹo lõm sẹo đỏ đỏ sẹo rỗ có 😞 em bị mụn từ lâu lắm rồi ạ nhưng do không biết cách skincare nên giờ để lại sẹo khá nhiều. Mọi người có cách nào hay biết sản phẩm nào trị được không ạ. Thực sự em đau khổ quá đi :((( huhu mọi người giúp em với nhé ạ em cảm ơn rất nhiều
Cảm ơn admin duyệt cho em nhé!
#mun #seoro #skincare</t>
  </si>
  <si>
    <t>2019-11-15 14:53:20</t>
  </si>
  <si>
    <t>杜豪淇韦</t>
  </si>
  <si>
    <t>100025415611087</t>
  </si>
  <si>
    <t xml:space="preserve">#skincare #seoro #mun </t>
  </si>
  <si>
    <t>“Ad duyệt hộ em với ạ”
Các chị cho em hỏi với da em loại da nhạy cảm-mỏng-da hơi khô ( vừa bị kích ứng do dùng Hada Labo không hợp , và em để dưỡng không xài gì được 2 tuần rồi ạ) mà thời tiết Hà Nội đang chuyển Đông thì em xài innistree 2 loại nào hợp hơn ạ hay innistree loại nào ạ. Hay các chị có loại nào tốt giới thiệu em với ạ</t>
  </si>
  <si>
    <t>2019-10-31 09:38:16</t>
  </si>
  <si>
    <t>BỨC XÚC DÙM BẠN THỚT NÀY LUÔN!!! 50tr có ít đâu. Mọi người ai có làm cái gì liên quan đến khuôn mặt thì lé chỗ này ra nhé!!! Nhìn c ấy thương quá 😭😭
Nguồn : Tâm sự dao kéo
Edit lại hình ảnh chân thật nhất về vụ Vân Tokyo cắt mắt hỏng cho khách, để mấy má vào bênh sáng mắt ra cái 💋
Các chị ơi, em chính là nạn nhân của con hot girl Vân Tokyo ạ, nó cắt mắt hỏng cho em, làm e giờ sống dở chết dở, các chị đã thấy ai đi pttm cắt mí mắt mà 10 tiếng chưa ạ, e chính là người bị con Vân Tokyo cắt mắt đến tận 10 tiếng đồng hồ với lý do “ cẩn thận tỉ mỉ thì mới đẹp được” . Nó chả bằng cấp gì, lại còn lôi e lên cái phòng spa mặt để cât mắt cho e nữa.😭 k phải e ham rẻ đâu các chị ạ, e cắt mắt bên gió giá gần 50tr đấy ạ, chỉ vì tin vào những lời quảng cáo của nó đấy các ạ. Giờ mắt e hỏng rồi, đi ngủ k khép được mí mắt lại, e đau khổ quá ạ.😭 Các chị em xem có chỗ nào uy tín giới thiệu e đi sửa được k ạ😭
Báo chí người ta còn đưa tin sự việc của e thì e k bao h dám bịa đặt hay vu khống cho nó được đâu ạ.
http://vietq.vn/van-tokyo-bi-khach-hang-to-lam-hong-mat-d164961.html
Rất mong được ad duyệt bài ạ
#bocphot
#pttm
#vantokyo</t>
  </si>
  <si>
    <t>2019-10-23 08:46:08</t>
  </si>
  <si>
    <t>SP Của Úc</t>
  </si>
  <si>
    <t>100008271634317</t>
  </si>
  <si>
    <t xml:space="preserve">#vantokyo #pttm #bocphot </t>
  </si>
  <si>
    <t xml:space="preserve"> #vungkin
Chuyện hơi tế nhị một chút ạ.
Vùng kín của em bên ngoài bị ngứa với cả có một lớp trắng trắng đóng lại như gàu ấy.
Như vậy có phải bị viêm k ạ? 
Vì em hơi ngại nên chưa dám đi khám 😭</t>
  </si>
  <si>
    <t>2019-12-23 03:40:27</t>
  </si>
  <si>
    <t>100040826830203</t>
  </si>
  <si>
    <t xml:space="preserve">#vungkin  </t>
  </si>
  <si>
    <t>Mn giúp em vs ạ! Mặt em đã hết mụn nhưng vết thâm thì nhiều trông khó coi. Em đã search mạng dùng chanh vs tỏi nhưng không kiên trì được lâu😔😔
Cám ơn ạ😁</t>
  </si>
  <si>
    <t>2019-12-15 07:57:36</t>
  </si>
  <si>
    <t>Duyên Vũ</t>
  </si>
  <si>
    <t>100015370806869</t>
  </si>
  <si>
    <t>#pad
Trong nhóm mình ai đã sử dụng miếng pad này thay vì máy rửa mặt chưa ạ? E thấy cũng nhiều b review tốt lắm. Cho e xin ít ý kiến với. E cũng muốn dùng mrm  cơ mà hiện tại điều kiện chưa cho phép.
Em cảm ơn ạ.</t>
  </si>
  <si>
    <t>2019-11-13 23:24:02</t>
  </si>
  <si>
    <t>Lã Hoàng Ngân</t>
  </si>
  <si>
    <t>100008072022891</t>
  </si>
  <si>
    <t xml:space="preserve">#pad </t>
  </si>
  <si>
    <t>Da em hiện tại đang như thế này.. e nên xài toner với dưỡng ẩm nào thì ok đây mng???
Với lại e nên chấm mụn của loại nào thì ổn vậy mng??? 
Ban đêm thì tẩy trang =&gt; srm =&gt; toner =&gt; dưỡng ẩm =&gt; chấm mụn đúng ko mng?
#help</t>
  </si>
  <si>
    <t>2019-12-17 13:10:55</t>
  </si>
  <si>
    <t>Phan Miri</t>
  </si>
  <si>
    <t>100016482721923</t>
  </si>
  <si>
    <t>#Ask 
Mọi người ơi mẹ em đó giờ sài kem trộn nhiều quá, thay đổi đủ thứ loại hết giờ bị phụ thuộc kem, buông kem là bị ngứa, khô da (mẹ em ngủ máy lạnh, bật quạt mẹ ngủ không được ) em kêu ngưng hết đi mà mẹ em chịu ko nổi nên đi mua hộp kem mới gửi em xem mà em tức á. Giờ em phải làm sao đây mọi người ? Em có kêu mẹ xông mặt nhưng những lúc không xông là nó khô vs ngứa tiếp. Chỗ em ko có da liễu. Giờ có sài dưỡng ẩm được ko ạ? Giờ em nên cho mẹ sp nào đây mng 😭😭 mong ad duyệt ạ!!!</t>
  </si>
  <si>
    <t>2019-12-24 13:18:58</t>
  </si>
  <si>
    <t>Đậu Đậu</t>
  </si>
  <si>
    <t>100033495666999</t>
  </si>
  <si>
    <t>Sắp tết rồi mà em stress về cái mặt em quá 😢 Các chị em thông thái chỉ giúp e cách nào giảm đỡ mụn với.
E da dầu, mụn ẩn. Sau khi đổi sang dùng srm, chấm mụn Duo+, xịt khoáng của La roche được mấy hôm mặt e bị rát, bỏng đỏ hai bên má. Duo+ e bôi một lớp mỏng chỗ có mụn thôi chứ k có bôi nhiều
Hiện tại mụn nổi nhiều gấp đôi gấp ba so với mọi ngày. 
E hãi quá tối nay chỉ dám dùng srm+tone k thôi mà cũng ngứa phát điên rồi ấy 😭
Các sản phẩm e đang dùng:
TT: Bioderma
Srm: La roche
Tone: Natural diếp cá
Chấm mụn Duo+
Xịt khoáng La roche
Mong AĐM duyệt bài giúp e với ạ, e có nhiều người quen trong đây nên phải dùng ních ảo.</t>
  </si>
  <si>
    <t>2019-11-26 02:17:01</t>
  </si>
  <si>
    <t>Pjh Ntla</t>
  </si>
  <si>
    <t>100041129569883</t>
  </si>
  <si>
    <t>Có ai dùng dòng romand see through matte tint mà bị bay lông cọ giống em chưa =))))) khổ là em cực thích chất son này vì màu đẹp , đánh lên cực mướt và mịn môi , không bị khô và lâu trôi nhưng cái cọ nó fail quá :)) lúc đầu mua thỏi thứ 1 về dùng được gần 2,3 tuần thì em thấy hiện tượng bị bung cọ , cứ nghĩ chắc do dùng phá nên nth . Cho đến khi mua thỏi thứ 2 dùng vs giữ rất cẩn thận mà 1 tgian lại bị bung cọ :))))) khổ tâm lắm luôn :&lt;&lt;&lt;&lt; hay là tại do thiết kế đầu cọ dẹt nên nó mới nth nhỉ :???</t>
  </si>
  <si>
    <t>2019-12-09 14:38:34</t>
  </si>
  <si>
    <t>Yến Nhi</t>
  </si>
  <si>
    <t>100010099631304</t>
  </si>
  <si>
    <t>#ask #trangrang #smilee
Chào mọi người. Chuyện là răng em không được trắng lắm và em đang định sử dụng sản phẩm của Smilee. Em còn đang hơi phân vân nên muốn hỏi ý kiến mọi người. Có ai đã và đang sử dụng cái này thì cho em xin tí nhận xét với. Hoặc recommend cho em các sản phẩm giúp trắng răng mà mọi người thấy hiệu quả cũng được. Cảm ơn ạ
Ad duyệt bài giúp em với..</t>
  </si>
  <si>
    <t>2019-06-07 03:45:42</t>
  </si>
  <si>
    <t>Thanh Nhàn</t>
  </si>
  <si>
    <t>100027961742875</t>
  </si>
  <si>
    <t xml:space="preserve">#smilee #trangrang #ask </t>
  </si>
  <si>
    <t>Chào cả nhà da em bị mụn em mới vừa đi da liễu uống thuốc và đã bớt nhưng 2 tháng nay thì bị lại, da em rất nhạy cảm em tính dùng cetapil và nước muối sinh lý. Mọi người có bí quyết gì chỉ giúp em với ạ. Em cảm ơn cả nhà</t>
  </si>
  <si>
    <t>2019-12-09 11:02:19</t>
  </si>
  <si>
    <t>Huỳnh Kiều Duyên</t>
  </si>
  <si>
    <t>100005699253991</t>
  </si>
  <si>
    <t>#wedding #bridal #ask
Các chị em xinh đẹp, trong đám cưới nên mang giày cao gót dáng như thế nào để thoải mái nhất ạ? Các chị có recommend mẫu váy hot hit nào cho cô dâu không, cho em tham khảo với. Em cảm ơn mọi người !
Edit: mình 1m6, 43kg; còn chồng 1m87 nên đang nghĩ phải đi giày khoảng 7-9p, mà không biết mang dáng nào cho thoải mái, với cả váy cũng đang phân vân quá, chị em cho tý ảnh tham khảo được không?</t>
  </si>
  <si>
    <t>2019-10-09 07:15:27</t>
  </si>
  <si>
    <t>Hoang Hoang</t>
  </si>
  <si>
    <t>100032610604673</t>
  </si>
  <si>
    <t xml:space="preserve">#ask #bridal #wedding </t>
  </si>
  <si>
    <t>Tác hại của mai thảo  mộc  ạ 😥😥😥😥....ai  có  cách  dì  chỉ  dùm  e vs  hiện  tại  e chỉ  dám  dùng  nước  muối  sinh  lí  để  rửa  mặt  thôi  ạk 😷😷😷😷😷</t>
  </si>
  <si>
    <t>2019-11-28 05:36:12</t>
  </si>
  <si>
    <t>Tẹt Cọt</t>
  </si>
  <si>
    <t>100028001452018</t>
  </si>
  <si>
    <t xml:space="preserve">
#tritham
Chào mọi người, chuyện là em bị thâm mông, bẹn, nách, đầu gối, khuỷ tay lâu năm em dùng chanh chà hay ttbc hơn 1 năm r vẫn không bớt tí nào. Em cũng dùng nhiều loại sản phẩm trị thâm khác nhau nhưng không cải thiện . Anh chị nào có bí quyết gì hay dùng loại gì thì chỉ em với . Sống bao nhiêu năm không bao giờ dám mặt quần ngắn ra đường. Có loại nào mà dùng tầm 2 tháng là hiệu quả để em ăn tết ngon lành ấy ạ. Với không biết là em đi trị thâm ở tmv thì sau này nó có bị thâm lại không ạ? Mà những chỗ thâm của em cực kì đen luôn, đen hơn dấu thâm sau mụn nữa ấy ạ
Đầu gối hay phần viền mông thâm như hình luôn ấy ạ</t>
  </si>
  <si>
    <t>2019-11-25 00:32:34</t>
  </si>
  <si>
    <t>Hà Nguyễn</t>
  </si>
  <si>
    <t>100022602021391</t>
  </si>
  <si>
    <t xml:space="preserve">#tritham </t>
  </si>
  <si>
    <t>#help 
- M.n giúp em với ạ :( Cách đây tầm 3 tháng hơn 3 tháng em bị mọc mụn ẩn 1 đám ở má phải sau đó mụn bđ mọc lên trên má em , mụn mủ , mụn ẩn , mụn cám , mụn đầu đen cứng ,v.v 
Em đã dùng nhiều cách nhưng không thành công , em đã đỡ ở má phải hơn 1 chút nhưng vẫn còn mụn và giờ nó còn mọc thêm mụn ẩn trên trán nữa :( má trái em cũng lên mụn bọc mủ :( mụn ẩn . Em chụp ảnh bằng cam samsung ạ . Da em da dầu . Trc đây gần đến kì mặt em chỉ lên 5 -6 cục mụn thui ạ . Em năm nay 17t .Giờ đi đâu m.n cũng hỏi sao lên nhiều mụn thế .  Mong m.n góp ý cho em khỏi nỗi lo này 😣😥. Mong ad sớm duyệt bài ạ :(</t>
  </si>
  <si>
    <t>2019-12-01 12:15:54</t>
  </si>
  <si>
    <t>Trương Thị Kim Chi</t>
  </si>
  <si>
    <t>100013558604242</t>
  </si>
  <si>
    <t>Cái bản mặt em giờ nó gớm v đó.
Em cũng mới tập tành chăm da nên chỉ tẩy trang cấp ẩm là chủ yếu😭
Mụn thì cứ mọc hoài. Đặc biệt lcl to vô cùng kèm mụn đầu đen nữa. Mng tư vấn cho em ít sản phẩm với😭
#help</t>
  </si>
  <si>
    <t>2019-11-13 13:21:56</t>
  </si>
  <si>
    <t>Hương Bùi</t>
  </si>
  <si>
    <t>100006436905125</t>
  </si>
  <si>
    <t>Trước em bị mụn Đinh Râu ạ 🤦
Chắc cũng do lấy khong hết nhân mà giờ nó thâm lại :(((
Mỗi lần cười nên là nó rõ vết đỏ ra 🤦
Em chụp sáng nên không thấy rõ :(((
Mọi người chỉ cách giúp em ạ 🤧❤️
#ask</t>
  </si>
  <si>
    <t>2019-12-23 16:15:37</t>
  </si>
  <si>
    <t>Đinh Hà Chi</t>
  </si>
  <si>
    <t>100027011284298</t>
  </si>
  <si>
    <t>Em gái mình bị nỗi mẫn đỏ như vậy đã nhiều năm ,từ lúc dậy thì cho đến tận bây giờ...
Nhà mình và em cũng đã tìm đến nhiều loại mỹ phẩm,đi chưa trị nhiều nơi nhưng vẫn không thuyên giảm.
   Chính vì căn bệnh này mà gần như cuộc sống của em mình không theo ý muốn,bạn bè người yêu và thanh xuân .mọi thứ đều bị trì hoãn lại,là con gái ai chẳng muốn mình xinh đẹp,tự tin nhất vậy mà....
   Em mình vẫn tiếp tục kiên trì để chữa trị,cho dù mới hôm qua em mình được bác sĩ báo bó tay với căn bệnh này,em ấy khóc ....và dù căn bệnh này đã đi theo em gái mình mấy chục năm nay nhưng vẫn không bk được một cái tên cụ thể nào,chỉ bk đây là bệnh về da ,hết lên mặt lại leo xuống cổ...
    Thật sự mình không biết phải làm sao lúc này,mong cho em có một cuộc sống bình thường thì dù bao nhiêu tiền cũng được .
    Xin mọi người nếu ai biết địa chỉ nào có thể chữa được bệnh này hay liều thuốc hay ,chỉ dẫn cho giúp gia đình em .
   Em xin chân thành cảm ơn và hậu tạ.</t>
  </si>
  <si>
    <t>2019-08-08 11:54:12</t>
  </si>
  <si>
    <t>Thái Hồng Như Ý.</t>
  </si>
  <si>
    <t>100005093980955</t>
  </si>
  <si>
    <t xml:space="preserve"> #ask #help #mụn_thịt
Chào mọi người! 
Chuyện là vầy, em bị mụn thịt đã lâu, từ khi học cấp 2 lận, nhưng mụn thịt của em n khá lành tính nên mười năm nay nó vẫn không bị lan ra. Mà tội cái nó mọc thành cụm dưới mắt, và mọc khá là nhiều, tuy là không nhìn rõ lắm nhưng trông vẫn mất thẩm mỹ. Vào một ngày đẹp trời, em nghe theo lời khuyên của bạn, lấy hết can đảm ra bệnh viện da liễu Hà Nội chỗ 79b Nguyễn Khuyến để tiêu diệt đám mụn thịt. Sau quá trình thăm khám em được chỉ định bắn lazer co2, và dù đã được bôi tê, bắn phát nào vẫn biết phát đấy, đau vô cùng😭. 
Sau khi bắn xong, trên mặt em có thêm khoảng trăm cái lỗ. Nhìn vào đám lỗ sâu thật sâu trên mặt, em tự hỏi liệu nó đầy nổi không?🤔 Bởi vì rất lo lắng, nên em chăm vết thương khá kĩ, để mày tự bong, tránh nước tránh nắng đầy đủ, bôi thuốc chống sẹo ngày 3 lần theo chỉ định của bác sĩ. Nhưng hỡi ôi, vết mày bong ra để lại một đám sẹo lõm cái này lõm hơn cái kia, đã qua 3 tuần rồi và chống sẹo không có hiệu quả, em thấy chỗ sẹo chỉ cứng hơn lúc đầu thôi chứ không thấy nó đầy lên. Mấy ngày nay em stress kinh khủng, lúc chưa bắn thì đám mụn thịt cũng không quá nổi, mà bắn xong lại tệ thế này.
Không biết trong hội có chị em nào đã bắn mụn thịt và gặp trường hợp như em chưa ạ. Vô cùng cần lời khuyên trong tình huống này😭 Cho em xin phương pháp giải quyết đám sẹo lõm kia với ạ, vì em nghe nói sẹo lúc mới hình thành là thời điểm thích hợp nhất để chữa, sẹo để lâu càng khó hết.
Em cảm ơn rất rất nhiều.</t>
  </si>
  <si>
    <t>2019-08-03 03:11:24</t>
  </si>
  <si>
    <t>Nguyễn Phương</t>
  </si>
  <si>
    <t>100003863767278</t>
  </si>
  <si>
    <t xml:space="preserve">#mụn_thịt #help #ask  </t>
  </si>
  <si>
    <t>#crest #dán_trắng_răng
Mong ad duyệt bài giúp em
Xin chào mọi người
Em đang cần làm trắng răng và đang tham khảo miếng dán của Crest, mà khi tìm thì quá nhiều thông tin, nhiều loại của hãng (như hình em để bên dưới), nhiều review tích cực, tiêu cực,.... làm em hoang mang quá 😂😂😂
Mong mọi người tư vấn: răng em khá khỏe, thì nên dùng loại nào a? và có ai dùng mà răng trắng lên chưa?</t>
  </si>
  <si>
    <t>2019-12-16 08:48:14</t>
  </si>
  <si>
    <t>Chi Linh</t>
  </si>
  <si>
    <t>100005537880271</t>
  </si>
  <si>
    <t xml:space="preserve">#dán_trắng_răng #crest </t>
  </si>
  <si>
    <t xml:space="preserve">Mong mọi người giúp đỡ 
Em là một đứa rất thích đi cv, nhưng khi đi vào chân nó bành ra, và chỗ buộc dây nó gồ lên,( chỗ em khoanh ý ạ) nhìn rất xấu ,lắm lúc em tự ti khi đi giày  lắm vì biết chân mình k đẹp 
Mong mọi người giúp đỡ và chỉ cho em cách để chân nhỏ lại. Em cảm ơn 
</t>
  </si>
  <si>
    <t>2019-12-19 05:14:08</t>
  </si>
  <si>
    <t>Nhi Phương</t>
  </si>
  <si>
    <t>100045013925274</t>
  </si>
  <si>
    <t>Help meeee 
Mn ơi giúp em với ạ, da em da dầu,khô,mụn ẩn nhiều,lcl to, nhiều mụn đầu đen. 
Em chưa đi nặn mụn bao giờ mn ạ? Có nên đi nặn mụn không ạ? Em sợ đi nặn lcl sẽ to hơn và mụn sưng đỏ hơn thui. 
Tiện đây mn cho em xin các se khút lcl,giảm mụn ẩn,đầu đen và các cách skin sau khi đi nặn về vs ạ. 
Em mong ad duyệt bài ạ, em đăng mấy nay chưa thấy ad duyệt :((</t>
  </si>
  <si>
    <t>2019-12-02 07:02:02</t>
  </si>
  <si>
    <t>#dhc #vienraucu #ask
Chị em có ai uống viên rau củ của DHC mà dị ứng ngứa khắp người không ạ. Kiểu nổi mẫn nhẹ mà ngứa ấy. Với cả cho em xin một số tips phân biệt fake auth với ạ. Mà mẹ em cũng uống, chỉ có mỗi em dị ứng thôi. Có nên uống tiếp không ạ.</t>
  </si>
  <si>
    <t>2019-05-28 06:26:02</t>
  </si>
  <si>
    <t>Mai Nguyễn Ngọc Anh</t>
  </si>
  <si>
    <t>100001356926543</t>
  </si>
  <si>
    <t xml:space="preserve">#ask #vienraucu #dhc </t>
  </si>
  <si>
    <t>#dẹptranhsa #lankim  #trị sẹo lõm
Xin phép mọi người cho em hỏi sẹo lõm thế này lăn kim bao lau thì thuyên giảm ạ
Bạn này giữa tháng sau đi ăn cưới nyc nên muốn tu sữa nhan sắc khômg biết có kịp không
Cho em xin cơ sở uy tín lăn kim hay trị sẹo với ạ, mong các chị ngó dùm
#mong ad duyệt dùm bài ạ!!!</t>
  </si>
  <si>
    <t>2019-05-27 03:04:47</t>
  </si>
  <si>
    <t>Yến Yến</t>
  </si>
  <si>
    <t>100004719979066</t>
  </si>
  <si>
    <t xml:space="preserve">#mong #trị #lankim #dẹptranhsa </t>
  </si>
  <si>
    <t>#tuvan #xitkhoang
Xin chào mọi người ạ. Chuyện là ngày trước da em đổ dầu rất nhiều nhưng ở phía vùng mũi e hay bị bong da lắm thì em phát hiện da đổ dầu là vì do da khô tiết ra dầu để cân bằng lại ấy. Hiện tại em có sài serum HA tím của nhật, đắp mặt nạ cấp ẩm của BNGB, Dr.Morita, My Beauty Diary và cũng thấy có tiến triển là da không còn đổ dầu nhiều như trước nữa nhưng em nghĩ là em nên cần thêm xịt khoáng để cung cấp đủ ẩm cho da ạ nhưng em đang phân vân Avene, La Roche Possay và Vichy ạ. Mọi người tư vấn giúp em nhé. Em cảm ơn mọi người rất nhiều ạ ❤️</t>
  </si>
  <si>
    <t>2019-12-22 10:32:55</t>
  </si>
  <si>
    <t>Trân</t>
  </si>
  <si>
    <t>100009249056589</t>
  </si>
  <si>
    <t xml:space="preserve">#xitkhoang #tuvan </t>
  </si>
  <si>
    <t xml:space="preserve">
#help
#trimuan
E chào mọi người ạ
Xin ad ngàn lần duyệt bài giúp e với ạ. 💙
Tình hình là em bị mụn ẩn như này từ đầu năm nhất học đại học, nay đã là năm thứ 2 mà vẫn thế 
Hiện tại e đang sd srm Laroche Posay và Dou+  . E dùng srm bị lên nhiều mụn liti hơn ở vùng má. 
Anh chị giúp e trị lũ mụn này với ạ 
Em hiện tại chỉ dùng srm và dou+, chưa biết loại tẩy trang nào phù hợp với da mình. Mong mn review vai loại cho e ạ
      E xin chân thành cảm ơn</t>
  </si>
  <si>
    <t>2019-09-15 10:42:21</t>
  </si>
  <si>
    <t xml:space="preserve">#trimuan #help </t>
  </si>
  <si>
    <t>#taynotruoi
Mọi người trong gr có ai đã tẩy nốt ruồi laser hay bằng thuốc chưa ạ??? 
Cổ em có nhiều nốt ruồi mà bự chảng, em không thể mặc đồ hai dây hoặc đồ trễ vai, mất tự tin lắm luôn 😤
Hiện tại em đang tham khảo tẩy tại Hasaki, không biết gr mình anh chị nào có kinh nghiệm tẩy nốt ruồi chỉ em với 
Mong ad duyệt bài cho em ☺</t>
  </si>
  <si>
    <t>2019-12-20 09:35:39</t>
  </si>
  <si>
    <t>Chinh Bé</t>
  </si>
  <si>
    <t>100005538107558</t>
  </si>
  <si>
    <t xml:space="preserve">#taynotruoi </t>
  </si>
  <si>
    <t>#ask #help
Hi mng , e đang gặp phải 1 số vấn đề nên muốn nhờ mọi người tư vấn, da e là da hh thiên dầu nha
1️⃣ Tóc e dày nhưng hay rụng, e mới gội đầu ra mà nó rụng 1 đống như bị ung thư luôn 😞 mong mng giới thiệu cho e loại dầu gội đầu ngừa rụng tóc và thơm nhaaa. Btw về vấn đề tóc thì mng nghĩ mặt tròn hợp với kiểu tóc nào ạ, e chán kiểu tóc đuôi ngựa 16 năm qua rồi, e đang tính đi cắt tóc ngắn nhưng chưa biết chọn kiểu nào
2️⃣ E 16 tuổi, lúc trước e dùng tẩy trang nivea, srm hada labo màu xanh dạng tuýp và tdc rosette màu hồng nhưng bị lên mụn vùng trán nên e đã ngưng tt và srm, hiện e chỉ dùng tdc , e cũng nghe nói 16 tuổi ko nên skincare nhiều bước nên tối giản thôi, mng cho e xin ý kiến và những sp hợp tuổi e
3️⃣ 16 năm qua e chưa hề dùng 1 loại kcn nào, da e là da hhtd e đang phân vân các loại kcn ở dưới, mng cho e xin chút review ạ 😉 
4️⃣ E thấy có chị review về lotion và sữa tắm love beauty and planet màu hồng , chị ấy bảo có trắng da, đã ai dùng rồi cho e xin ý kiến với ạ 
5️⃣ Về vấn đề mask tự làm tại nhà, mọi người hướng dẫn e làm mấy loại mask dễ làm , giúp sáng da và trị thâm với ạ, da e lốm đốm vài vết thâm chán kinh 
E hỏi hơn nhiều vì mấy lần đăng hỏi lẻ tẻ không được duyệt, mong lần này được duyệt và được mọi người tư vấn
E cảm ơn</t>
  </si>
  <si>
    <t>2019-06-23 14:41:28</t>
  </si>
  <si>
    <t>100036395264766</t>
  </si>
  <si>
    <t>#ask #tuvan #trimun #kemtron
Chào mọi người
Da em mấy năm trước vì ko hiểu biết nên có sử dụng kem trộn, mua ở ngoài chợ,  dùng 1 thời gian khá là lâu. Gần đây thì em mới biết tác hại của nó nên ngưng ko dùng nữa,  hiện tại da em rất xấu, lcl rất to,  mụn đỏ nổi rất nhiều,  nhất là 2 bên má và bắt đầu lan ra dưới cổ. 
Vừa rồi em có sd srm naruko tràm trà, mụn ko bớt mà còn lên thêm nên dùng hết 1 tuýp thì em ngưng,  mới mua thử srm laroche posay dùng được vài ngày.  Ngoài ra em ko dùng gì thêm. 
Trước giờ em ko biết gì về skincare cả,  em nhờ mọi người tư vấn giúp em hướng điều trị với tình trạng da như này với ạ,  thật sự em rất lo lắng. Da em là da dầu
Mong ad duyệt bài giúp em với ạ, em cám ơn</t>
  </si>
  <si>
    <t>2019-09-10 06:16:49</t>
  </si>
  <si>
    <t>Suong Mai</t>
  </si>
  <si>
    <t>100031789251416</t>
  </si>
  <si>
    <t xml:space="preserve">#kemtron #trimun #tuvan #ask </t>
  </si>
  <si>
    <t xml:space="preserve"> #ask #help #trimun #iso #dalieu
Mong ad duyệt bài giúp em ạ 😭
Em tham khảo những bài viết về iso trong group mình nhưng k thấy bài nào nói về cách giảm liều khi ngưng iso ạ?
Anh chị nào từng trị mụn thành công bằng iso có thể chia sẻ cho em cách giảm liều để k bùng phát k ạ, em chuẩn bị hết liệu trình mà chưa biết nên ngưng ntn nên hoang mang lắm ạ</t>
  </si>
  <si>
    <t>2019-06-11 15:53:39</t>
  </si>
  <si>
    <t>Ngọc Nghiên</t>
  </si>
  <si>
    <t>100032793135852</t>
  </si>
  <si>
    <t xml:space="preserve">#dalieu #iso #trimun #help #ask  </t>
  </si>
  <si>
    <t>Mùa hè đến rồi mà chân em toàn vết thâm do muỗi đốt. Mn có cách nào để những vết này biến mất không ạ? Chứ con gái mùa hè muốn diện váy với quần ngắn mà chân toàn hoa thì xấu lắm. 😢
P/s: hình ảnh chỉ mang tính chất minh hoạ.
#triseotham</t>
  </si>
  <si>
    <t>2019-04-21 03:01:06</t>
  </si>
  <si>
    <t>Nguyễn Thu Hiền</t>
  </si>
  <si>
    <t>100002101764577</t>
  </si>
  <si>
    <t xml:space="preserve">#triseotham </t>
  </si>
  <si>
    <t xml:space="preserve">
#review #tuvan
#nuochoavungkin
Xin chào mn. Hôm nay mình lại ngoi lên để hỏi mn  vềq vấn đề có nên sd nước hoa vùng kín k. Và nên dùng loại nào. Trước giờ mình thấy sợ những cái gì ảnh hưởng trực tiếp đến cô bé lắm nhưng dạo gần đây nghe nói chỗ ấy phải có tí nc hoa mới quyến rũ :)))</t>
  </si>
  <si>
    <t>2019-05-10 14:22:39</t>
  </si>
  <si>
    <t>Trần Khả Hân</t>
  </si>
  <si>
    <t>100034909611047</t>
  </si>
  <si>
    <t xml:space="preserve">#nuochoavungkin #tuvan #review </t>
  </si>
  <si>
    <t>Tóc mình combo rụng, hói, khô xơ, cứng....
Cái răng cái tóc là góc con người. Mà nhìn tóc em như thế này em nản quá =(((( . Em sử dụng tinh dầu bửoi mà không có tác dụng. Có ai ở Nha Trang biết chỗ khám không chỉ mình với 😭. Hay ai có từng sử dụng loại dầu nào để nó kích mọc không ạ. Chỉ mình với 😭
Monng ad duyệt bài. Em cảm ơn ạ.
#tưvan</t>
  </si>
  <si>
    <t>2019-05-07 03:13:37</t>
  </si>
  <si>
    <t>100010392613205</t>
  </si>
  <si>
    <t xml:space="preserve">#tưvan </t>
  </si>
  <si>
    <t>Mn ơi năm nay em 16t , em rất thích mặc quần ngắn với váy ngắn, nhưng chân em có khá nhiều thẹo thâm, do mũi với té xe nên em hơi mặc cảm, ai biết làm cách nào cho đỡ giúp em với ạ , em cảm ơn</t>
  </si>
  <si>
    <t>2019-12-21 05:15:04</t>
  </si>
  <si>
    <t>Gin Nee</t>
  </si>
  <si>
    <t>100044806602861</t>
  </si>
  <si>
    <t>Các chị Thông thái có cách nào chữa ngứa mề đay ko mách em với</t>
  </si>
  <si>
    <t>2019-12-01 12:13:16</t>
  </si>
  <si>
    <t>100004983641241</t>
  </si>
  <si>
    <t xml:space="preserve">
#ask
#nấm
Hội mình đã có ai bị như trong hình chưa ạ. Mình đi khám  ở viện da liễu bác sĩ có nói là bị nấm do mình ra mồ hôi nhiều. Bác sĩ cho thuốc bôi và xà bông tắm nhưng mình dùng không có hiệu quả. :( Mùa đông thì nó khô và bong vẩy. Nhưng mùa hè thì lại như hình, nổi lên và mẩn đỏ nhưng mình không bị ngứa. Nó chỉ tập trung ở phần ngực, vai và nách.Đã có ai bị và khỏi được chưa ạ. Mong mọi người  chỉ cách giúp ạ. :( Thế này nản quá. Không dám mặc áo bà lỗ nữa.</t>
  </si>
  <si>
    <t>2019-05-19 02:43:28</t>
  </si>
  <si>
    <t>Thu Lưu</t>
  </si>
  <si>
    <t>100006492692894</t>
  </si>
  <si>
    <t xml:space="preserve">#nấm #ask </t>
  </si>
  <si>
    <t>#mun #bvdltphcm
Xin chào mọi người, e đang là sinh viên, da e thuộc tuýp da dầu và e bị mụn đến thời điểm hiện tại là 5 tháng rồi. Trước đây e thức rất khuya tầm 2h sáng mới ngủ đc, e thích ăn ngọt, hơn 1 năm trước do thiếu kiến thức skin care nên có sử dụng rượu thuốc bắc mà k biết tác hại của nó. E nghĩ mụn của e xuất phát từ những nguyên nhân trên. 3 tháng đầu e có tự mua Duo+ về bôi và đi lấy nhân mụn ở spa nhưng mụn vẫn lên lại kèm theo sần li ti ở trán và 2 bên xương hàm (hình 1). Sau đó e đi bệnh viện da liễu khám đc kê đơn uống kèm thuốc bôi nhưng mụn k giảm bớt thậm chí nổi lên nhiều hơn so với lúc chưa đi khám, 2 bên má cứ thay nhau nổi mụn bọc í ạ. Hiện tại e đã uống thuốc theo đơn của bs đc hơn 1 tháng rồi, hôm nay đi tái khám thì bs chỉ định sử dụng iso luôn, nói là tình trạng của e phải uống tầm 1 năm mới hết, sau đó bs cho e làm các xét nghiệm nhưng kết quả xét nghiệm của e chỉ số mỡ trong máu hay gì í cao hơn bình thường nên chưa uống iso đc. Bs có kê đơn khác bảo uống 20 ngày, ăn bớt cơm và tập thể dục 20 ngày sau lên xét nghiệm lại. Mỗi lần đi tái khám e đều canh lịch làm của bs khám trước đó nhưng lúc vào đóng tiền thì đc bảo là hôm nay bs đó k làm bonus thêm câu “giờ có khám hay k” 🙂 cứ như v lần nào đi cũng khám 1 bs khác nên e không biết có nên tiếp tục khám ở bvdl hay nên khám bs tư để tiện theo dõi ạ? Thêm nữa là e có nghe nói bị mụn thì phải lấy nhân ra mới hết nhưng bs thì k cho e lấy nhân làm e hoang mang quá ạ. Dưới đây là tình trạng mụn và đơn thuốc kèm các bước làm sạch cơ bản của e mỗi đợt khám. Mọi người giúp e với, giờ e rất stress chẳng biết nên xử lý đống mụn này như nào cả 😢Văn vẻ e hơi lủng củng nên mọi người thông cảm cho e nha.
Edit: bây giờ e có nên sử dụng kcn k và loại nào sẽ ổn cho da e ạ?
Cảm ơn ad đã duyệt bài ❤️</t>
  </si>
  <si>
    <t>2019-10-08 14:52:31</t>
  </si>
  <si>
    <t>Khánh Nghi</t>
  </si>
  <si>
    <t>100028159009563</t>
  </si>
  <si>
    <t xml:space="preserve">#bvdltphcm #mun </t>
  </si>
  <si>
    <t xml:space="preserve"> #tocdep
Mọi người gợi ý cho em một kiểu tóc mới phù hợp với khuôn mặt ạ 😞 em để kiểu này được gần 20 năm rồi, không ghét không thích nó, nhưng muốn làm gì mới mới trước khi mình quá gìa hay môi trường làm việc không cho phép.
Mặt em nhỏ, dài, gầy, lại còn hơi lệch nên em cũng không biết sao.</t>
  </si>
  <si>
    <t>2019-12-20 04:57:51</t>
  </si>
  <si>
    <t xml:space="preserve">#tocdep  </t>
  </si>
  <si>
    <t>#Ask #Trịmụn
#Dakhô #Nhạycảm
Hi cả nhà. Ai có kinh nghiệm trị mụn cho da khô- nhạy cảm không ạ. Nằm vùng đã lâu, mình thấy đa số các bạn chia sẻ kinh nghiệm cho da dầu nhạy cảm, mà mình thì không biết sản phẩm có hợp cho da của mình không. Mình đặc biệt không make up, vì da quá nhạy cảm ( mỗi lần thử make up là da nổi mẩn, đỏ hết mặt). Bây giờ mình chỉ xài srm và toner thôi. Mình đã thử một số sản phẩm như Mario Badescu Drying Lotion, Pair, La Roche-Posay (Duo+) và 1-2 lọ thuốc của da liễu mà vẫn không tác dụng :((. 
Mọi người chia sẻ kinh nghiệm cứu rỗi làn da mình với. Chứ nhiều khi da mặt trắng mà mụn đỏ nổi mẩn tự ti lắm 😔.
Cảm ơn admin và mọi người...</t>
  </si>
  <si>
    <t>2019-10-16 03:58:18</t>
  </si>
  <si>
    <t>Miinhh Do</t>
  </si>
  <si>
    <t>100028826983264</t>
  </si>
  <si>
    <t xml:space="preserve">#Nhạycảm #Dakhô #Trịmụn #Ask </t>
  </si>
  <si>
    <t>#srm
có c e nào tín đồ innisfree đã dùng sữa rửa mặt lựu đỏ này chưa ạ,khi rửa xong có hay bị tức da hay hơi khô nhẹ k ạ,da e hay bị nhưng tình trạng trên khi dùng srm có bọt,hbua e đọc đc bài những lợi ích của lựu đỏ cho da e có thấy innisfree này nên e muốn trải nghiệm thử,thank c e ạ 😍.</t>
  </si>
  <si>
    <t>2019-08-29 14:23:13</t>
  </si>
  <si>
    <t>KiLô Nguyễn</t>
  </si>
  <si>
    <t>100002600343437</t>
  </si>
  <si>
    <t xml:space="preserve">#srm </t>
  </si>
  <si>
    <t>#munthit 
Mong ad duyệt bài sớm giúp mình, cảm ơn ad nhiều ạ.
Chào cả nhà, chuyện là mình bị mụn thịt quanh mắt lâu rồi giống như hình bên dưới và dần càng lan nhiều hơn. Mọi người có ai từng bị như này thì chia sẽ làm thế nào để trị dứt điểm giúp mình với ạ. Cảm ơn mn rất nhiều.</t>
  </si>
  <si>
    <t>2019-10-17 17:19:33</t>
  </si>
  <si>
    <t>Thanh My Le</t>
  </si>
  <si>
    <t>100003219076638</t>
  </si>
  <si>
    <t xml:space="preserve">#munthit </t>
  </si>
  <si>
    <t>GỘI ĐẦU BẰNG BỒ KẾT NHƯ THẾ NÀO ĐỂ ĐỠ MẤT THỜI GIAN ?
#review #tip #hair #boket #goidaubangboket
Hôm trước mình cần vài thông tin về dưỡng da, may sao vào group này search thì tìm được nhiều comment chất lượng thực sự, trả lời được hết tất cả thắc mắc của mình. Nên hôm nay, thay lời cảm ơn, mình muốn chia sẻ về việc làm thế nào để gội đầu bằng bồ kết (do thấy chủ đề chăm sóc tóc là một trong những trăn trở lớn của mọi người). 
Mình nghĩ sẽ có khá nhiều người quan tâm đến việc gội đầu bằng bồ kết, nhưng nếu so sánh với dầu gội chai thì dùng bồ kết lỉnh kỉnh, phiền phức, mất thời gian hơn nhiều. 
Nhưng sau một đợt tóc rụng khủng khiếp, mình bắt đầu nghiêm túc tìm cách để vừa có thể nấu bồ kết gội đầu, vừa tiết kiệm thời gian. Và cách đó chính là rang sẵn 100-200gr bồ kết, cho vào hũ thủy tinh để dùng dần. Khi nào cần gội cứ bốc 1 nhúm nhỏ, cho vào nồi nước sôi, 10-15p sau là đã có thể gội được. Hơn 5 tháng rồi mình toàn gội bồ kết, tuần 3 lần. Tóc sạch sẽ, thơm tho, đỡ rụng, giảm được việc sử dụng hóa chất. Hy vọng chia sẻ của mình giúp đỡ được ai đó &lt;3</t>
  </si>
  <si>
    <t>2019-10-31 13:49:22</t>
  </si>
  <si>
    <t>Trương Cát Ngọc</t>
  </si>
  <si>
    <t>100004848936483</t>
  </si>
  <si>
    <t xml:space="preserve">#goidaubangboket #boket #hair #tip #review </t>
  </si>
  <si>
    <t>#ask 
Chào mọi người ạ
Mọi người có ai bị béo mặt không ạ
Em bị mập từ nhỏ nên mặt rất nhiều mỡ.trông cứ sị sị ra đấy ạ.sáng ngủ dậy mặt em còn hay bị sưng lên như bị phù lề ý ạ.mọi người có cách gì giảm mỡ mặt cho em xin với ạ?
Tiện đây em muốn hỏi mọi người có cách nào làm mắt đỡ trố không ạ?
Em cảm ơn mọi người ạ!</t>
  </si>
  <si>
    <t>2019-09-19 05:04:05</t>
  </si>
  <si>
    <t>Thảo</t>
  </si>
  <si>
    <t>100036159705844</t>
  </si>
  <si>
    <t>Tóc em hay có gàu ạ, em làm gì cũng không hết. Từ gội muối tới dùng sản phẩm trị gàu ạ, em ở sg thời tiết cũng tạo cảm giác ngứa khó chịu. 
Gần tết em cũng muốn nhuộm tóc nữa tại hồi giờ ch bao giờ nhuộm cả. Mà em nghe nói nhuộm sẽ nhiều gàu hơn. 
Em bị tóc quăn ở gốc, duỗi thì thẳng nhưng được vài ngày gốc nó lại xoăn khó chịu 🤧 chị em nào có cách giảm xoăn gốc đc không ạ
Mọi người ơi ai có sản phẩm nào tốt chỉ em với ạ, với cả nhuộm tóc thật sự sẽ nhiều gàu không ạ :&lt;&lt; 
Một đầu tóc cả ba vấn đề 😞 thật sự kh b làm cách nào để tóc đẹp hơn nữa. Lúc nào đi học đi làm cũng xù xù nhìn kh có thẩm mỹ luôn ạ :&lt; mn cho em xin ý kiến ạ</t>
  </si>
  <si>
    <t>2019-12-19 08:01:10</t>
  </si>
  <si>
    <t>Nguyễn Thị Bảo Ngọc</t>
  </si>
  <si>
    <t>100008331494027</t>
  </si>
  <si>
    <t>#ask #help #aodai 
Em không biết có được ad duyệt hay không nhưng em thật sự gấp lắm rồi 😭
Mọi người ơi sáng mai em phải mặc áo dài, nhưng nay thử em mới tá hỏa vì bắp tay em không vừa 😭 Có cách nào làm bắp tay nhỏ lại tạm thời không ạ? Như quấn băng keo hay sao á... Mong mọi người giúp e ạ 😭</t>
  </si>
  <si>
    <t>2019-11-30 00:52:43</t>
  </si>
  <si>
    <t>Huỳnh Ngọc Gia Kỳ</t>
  </si>
  <si>
    <t>100032659336111</t>
  </si>
  <si>
    <t xml:space="preserve">#aodai #help #ask </t>
  </si>
  <si>
    <t>#ask #thuydau
Chào mọi người. Mình vừa mới trải qua 8 ngày bị thuỷ đậu. Bây giờ nốt mụn mủ đã tróc ra, để lại lớp da non đỏ đỏ hồng hồng, hơi lồi lõm, không bằng phẳng. Mình xin hỏi ý kiến mọi người có cách nào cho da mặt mình mau lành lặn không ạ? Mình rất cảm ơn các bạn. 🥰 mong ad duyệt bài giúp mình ạ. ❤️</t>
  </si>
  <si>
    <t>2019-11-29 15:41:51</t>
  </si>
  <si>
    <t>Ngân Dương</t>
  </si>
  <si>
    <t>100002640406463</t>
  </si>
  <si>
    <t xml:space="preserve">#thuydau #ask </t>
  </si>
  <si>
    <t xml:space="preserve">Mấy chị ơi cho em xin từng bước dưỡng da dầu vào mùa đông với 😢😢 
#Help #duongda </t>
  </si>
  <si>
    <t>2019-12-09 11:59:02</t>
  </si>
  <si>
    <t>Võ Minh Ngọc</t>
  </si>
  <si>
    <t>100012662911009</t>
  </si>
  <si>
    <t xml:space="preserve">#duongda #Help </t>
  </si>
  <si>
    <t xml:space="preserve">
#help
#sẹo
#téxe
Mong ad duyệt bài giúp em chứ em vã quá rồi 😭
Đây là đầu gối của đứa con gái 19t ạ 😢 Em bị té xe hồi 3 năm trước, mà khi đó còn bé nên không quan tâm mấy. Giờ bạn bè xúng xính váy áo còn bản thân cứ mặc được mỗi quần dài, váy dài 😢
Có cách nào khắc phục không mọi người ơi, mách em với chứ em lâu rồi không biết cái váy ngắn là cái gì luôn :&lt;&lt;&lt;&lt;</t>
  </si>
  <si>
    <t>2019-12-01 12:13:04</t>
  </si>
  <si>
    <t xml:space="preserve">#téxe #sẹo #help </t>
  </si>
  <si>
    <t>Chào cả nhà ✌🏻
E là thợ làm tóc, thường xuyên phải gội đầu, sấy tóc tiếp xúc vs dầu gội hoá chất
Mùa hè thì cũng hơi khô da nhưng mùa này khách toàn gội nước nóng, sấy nóng.
Tay e bị khô, nứt chảy cả máu, đêm về bôi kem dưỡng vitamin E mà lúc bôi rát hết cả tay. Xong cũng dịu đk 1 lúc rồi ngủ quên.
Nhưng cả ngày tay lúc nào cũng trong tình trạng khô rát nứt chảy máu.
Vậy ai có cách gì kg giúp e với ạ!
E xin cảm ơn 🙏🏻</t>
  </si>
  <si>
    <t>2019-12-09 11:01:52</t>
  </si>
  <si>
    <t>Thao Tram</t>
  </si>
  <si>
    <t>100008975807570</t>
  </si>
  <si>
    <t xml:space="preserve">
#ask #nuochoa #perfume
E đang tính mua 1 lọ nước hoa tặng ny. A c trong nhóm có thể review dùm e mùi này k ạ? Hoặc gợi í giúp e nước hoa nào con trai hay thích với ạ.
Chai.màu xanh và màu đỏ màu nào ok hơn vậy ạ?
E cảm ơn ạ mng review nhiệt tình quá ạ. Lần đầu mua nước hoa nam nên còn bỡ ngỡ 😂.</t>
  </si>
  <si>
    <t>2019-10-24 01:04:38</t>
  </si>
  <si>
    <t>100028970291710</t>
  </si>
  <si>
    <t xml:space="preserve">#perfume #nuochoa #ask </t>
  </si>
  <si>
    <t>#help
da mặt m nhiều mụn đầu đen, lcl to, tàn nhang, xin mọi người tip trị mụn đầu đen và lcl to cho da dầu với ạ, chứ nhìn mặt như này chán quá</t>
  </si>
  <si>
    <t>2019-09-19 08:21:19</t>
  </si>
  <si>
    <t>Lan Anh</t>
  </si>
  <si>
    <t>100005295644988</t>
  </si>
  <si>
    <t>#cushion #ask
Em đang tính mua cushion mà phân vân giữa hera black cushion và clio kill cover foundwear  :&lt; mng có thể review cho em về 2 bé cushion này được không không ạ? Da em da dầu có mụn li ti, có nhiều vết thâm nữa ạ.</t>
  </si>
  <si>
    <t>2019-10-16 04:03:32</t>
  </si>
  <si>
    <t>Hương Giang</t>
  </si>
  <si>
    <t>100005222408642</t>
  </si>
  <si>
    <t xml:space="preserve">#ask #cushion </t>
  </si>
  <si>
    <t>Hu hu, mong ad duyệt bài 
Các c cho e ý kiến khi dùng 2 sp này với ạ , e mua về mới peel da được 1 lần, đọc cách sử dụng của The ordinary zinc 1% thì thấy bảo " Không sử dụng các sản phẩm chứa AHA/BHA trong quá trình dùng The Ordinary Niacinamide 10% + ZinC 1% vì da mặt sẽ bị căng rát.📷 " e hoang mang quá ạ, vì e coi thấy red peel này có AHA, ai dùng 2 sp này cùng lúc thì cho e xin ý kiến với ạ, e cảm ơn</t>
  </si>
  <si>
    <t>2019-11-29 14:08:43</t>
  </si>
  <si>
    <t>Hòa Hê</t>
  </si>
  <si>
    <t>100006019274733</t>
  </si>
  <si>
    <t>#ask #tuvan  
Chào mọi người,
Mọi người có ai có bí quyết giảm nọng giảm mỡ cằm với làm ốm mặt xuống không chia sẻ với mình với. Mình 1m7 nặng 58 (cũng hơi mập) mà thấy nọng nhiều quá lúc bị chụp lén hoảng lắm :)))
Cảm ơn trước nha 🍑🍑🍑
Ps: duyệt giúp em nhaaaa
Update: 1m7 58kg nhìn dạng mình bị mập á mng ơi, đừng nghĩ mình khiêm tốn hay trêu ngươi mấy bạn ròi giận mà là nó mập thiệt, cái phần lưng của mình (gần cái nách í) với bắp tau nó nhiều thịt dã man nên mặc đầm hay áo bó thô lắm. Mà mình thì theo trường phái cây sào trắng tinh như mấy tỷ Trung Quốc cơ.</t>
  </si>
  <si>
    <t>2019-05-10 11:54:53</t>
  </si>
  <si>
    <t>Trâm Trịnh</t>
  </si>
  <si>
    <t>100029293727085</t>
  </si>
  <si>
    <t xml:space="preserve"> #tuvan #ask </t>
  </si>
  <si>
    <t>#ask#tuvan
Các anh chị cho e hỏi có cách nào phục hồi da mặt mỏng nổi mao mạch không ạ? Chuyện là như này, vì đú đỡn mong muốn có làn da trắng như người ta. Mà hồi năm 14t e đã xài kem, không kem trộn gì đâu ạ. Mà là kem Pond's loại nắp hồng á. Mà e không xài thường xuyên, có thì xài không thì thôi. Và e sử dụng srm lúc thì hazeline, lúc thì Pond's. Loại có hạt (giờ e mới biết hai loại này có chất tẩy, bảo sao rửa xong thấy khô da) do ngu và thiếu hiểu biết. Và năm 16t e có nổi mụn viêm mà chừng 3,4 cục thui, lúc nổi mụn vẫn xài kem. Đến năm 18t e tự hết mụn. Da lúc đó phải nói thuộc dạng đẹp, nhưng không phải là do còn da non mà thôi. Lúc đó e chưa nhận ra, e ngưng xài kem ( không phải do nhận biết được da mỏng mà do e lười xài kem thôi ạ 😂) xài srm không thôi da không hề bị mụn. Vào khoảng 4 tháng trước e có lại hứng thú lên xài kem v7. Vì chất kem v7 đặc mà e lại da siêu dầu + vệ sinh da mặt không sạch. Đó thiếu kiến thức trầm trọng về việc skincare, nên da bị bí bùng phát mụn ẩn. Nhiều cực kì, bị khắp mặt. E có nổi cả mụn viêm, mụn đầu trắng, mụn bọc và mụn đỏ liti. Mà chỉ hai ba cục. Mọc rồi lặn, rồi tiếp tục mọc cục khác. Soi gương thì thấy có mao mạch nổi lên, không phải khắp mặt, e nghĩ là nguyên nhân da mặt e bị mụn bùng phát là do da e bị mỏng mất hàng rào bảo vệ da. Sau khi vô hội Đẹp Chanh Sả đây , e đã được khai sáng hoàn toàn 😭 da đẹp là da khỏe. Giờ có anh chị nào biết cách hoặc sản phẩm nào giúp phục hồi da không ạ? Thực sự e mới ở độ tuổi 20 mà da đã yếu như này rồi, thì mốt còn như nào nữa 😭 e có tìm hiểu về serum b5 skinceuticals gel. Không biết có tác dụng phục hồi lại màn bảo vệ da không ạ. Mong ad duyệt bài giúp em j</t>
  </si>
  <si>
    <t>2019-09-28 15:13:22</t>
  </si>
  <si>
    <t>Tran Mai</t>
  </si>
  <si>
    <t>100013408591083</t>
  </si>
  <si>
    <t>Các chị ơi cho em hỏi vấn đề nhạy cảm xíu.có chị nào bị hôi nách và có cách gì chữa trị không ạ.hoặc ai đã đi cắt tuyến mồ hôi chia sẻ em với , chứ em hết cách với bệnh này rồi ạ</t>
  </si>
  <si>
    <t>2019-11-16 06:28:21</t>
  </si>
  <si>
    <t>Nông Kim Phượng</t>
  </si>
  <si>
    <t>100014031678332</t>
  </si>
  <si>
    <t>#Đẹp_chanh_sả
#Cushion_cho_da_dầu_mụn
Chào mọi người, mình đang cần tìm cushion cho da dầu mụn, che phủ được lỗ chân lông và kiềm dầu tốt, không bị mốc khi đánh lên mặt. Giá từ 200-400k. Các chị em đã dùng sp nào tốt tư vấn giúp mình với nhé! Mình đang tính mua cushion Lime, ai xài rồi thì review giúp mình nhé!</t>
  </si>
  <si>
    <t>2019-09-14 08:30:36</t>
  </si>
  <si>
    <t>Krystal Thanh Thieu</t>
  </si>
  <si>
    <t>100000346788481</t>
  </si>
  <si>
    <t xml:space="preserve">#Cushion_cho_da_dầu_mụn #Đẹp_chanh_sả </t>
  </si>
  <si>
    <t xml:space="preserve">
#trimun
Trong nhóm mình ai từng dùng thuốc rượu và time sau mụn lên da yếu và xấu đi không?
Anh chị nào bị và có cách trị không chỉ e với ạ 
Da mặt e hiện tại mụn ẩn và thâm đen hơn trước rất nhiều, e ngưng sử dụng tất cả mp đang sài hơn nửa tháng ròi ạ☹️</t>
  </si>
  <si>
    <t>2019-12-16 10:57:27</t>
  </si>
  <si>
    <t>Trần Cẩm</t>
  </si>
  <si>
    <t>100044307592956</t>
  </si>
  <si>
    <t>#ask #help 
Xin chào mn ạ . Da em thuộc loại da khô . sau đợt sinh em bé thì da e bị nổi mụn ẩn rất nhiêu vùng chán và hai bên má bị mụn đỏ , vùng mũi lại bị mụn đầu đen và cằm rất nhiều mụn cám .Mong mn tư vấn giúp e loại máy rửa mặt tốt và cách trị mụn ẩn , mụn cám ạ .  e xin cảm ơn</t>
  </si>
  <si>
    <t>2019-12-05 12:45:21</t>
  </si>
  <si>
    <t>Phạm Thị Khánh My</t>
  </si>
  <si>
    <t>100026941488031</t>
  </si>
  <si>
    <t>Chị post bài bốc phốt kem trộn này để mọi người biết mà tránh là Bs Da Liễu, không hiểu sao chị bán Hàng gia dụng " Nguyễn Linh Phương" kiêm bán thêm kem trộn hại người vào đôi co, bảo bác sĩ Da Liễu ghen ăn tức ở với chúng nó, không biết Gato với chúng nó chỗ nào, đã thế còn sai chính tả nữa chứ.</t>
  </si>
  <si>
    <t>2019-10-19 14:01:21</t>
  </si>
  <si>
    <t>Kế Hoàng Hậu</t>
  </si>
  <si>
    <t>100010712106042</t>
  </si>
  <si>
    <t>#hỏidap
M.n cho e xin cách thải độc và phục hồi da sau khi dùng kem trộn với ạ
Đây là da mặt hiện tại của E...E mới ngưng kem trộn được 1 tuần ạ 😭
Giúp e với #helpme</t>
  </si>
  <si>
    <t>2019-08-23 06:17:45</t>
  </si>
  <si>
    <t>Lê Thị Diệu Linh</t>
  </si>
  <si>
    <t>100005349301031</t>
  </si>
  <si>
    <t xml:space="preserve">#helpme #hỏidap </t>
  </si>
  <si>
    <t>"Do cơ địa" là lý do mà mấy con bán kem trộn, rượu thuốc, tăng cân, giảm cân hay nói khi sản phẩm không hiệu quả hoặc tác dụng phụ.
Cre ảnh: Đầm Lầy.
#j4f</t>
  </si>
  <si>
    <t>2019-12-06 00:31:47</t>
  </si>
  <si>
    <t>#ask_bongcon 
Chân em bị bỏng cồn như thế này thì phải làm sao ạ?
Edit: em đã đi viện ngay sau khi bị bỏng rồi ạ. Bác sĩ đã cho về sau 1 tuần tiêm truyền kháng sinh và rửa vết bỏng ạ.</t>
  </si>
  <si>
    <t>2019-12-16 03:52:42</t>
  </si>
  <si>
    <t>Nguyễn Thị Lan</t>
  </si>
  <si>
    <t>100017556482268</t>
  </si>
  <si>
    <t xml:space="preserve">#ask_bongcon </t>
  </si>
  <si>
    <t xml:space="preserve">
#help 
Mong ad duyệt bài giúp em ạ !! 
Mng ơi mách em các thức uống giúp thanh lọc , mát từ bên trong với được không ạ. 
Đó giờ em chưa từng bị mụn ở 2 má , mà 2 3 tháng nay ăn cay nóng nó lên ồ ạt như thế này để lại vết đỏ đỏ nhiều lắm :(((( 
Thật sự em không dám ra đường luôn 😢 ra ngoài cứ đỏ đỏ rất ghê luôn ạ :((( nhưng e nghĩ phải trị từ bên trong nên cho em xin rw các loại thức uống có thể giảm tình trạng mụn với ạ . Em cảm ơn mng</t>
  </si>
  <si>
    <t>2019-11-28 12:36:48</t>
  </si>
  <si>
    <t>Hy An</t>
  </si>
  <si>
    <t>100039177851466</t>
  </si>
  <si>
    <t>#help
#ria_mép
Mọi người ơi, em là nữ giới mà bị cái ria mép quanh mồm nó mọc nhiều lắm ấy, không biết mọi người có tips nào hay hay không chỉ em với chứ bình thường ngồi rảnh là lấy tay bứt à, riết nó mọc như con đàn ông luôn 😂
Có máy nào tốt cũng được, em không ngại dầu tư, nhưng nếu là máy em hi vọng là trên 1tr5 và dưới 4tr nha mn, chứ nhiều hơn là đu đưa đứt cành à. Hôm nay ngồi coi 1 số video thì tự nhìn nhận lại bản thân mình cũng có nên đăng topic luôn, chứ em chưa tìm cách hay nhìn con máy nào luôn í😄
Mong ad duyệt bài hộ em ạ
(ảnh MH)</t>
  </si>
  <si>
    <t>2019-10-29 13:10:18</t>
  </si>
  <si>
    <t>Lưu Ly</t>
  </si>
  <si>
    <t>100011348871067</t>
  </si>
  <si>
    <t xml:space="preserve">#ria_mép  #help </t>
  </si>
  <si>
    <t>Chào mọi người ạ, nay em up bài này để xin phương pháp làm trắng da. Em thuộc dạng người đen bẩm sinh đi đâu cũng bị chê "con gái sao mà đen thế " 😭 tới lúc mình dưỡng trắng đeo áo khoác bịt kín người lại bảo đã đen còn che cho kín -.-
. Nên em cảm thấy không được tự tin vs bản thân nên cũng rất hạn chế gặp ngưòi quen hay bạn bè, thì sau này 2 năm nay em cũng có tắm trắng ủ trắng và xài kem body thì nó mởn ra bớt nhưng chỉ là da vàng chứ không được gọi là trắng
Vì em thuộc bẩm sinh nên muốn trắng thì khá khó, nên em lên đây xin các anh chị chỉ em cách làm trắng da hiệu quả và an toàn ạ 
Cảm ơn mọi người vs ad đã duyệt bài ạ</t>
  </si>
  <si>
    <t>2019-11-12 10:10:10</t>
  </si>
  <si>
    <t>Ánh Băng</t>
  </si>
  <si>
    <t>100024381729893</t>
  </si>
  <si>
    <t xml:space="preserve">Các chị có thể review cho em những loại sản phẩm đồ makeup cho da mụn với ạ. Bây giờ em mới tập tành trang điểm nên không biết  loại nào mua loại nào cho phù hợp (giá cả vừa phải thôi ạ)
Mong ad duyệt bài giúp em
</t>
  </si>
  <si>
    <t>2019-11-26 15:30:33</t>
  </si>
  <si>
    <t>Hồng Nhung</t>
  </si>
  <si>
    <t>100042013653728</t>
  </si>
  <si>
    <t>✌️Mấy chị đẹp cho em hỏi, em bị té xe năm tháng 9 năm ngoái. Em có sử dụng kem rồi Scar rồi thì sẹo phì đại xẹp xuống nhưng còn thâm như vậy. Các chị có cao kiến gì không chỉ em vs. 😃😃
Còn tuýp kem của nhật bữa ck em đi qua bển mua về sài chẳng tác dụng gì! 😭
Mong lắm sự chia sẻ!😍😍</t>
  </si>
  <si>
    <t>2019-11-29 00:21:15</t>
  </si>
  <si>
    <t>Chào mọi người. Em có thời gian dùng kem face Pháp của A Cosmetics ạ. Dùng được 4 tháng thì da em đẹp lắm, mụn ẩn biến mất hoàn toàn, da trắng sáng hơn nhiều. Nhưng da em mỏng đi và nổi rất nhiều gân máu ạ. Em sợ quá nên đã dừng kem được gần 1 tháng và không có biểu hiện ngứa hay rát gì hết ạ. Vậy em có bị nhiễm Corticoid không ạ :(( Và xin mọi người chỉ em sản phẩm thải độc với phục hồi da nhiễm cod với ạ. Da em là da dầu, hằng ngày em chỉ bôi kem chống nắng với tẩy trang rửa mặt thôi
Nhìn hình không rõ nhưng nhiều mạch máu ghê lắm ạ😭</t>
  </si>
  <si>
    <t>2019-12-08 00:43:28</t>
  </si>
  <si>
    <t>100042336818289</t>
  </si>
  <si>
    <t>E muốn hỏi mặt e bị mụn như vậy nên sử dụng sp nào để hết những mụn đỏ vs thâm v ạ.  Cứ nv e khó chịu lằm sao á. Da e là da dầu . Hiện giờ E đang sử dụng #detoxmed, luk đầu cũng thấy đỡ, kiểu như e sờ vào da cũng hơi căn căn, cũng xe kít lại lỗ chân lông 1 chút nhưng vẫn ko hết mụn, e ko biết sử dụng sp nào hợp vs mình mà tốt lại an toàn. Mong mn cho e xin ý kiến.</t>
  </si>
  <si>
    <t>2019-11-26 06:46:04</t>
  </si>
  <si>
    <t>Hiếu Ngọc</t>
  </si>
  <si>
    <t>100038462269935</t>
  </si>
  <si>
    <t xml:space="preserve">#detoxmed </t>
  </si>
  <si>
    <t>Ria mép dài đột xuất thì có nên wax không ạ😭 con gái mà ria mép kiểu như sắp mọc râu vậy😭 cíu em😭</t>
  </si>
  <si>
    <t>2019-12-02 20:21:39</t>
  </si>
  <si>
    <t>Mai Hải Sâm</t>
  </si>
  <si>
    <t>100011490364758</t>
  </si>
  <si>
    <t xml:space="preserve">Cho em xin tên vài loại kem dưỡng ẩm tốt với mọi ng ơi. 
Da em thuộc loại ko có mụn nhưng da khô 
</t>
  </si>
  <si>
    <t>2019-11-03 11:58:50</t>
  </si>
  <si>
    <t>Hoàng Thị Linh Hương</t>
  </si>
  <si>
    <t>100017115944688</t>
  </si>
  <si>
    <t>Mình đang bị mụn viên với mụn ẩn mn chỉ mình cách trị với ạ chứ mình stress quá không biết làm sao đây là tình trạng da mình :</t>
  </si>
  <si>
    <t>2019-10-25 09:40:16</t>
  </si>
  <si>
    <t>Ha Nguyen</t>
  </si>
  <si>
    <t>100035509900149</t>
  </si>
  <si>
    <t>Chào cả nhà ạ. 
Mọi người có thể chia sẻ 1 số tips dưỡng da và giữ ẩm vào mùa hanh khô này được không ạ? 
Da em thuộc kiểu da dầu vùng chữ T nhưng đến mùa này nó chuyển thành da khô luôn ấy. Bong tróc quanh mũi với gần má nhìn ghê quá. 
Em cám ơn ạ. 🥰🥰</t>
  </si>
  <si>
    <t>2019-12-07 23:40:55</t>
  </si>
  <si>
    <t>Phạm Thanh Lâm</t>
  </si>
  <si>
    <t>100007758403235</t>
  </si>
  <si>
    <t xml:space="preserve">
#review
Có bạn nào đã dùng sản phẩm kem dưỡng trắng da nâng tone này chưa cho mình xin ít review.</t>
  </si>
  <si>
    <t>2019-10-23 07:43:56</t>
  </si>
  <si>
    <t>Cao Ly</t>
  </si>
  <si>
    <t>100002370248521</t>
  </si>
  <si>
    <t>#ask #help #review #body  
Có ai dùng những sp dưỡng body phía dưới chưa ạ cho mình xin review với, tiện thể nếu được chị em cho mình xin review những sp dưỡng trắng body drugstore như lotion dưỡng trắng, tẩy da chết, kem chống nắng,... Mà mọi người thấy trắng và hiệu quả với ạ, mình cảm ơn</t>
  </si>
  <si>
    <t>2019-06-03 10:26:44</t>
  </si>
  <si>
    <t>100013884042633</t>
  </si>
  <si>
    <t xml:space="preserve"> #body #review #help #ask </t>
  </si>
  <si>
    <t>Cho mình hỏi da mình bị như thế nay các bạn có cách nào điều trị không ạ.em cảm ơn</t>
  </si>
  <si>
    <t>2019-12-01 09:04:44</t>
  </si>
  <si>
    <t>Hoa Lệ</t>
  </si>
  <si>
    <t>100036185550750</t>
  </si>
  <si>
    <t>Mọi người cho em hỏi BIODERMA này của em là fake hay real ạ . Vì em check 1 số cái đúng 1 số caia không</t>
  </si>
  <si>
    <t>2019-11-11 11:39:30</t>
  </si>
  <si>
    <t>Nguyễn Ngọc Lan</t>
  </si>
  <si>
    <t>100010141152937</t>
  </si>
  <si>
    <t xml:space="preserve">
Mọi người có kinh nghiệm xỏ khuyên thì giúp em với ạ :((
Đây là tai của em sau khi bấm đc 1 tuần, em kiêng cữ rất kĩ, vsinh đầy đủ. Nhưng sáng nay tai nó bị phồng lên như vậy đó ạ :(( rất rát và đau. Tai có màu đỏ là em vệ sinh bằng thuốc đỏ ạ :((
Lỗ em xỏ nha</t>
  </si>
  <si>
    <t>2019-10-12 16:00:12</t>
  </si>
  <si>
    <t>Trần Ngọc Phương Uyên</t>
  </si>
  <si>
    <t>100014765898332</t>
  </si>
  <si>
    <t xml:space="preserve">
#hoidap
Tình hình là em mới mua đc cây son mac này vs giá 380k ạ. Em k biết là auth hay fake nên hoang mang quá mọi người xem dùm em vs ạ. Em cảm ơn</t>
  </si>
  <si>
    <t>2019-11-25 09:12:20</t>
  </si>
  <si>
    <t>Bánh Bèo</t>
  </si>
  <si>
    <t>100043011308655</t>
  </si>
  <si>
    <t xml:space="preserve">#hoidap </t>
  </si>
  <si>
    <t>Buồn nào rồi cũng sẽ qua , chỉ có thâm mắt là nó không bao giờ tha cho mình 😭 . Tính đi tiêm cho rồi mà không biết có hiệu quả không mng ? Thanks ad đã duyệt bài ạ ❤️
 #thammat</t>
  </si>
  <si>
    <t>2019-12-04 13:32:37</t>
  </si>
  <si>
    <t>Thảo Mi</t>
  </si>
  <si>
    <t>100002671045517</t>
  </si>
  <si>
    <t xml:space="preserve">#thammat  </t>
  </si>
  <si>
    <t>#kiểu_tóc #vẽ_chân_mày 
Chào m.n, mình muốn xin kiểu tóc nào cho trẻ chút và dáng chân mày ạ, 18t nhìn già quá 😥</t>
  </si>
  <si>
    <t>2019-12-13 08:28:42</t>
  </si>
  <si>
    <t>Ty</t>
  </si>
  <si>
    <t>100038370497864</t>
  </si>
  <si>
    <t xml:space="preserve">#vẽ_chân_mày #kiểu_tóc </t>
  </si>
  <si>
    <t>Nhờ ad duyệt bài giúp...
Da mặt mình ko bị mụn, nhưng lỗ chân lông to, bề mặt bị sần không được láng min, mình cần tìm 1 sản phẩm giúp kết cấu bề mặt da được láng mịn, săn chắc hơn và lỗ chân lông được thu nhỏ lại...xin mọi người tư vấn giúp với. 
Mình xin cảm ơn...</t>
  </si>
  <si>
    <t>2019-12-10 08:28:50</t>
  </si>
  <si>
    <t>Cả nhà cho hỏi.mình vừa  làm tóc như này mà ai cũng chê già.giờ có nên làm lại luôn không.có ảnh hưởng tóc ko.khuôn mặt mình gầy nên hợp với kiểu nào</t>
  </si>
  <si>
    <t>2019-12-25 13:18:03</t>
  </si>
  <si>
    <t>Mai Linh</t>
  </si>
  <si>
    <t>100004722707123</t>
  </si>
  <si>
    <t xml:space="preserve">
Mng cho em xin ít review về em này với ạ. Em định sd để thoa lên những đốt mụn nhưng không biết ổn không :((( em cám ơn ạ</t>
  </si>
  <si>
    <t>2019-12-01 00:01:30</t>
  </si>
  <si>
    <t>Mn da mình như này thì trị kiểu gì ạ😒</t>
  </si>
  <si>
    <t>2019-11-26 06:37:13</t>
  </si>
  <si>
    <t>Hoa Tử Kinh</t>
  </si>
  <si>
    <t>100028089047466</t>
  </si>
  <si>
    <t>#trimun #help
Ad ơi duyệt cho mình, cứu mình với.
 Mọi người ơi cho e hỏi mặt em như thế này thì trị mụn kiểu gì ạ. :(</t>
  </si>
  <si>
    <t>2019-12-17 23:11:34</t>
  </si>
  <si>
    <t>Tử Du</t>
  </si>
  <si>
    <t>100004650879175</t>
  </si>
  <si>
    <t xml:space="preserve">#help #trimun </t>
  </si>
  <si>
    <t>#đẹpchanhxả 
#Nhấnmíbócmỡ 
Mng ơi e lo quá.chả là e nhấn mí bóc mỡ hnay là dc 3 hôm rồi. Nhưng 1 bên mắt phải nó sưng hơn mắt bên trái mà đau đau hơn đoạn buộc chỉ khâu rạch lấy mỡ mắt ý mng ạ. 
Ko hiểu có sao ko? E vẫn uống viên alphachoay với cái long huyết + kháng sinh . Vệ sinh bằng nước muối. 
Ai có kn nhấn mí bóc mỡ rồi chia sẻ e vs.e chớp mắt bên đấy cũng đau hơn.chảy nc mắt hic. 
Hoang mang quá ạ 
Ảnh đây ạ</t>
  </si>
  <si>
    <t>2019-12-22 22:12:33</t>
  </si>
  <si>
    <t>Trương Kiều</t>
  </si>
  <si>
    <t>100038400998648</t>
  </si>
  <si>
    <t xml:space="preserve">#Nhấnmíbócmỡ #đẹpchanhxả </t>
  </si>
  <si>
    <t>#help #Đepchanhsa
Chào mn. Tự nhiên tầm tuần nay em bị cái giống gì mà ngứa kinh khủng. Ngứa cả người luôn. Nó nổi đốm đốm thấy ghê lắm (Em để ảnh trong cmt cho mn xem nhé ạ). Em đi khám và xét nghiệm bác sĩ bảo chẳng bị gì cả chỉ cho vài viên thuốc uống thôi nhưng không thấm thía gì. Không biết có  ai từng bị giống em không hay có biết thuốc bôi gì chỉ giúp em với ạ huhu. Không đêm nào em ngủ được luôn í em cảm ơn mn nhiều.</t>
  </si>
  <si>
    <t>2019-12-07 04:45:26</t>
  </si>
  <si>
    <t>Mây Ơi</t>
  </si>
  <si>
    <t>100006784503078</t>
  </si>
  <si>
    <t xml:space="preserve">#Đepchanhsa #help </t>
  </si>
  <si>
    <t>#ask #Help Mọi người cho em hỏi bị như này là sao nhỉ ? Giống như kiểu nám da đúng ko ạ ? Có ai biết cách gì làm cho hết chỉ em với..</t>
  </si>
  <si>
    <t>2019-11-16 12:32:02</t>
  </si>
  <si>
    <t>Dolly Lan</t>
  </si>
  <si>
    <t>100005208519995</t>
  </si>
  <si>
    <t xml:space="preserve">#Help #ask </t>
  </si>
  <si>
    <t>Dạ em xin chào mọi người, hôm trước em có viết bài viết về đôi môi của mình, không biết các chị còn nhớ không, nhưng em cảm ơn mọi người nhiều lắm vì đã cho em ý kiến hihi ^^ Chuyện là Tết đến mông rồi da em nó dã man lắm luôn huhu :( Mụn đầu đen cực kì nhiều ở mũi và 2 má, kiểu như là mỗi lỗ chân lông là 1 nhân mụn trong đó vậy, nó đen đen, nhìn ghê lắm, nó sần lên, mỗi lần nhìn là em muốn vào siêu thị mua miếng lột mụn lột cái pặc ra cho rồi :(((( Da bạn bè em ở tuổi này ai cũng mịn màng láng o, còn da em, nhìn gương nó sần sần nhìn kinh lắm, chụp hình còn đỡ ý ạ, bạn bè nhìn vào mặt em hay chê ghê, buồn nhưng mà nó ghê thật, sờ chẳng mịn mà sần lắm ạ. Nhưng em thấy may vì da mình ít mụn sưng viêm, lâu lâu chỉ nổi 1,2 nốt thôi ạ. Dạo gần đây trời chuyển đông, da em bình thường có đổ dầu ở mũi + 2 má nhưng giờ không đổ tí dầu nào, mà còn khô với lên mụn ẩn nữa, da em còn có cả thâm, chưa hết thâm này lại lên mụn khác :(((( Dạ em có sử dụng sữa rửa mặt của Aderma loại tuýp trắng, nhưng có vẻ như nó không có ăn thua với mụn đầu đen của em, các chị giúp em với nha. Em năm nay 15t, và là cô bé cực kì dài dòng hihi = )))) 
#Dep_chanh_sa
#mundauden</t>
  </si>
  <si>
    <t>2019-12-05 10:39:20</t>
  </si>
  <si>
    <t>Emma Sun</t>
  </si>
  <si>
    <t>100014544550257</t>
  </si>
  <si>
    <t xml:space="preserve">#mundauden #Dep_chanh_sa </t>
  </si>
  <si>
    <t>Mọi người tư vấn em các bước trị mụn, thâm, lcl to nhé (kèm tên sp thì càng tốt 😉)
Mấy tháng nay tự nhiên nổi mụn nhiều quá, chứ trước khi nào thức khuya thì nổi 1-2 cục thôi chứ trán ko có luôn 😫</t>
  </si>
  <si>
    <t>2019-11-28 11:13:37</t>
  </si>
  <si>
    <t>Xuân Vượng</t>
  </si>
  <si>
    <t>100004146277775</t>
  </si>
  <si>
    <t>#ask #mundauden
Các chị ơi mũi e mụn đầu đen nhiều thế này với cả dưới mắt có mụn gì li ti ý k biết là gì, các chị tư vấn e làm sao hết với :(( ở khoé mũi và dưới cằm e cũng có nữa, sờ vào nó cộm cứng luôn ý. Lúc trước ít mà sao dạo gần đây e đi bsi trị mụn thì nó bớt mụn viêm nhưng lại xuất hiện mụn này nhiều hơn. Trường hợp này e nên đi spa nặn mụn hay dùng cái gì ạ? E tự nặn nó k ra huhu các chị giúp e với, e cám ơn nhiều</t>
  </si>
  <si>
    <t>2019-11-09 09:46:51</t>
  </si>
  <si>
    <t xml:space="preserve">#mundauden #ask </t>
  </si>
  <si>
    <t xml:space="preserve">
#help
#review
#trimun
#tritham
Mọi người review giúp em bộ này với, da em da dầu, có vài nốt mụn bọc vì em bị mụn nội tiết (e k muốn uống thuốc nên đã k uống ạ), mụn ẩn, đầu trắng, đầu đen bla bla và thâm nhiều cực kì ạ 😭😭😭
Có nên kết hợp dùng cả trị mụn và trị thâm không ạ?</t>
  </si>
  <si>
    <t>2019-10-22 03:42:30</t>
  </si>
  <si>
    <t>Đỗ Hiền Lương</t>
  </si>
  <si>
    <t>100011974788827</t>
  </si>
  <si>
    <t xml:space="preserve">#tritham #trimun #review #help </t>
  </si>
  <si>
    <t>#ask #tăngcân
Trong đây có bạn nam nào đang trong độ tuổi dậy thì nhưng tạng người thuộc dạng gầy trơ xương không 😩 Em mình nó cao chắc cũng gần 1m7 đi và đang học lớp 11 nhưng nó chưa đến 50kg nữa!!! Ăn thì nó ăn không được nhiều nên không biết có cách khác hay có bạn nào đã từng dùng sản phẩm giúp tăng cân nào hiệu quả không ạ?</t>
  </si>
  <si>
    <t>2019-09-13 02:28:31</t>
  </si>
  <si>
    <t>Vũ Vương</t>
  </si>
  <si>
    <t>100028800994165</t>
  </si>
  <si>
    <t xml:space="preserve">#tăngcân #ask </t>
  </si>
  <si>
    <t>Mong ad duyệt bài cho em ạ, e cảm ơn.
Chào cả nhà em, em đang có 1 số vấn đề muốn được chia sẻ để nghe mọi người góp ý kiến ạ.
Vấn đề 1: đọc review trên hội, e thấy các chị khen sp của kiehls khá là nhìu, nên e đã chọn mua kielhs bao gồm, sửa rửa mặt hoa cúc mix với srm đất sét, toner hoa cúc, mask đất sét, nghệ, và mask ngủ màu tím chống lão hoá, vì giá khá chát nên e tính sẽ mua từ từ các sp hỗ trợ của kiehls, nhưng khi skincare, e tẩy trang bằng bioderma xanh, xong dùng kiehls, e cảm giác da khá là khô, hơi căng mà lâu lâu có ngứa nhẹ, ko có nổi đỏ, ko biết là da em ko hợp hay đang bị kích ứng ko ạ. ( da em là da dầu )
Vấn đề 2: da em ko nhìn gần thì khá là đc, đc ở đây là trắng trẻo, ko mụn, ít nhờn, nhưng nhìn gần thì lổ chân lông to, mấy nay xài kiehls thì có mụn nổi lên, em có đắp mask đất sét kiehls 2 lần, ko biết có phải do nó đẩy mụn lên ko, cả nhà cho e hỏi cách khắc phục lổ chân lông to đc ko ạ, sẵn đây có chị em nào dùng serum C se khít chân lông của kiehls cho e xin review với ạ, em cảm ơn cả nhà.</t>
  </si>
  <si>
    <t>2019-12-13 00:44:08</t>
  </si>
  <si>
    <t>Nguyễn Phương My</t>
  </si>
  <si>
    <t>100042440088227</t>
  </si>
  <si>
    <t>Mọi người cho e hỏi chút. E năm nay mới 19t. Máy ảnh e chụp ko dc rõ lắm.Tay e tự dưng mấy ngày nay bị thế này, e ko biết là bị gì. Tay e ko bị nổi đỏ hay ngứa gì hết. Mà tay phải ko bị, còn tay trái thì bị. Anh chị giúp e với ạ 😭 Cảm ơn anh chị nhiều lắm.</t>
  </si>
  <si>
    <t>2019-12-22 00:04:49</t>
  </si>
  <si>
    <t>Trần Phương Dung</t>
  </si>
  <si>
    <t>100009058383784</t>
  </si>
  <si>
    <t>#ask #peripera #tamishop
Mọi người ơi cho e hỏi với ạ
Chuyện là e đã mua 2 thỏi son Peri Ink Airy Velvet màu 1 màu 2 của Tami shop. 
Hôm qua e mới mua màu 4 cũng của shop mà chỗ lõi cây son màu 4 là lõi trắng không giống những cây còn lại. Chất son cũng không giống 2 cây trước e đã mua và mùi cũng ko thơm bằng. Nắp son cũng khó vặn cầm không đc chắc tay. 
Son này mới ra được 3-4 tháng thì e nghĩ hãng cũng chẳng thay đổi mẫu mã bao bì gì cả. 
E cũng có nhắn tin hỏi shop thì shop nói là nhập về cũng lô và có 2 lõi khác nhau như vậy. 
Nhưng e nghĩ không thể nào đã nhập về cùng lô mà lại có chuyện 2 lõi son khác nhau và vỏ hộp thông tin cũng không giống nhau như vậy. 
E xem hình trên web hãng vẫn là lõi màu đen không có thông tin gì về việc thay đổi mẫu mã . 
Cách shop trả lời cho e cũng thấy không hợp lí. 
Mọi người cho e hỏi vậy cây son màu số 4 có phải hàng fake không ạ vì đó h e mua son peri chưa có cây nào lõi màu trắng hết ạ?
E cám ơn mng</t>
  </si>
  <si>
    <t>2019-05-25 15:35:52</t>
  </si>
  <si>
    <t>Thùy Vân</t>
  </si>
  <si>
    <t>100003145355572</t>
  </si>
  <si>
    <t xml:space="preserve">#tamishop #peripera #ask </t>
  </si>
  <si>
    <t>#bocfot#
Nhờ admin duyệt bài dùm mình .Thanks 
Mình k hiểu mấy đứa bán hàng này sao éo có tâm .Nó quảng cáo đây là thuốc detox giảm cân của Nhật bán có 2xx /50 viên ,có chỗ bán 18x.Mình nghĩ bụng quái thuốc giảm cân detox gì mà rẻ thế .Hỏi ông anh đang du học Nhật phải thuốc này giảm cân ko .Ổng bẩu thuốc này là thuốc trị táo bón hay đúng hơn là thuốc xổ .Bán gì thì bán phải để chữ tâm lên hàng đầu chớ nhể .Chỉ mong mọi người cân nhắc khi mua thuốc này uống .Ngày nó rượt cho 5 lần thì bẩu sao k xuống kg vì mất nước .Haiz</t>
  </si>
  <si>
    <t>2019-03-24 16:36:20</t>
  </si>
  <si>
    <t>Trang Cindy</t>
  </si>
  <si>
    <t>100000409828625</t>
  </si>
  <si>
    <t xml:space="preserve">#bocfot </t>
  </si>
  <si>
    <t>Mọi người check giúp em thỏi này auth hay fake với</t>
  </si>
  <si>
    <t>2019-11-27 02:43:08</t>
  </si>
  <si>
    <t>100022360072398</t>
  </si>
  <si>
    <t xml:space="preserve">
#review
#phummay
Chào các chị xinh đẹp. Hôm nay là lần đầu tiên mình đăng bài, cốt để khoe cặp chân mày mình mới phun và đã bong sau 16 ngày.
Hồi trước lông mày mình thưa và nhạt lắm. Mỗi lần ra ngoài là phải ngồi tô tô vẽ vẽ loạn hết cả lên, mà vẽ thì đâu phải lúc nào trời cũng thương cho 2 bên cân đối đâu. Đỉnh điểm là khi mình đi thi bằng lái, ở nhà tô tô vẽ vẽ cặp chân mày 15p rồi soi gương thấy ngon nghẻ lắm. Thế quái nào khi lên ảnh thẻ mặt lệch không nói, chân mày cũng lệch nốt (1)
Mình tìm hiểu rất lâu về phun, thêu, điêu khắc chân mày, thấy mấy trường hợp bị hỏng như dáng xấu, màu đậm này nọ nên lưỡng lự lắm. Nhưng rồi lại có lần mình đi Bò Cạp Vàng, ở đó phải tắm hồ mà. Mình tô vẽ chân mày, còn đầu tư hẳn cái mascara chân mày cho nó lâu trôi. Cuối cùng tắm 1 buổi xong chân mày đi hết. (2)
Từ (1) và (2) mình đã đi đến kết luận là mặc kệ đời, thử vận may đi phun rồi tới đâu tới.
Mình tìm hiểu, xem review rất nhiều chỗ và cuối cùng mình cũng đi làm chân mày. Thật sự mình làm xong thì mới nhận ra: tại sao trước giờ không đi phun cho rồi. Phun xong chân mày đều hẳn 2 bên, ko cần tốn 15p mỗi ngày ngồi tô tô vẽ vẽ, đi biển, đi tắm bơi hay đi mưa cũng không sợ trôi. Mặt mũi bây giờ nhìn sáng sủa hơn hẳn kể cả khi ko có son 🤣🤣🤣.
Cho nên nếu bạn nào có lông mày thưa như mình mà còn lăn tăn không biết nên làm mày ko, thì mình khuyến khích các bạn đi làm mày đi, sẽ ko hối hận đâu. Có điều là phải xem xét thật kỹ, chọn chỗ nào uy tín mà làm nhé. 
À mà riêng mình khi phun cảm thấy có đau dù có ủ tê. Nhưng mức độ đau chấp nhận đc.</t>
  </si>
  <si>
    <t>2019-12-10 12:18:23</t>
  </si>
  <si>
    <t>Trâm Hoàng</t>
  </si>
  <si>
    <t>100014647660143</t>
  </si>
  <si>
    <t xml:space="preserve">#phummay #review </t>
  </si>
  <si>
    <t xml:space="preserve"> #ask# lông 
Mn giúp e với ạ . Khs so với các bạn nữ khác e lại có khá nhiều lông :(( . Nó dài và dày nữa cơ ạ . Mà không chỉ tay chân đâu mà còn ở bụng , lưng cũng nhiều , trông kì lắm . E cũng có thử kem tẩy lông veet nhưng chỉ được 2-3 hôm là nó lại lên thậm chí là 2 cọng lông trên một lcl luôn ạ. Wax e cũng thử ở chân xong bị viêm lcl , đi da liễu đến giờ vẫn chưa khỏi :(( . E bg chỉ còn nước tính đi triệt nhưng không biết có hiệu quả không, lcl có bị to không với có hết đc viêm lcl không ạ? Chị nào đã triệt rồi cho e xin cái review với cho e xin cái địa chỉ tốt ở HN chỗ HBT đc thì càng tốt ạ. Em cảm ơn .Thực sự đi ra ngoài ghen tị với mấy bạn nữ khác ghê nhìn người ta mặc váy vóc các thứ thoải mái tự tin còn nhìn lại mình thì rầu lắm ạ:(((</t>
  </si>
  <si>
    <t>2019-08-13 06:02:40</t>
  </si>
  <si>
    <t>Ngọc Nhung</t>
  </si>
  <si>
    <t>100011199497035</t>
  </si>
  <si>
    <t>#lông mn ai dùng was gì giúp lông mọc chậm và thưa ko ạ. Em 17tuoi chưa đủ tiền để đi spa triệt .😭   . sẵn tiện cho em hỏi. Triệt toàn thân bn ạ. Và triệt như vậy có vĩnh viễn đc ko ạ.</t>
  </si>
  <si>
    <t>2019-12-23 16:16:51</t>
  </si>
  <si>
    <t xml:space="preserve">#lông </t>
  </si>
  <si>
    <t xml:space="preserve">
Em mới đi khám ở bác sĩ về . Tiền thuốc hết hơn 1 triệu. Cố gắng uống thuốc và thoa thuốc xem 2 tuần nữa có đỡ không sẽ cho mọi người xem kết quả.
 Mong ad duyệt giúp em.</t>
  </si>
  <si>
    <t>2019-12-18 02:19:23</t>
  </si>
  <si>
    <t>Pee Moon</t>
  </si>
  <si>
    <t>100036464370528</t>
  </si>
  <si>
    <t>#ask  #kemduong
Mong ad duyệt bài ạ 
Các c trong group có ai dùng kem dưỡng hàn quốc lohajin này chưa ạ.  Thấy mọi người bảo đang hot và khen rất nhiều . 
Nhưng e đang phân vân vì thấy bảo kem dưỡng này giúp trắng da nâng tông nên e sợ bí da , vì da e là da dầu . Với lại giá của tuýp này là 380k ( đây là giá sale, giá gốc 600k  ) mà e là sinh viên nên thấy giá hơi chát nên không dám mua luôn 
Các c tư vấn giúp e với ạ</t>
  </si>
  <si>
    <t>2019-09-11 02:23:19</t>
  </si>
  <si>
    <t>Bùi Thục Trinh</t>
  </si>
  <si>
    <t>100006675676232</t>
  </si>
  <si>
    <t xml:space="preserve">#kemduong  #ask </t>
  </si>
  <si>
    <t>#Ask #Helpme 
Mong đc ad duyệt bài ạ
Em năm nay 15t, da em là da dầu ( dầu cực kì nhiều, mùa đông em vẫn bị đổ dầu) , da mỏng, dễ kích ứng, đỏ 2 bên má do di truyền. Mọi người hướng dẫn em vs để em, có đc làn da khỏe hơn ( em ko ham trắng nhé)
Các bước skincare của em:
*Sáng
1. Srm Hada Labo màu trắng
2. Toner Simple
3. Kem chống nắng Sunplay Baby (dành cho da em bé, thấy lành tính nên em đã dùng đc 1 năm rồi )
*Tối
1. Tẩy trang garnier màu hồng ( dùng khá lá dịu nhẹ, tẩy phần mắt môi ko bị cay)
2. Srm Hada Labo
3. Toner Simple
4. Kem phục hồi da b5 của Nga</t>
  </si>
  <si>
    <t>2019-11-24 00:37:57</t>
  </si>
  <si>
    <t>Tô Nguyễn Thanh Phương</t>
  </si>
  <si>
    <t>100021746002934</t>
  </si>
  <si>
    <t xml:space="preserve">#Helpme #Ask </t>
  </si>
  <si>
    <t>Chào mọi người ạ!
Hai năm trước đây em thấy có 1 vùng trắng ở dưới mắt trái nhìn như bị bạch tạng ấy ạ, em có đi khám và uống cũng như bôi thuốc thì vùng trắng đó biến mất và thay vào đó là những đốm tàn nhang. Một thời gian sau thì nó chuyển lên vùng mi dưới và đầu lông mày, khiến lông mày và lông mi ở vùng đó bạc hết và dừng tại đó k lan rộng thêm nữa ( do em có uống thuốc, nhưng em lại gặp vấn đề về thận nên ngưng). Em có đi khám thì bác sĩ bảo là không tìm thấy vi khuẩn nấm. 
Không biết mọi người trong group mình có ai gặp hoặc quen ai bị tình trạng này mà chữa khỏi chưa ạ? Chứ mãi chưa khỏi em buồn quá
#Ask</t>
  </si>
  <si>
    <t>2019-12-23 08:29:28</t>
  </si>
  <si>
    <t>Nguyễn Hương</t>
  </si>
  <si>
    <t>100042336921473</t>
  </si>
  <si>
    <t xml:space="preserve">#Ask  </t>
  </si>
  <si>
    <t>Ảnh e lấy trên mạng để minh họa thôi ạ chứ k có ghê vậy đâu ạ e lấy ảnh này chỉ vì có cái giãn mao mạch thôi ạ.  e bị giàn 3 đường nhìn rõ í ạ 
E năm nay 18t và e dấn thân vào kem trộn và rượu thuốc khá sm từ thời lớp 9 ạ. 
Dùng một tgian da bắt đầu mỏng lộ cả mao mạch e còn hay bị nóng đỏ và châm chích nhưng gần đây e đi spa chăm sóc da mặt chuyên sâu mấy bk thấy nỏ đỡ hn nóng đỏ và châm chích nhưg mao mạch thì ko ạ.  Mọi người cho e hỏi bây giờ e phải lm như thế nào để da khỏe chứ da e mỏng dí vs da k còn thấy mao mạch nữa ạ</t>
  </si>
  <si>
    <t>2019-04-18 02:59:22</t>
  </si>
  <si>
    <t>Nguyễn Mai Vinh</t>
  </si>
  <si>
    <t>100010223987429</t>
  </si>
  <si>
    <t>Ai dùng nước hoa hồng thayers cho da mụn này chưa ạ cho e xin ít review với ạ</t>
  </si>
  <si>
    <t>2019-10-22 14:26:55</t>
  </si>
  <si>
    <t>Nguyễn Thị Ly</t>
  </si>
  <si>
    <t>100009490333164</t>
  </si>
  <si>
    <t xml:space="preserve"> #Acosmetics #kembodymem #review
Có chị em nào dùng kem body mềm của A cosmectics chưa? E xin ít review nào 😘
Edit: kem trộn lòi nha các chị em. Trên youtube có cả video phân biệt hàng giả với hàng thật mới ghê chứ. Có cả tem chống hàng giả này nọ, giờ e mới biết có cả hàng nhái của kem trộn 😂😂 
Cứ tưởng kem có mã code, tem chống hàng giả, check code ra hàng cty luôn là an toàn, ai dè 😒, e mất niềm tin vào cuộc sống quá 😂 
Ai đang dùng dừng nghe! E tìm hiểu mấy ngày zời thấy toàn phản hồi tốt, tính mua dùng thì bài này của e đc duyệt 😆</t>
  </si>
  <si>
    <t>2019-05-04 08:39:47</t>
  </si>
  <si>
    <t>Miu Linh</t>
  </si>
  <si>
    <t>1773503875</t>
  </si>
  <si>
    <t xml:space="preserve">#review #kembodymem #Acosmetics  </t>
  </si>
  <si>
    <t>#tips #biotin #nhuomtoc #pongcho #rungtoc
mnguoi oiiiiiiiiiiii 
ai có tips gì hay có thực phẩm chức năng nào có thể giúp da đầu khoẻ lên với trị rụng tóc ko ạ🗣🗣🗣 
tết sắp đến nơi rồi :((( dự định tẩy tóc nhuộm sương sương vẫn chưa thực hiện được do da đầu yếu với tóc rụng thấy mẹ huhu 
nhìn ngta nhuộm tóc thấy thèm :(((( 
(ảnh ny em :(()
em cám ơn vì đã duyệt bài ạ ❤️</t>
  </si>
  <si>
    <t>2019-12-03 13:39:50</t>
  </si>
  <si>
    <t>Dinh Manh Tan</t>
  </si>
  <si>
    <t>100007210275563</t>
  </si>
  <si>
    <t xml:space="preserve">#rungtoc #pongcho #nhuomtoc #biotin #tips </t>
  </si>
  <si>
    <t>#KHÔNGDÀNHCHONAM
#ask 
#goctenhi
#quanlot
#ddvs
Edit: Cảm ơn các m nhiều nha. T không nghĩ mn góp ý tích cực vậy luôn😘 ráng vài hôm nữa t thử mua mỗi loại các m bày 1 cái, về mang thử coi sao kkk
Tks c Hằng đã duyệt bài ạ❤️
Chào c Hằng, a Cường, các mod và các thành viên của ĐCS.
Em xin phép dùng acc culone vì vấn đề e hỏi ở đây khá tế nhị và trong đây toàn người quen 😭
Chắc đây cũng là tình trạng chung của nhiều ce, mà e chưa thấy ai lên bài nên đành lên bài hỏi vì cấp bách quá rồi.
Với tính chất việc học và việc làm em phải ngồi cả ngày, nên phần mông có hơi sạm màu, em đã và đang dùng xà phòng quả đào của Nhật và rất ưng ý. 
Bên cạnh đó, quần trong của e hoàn toàn là quần ren =))) (mang hỗ trợ cho việc trị thâm mông chứ không hư hỏng nhé :v). Nhưng dạo gần đây e cảm thấy vẫn rất khó chịu, vùng da bị sạm cứ có cảm giác bị quần chèn lên nó và khá là "cấn", nhiều khi ngồi lâu 1 lúc là chỉ muốn đứng lên tách nó ra😭chỉ sợ nó lại sạm thêm thì khổ.
Xin các cao nhân chỉ cho em loại quần nào mang dễ chịu 1 chút, chứ e ngồi mãi mà cứ vậy khó chịu muốn chết mất. Nhiều người khuyên mang lọt khe nhưng e lại sợ da mông lại cạ với vải quần cũng đau :(( nên có loại quần nào các c mang thấy thoải mái, ko cấn cớ, "mang như ko mang" thì review cho em vớiiii❤️
Với cả sẵn hashtag tế nhị rồi nên em muốn hỏi luôn là mn dùng dung dịch vệ sinh gì vậy ạ? Em thì đang dùng Scion của Mẽo, độ ph thì thấy chuẩn nhưng chã hiểu sao vẫn cảm thấy hơi khô. Có loại nào đảm bảo được tính sạch nhưng vẫn đảm bảo độ "ngon" không ạ😫</t>
  </si>
  <si>
    <t>2019-05-05 12:39:51</t>
  </si>
  <si>
    <t>Lam Dương</t>
  </si>
  <si>
    <t>100026664497038</t>
  </si>
  <si>
    <t xml:space="preserve">#ddvs #quanlot #goctenhi #ask  #KHÔNGDÀNHCHONAM </t>
  </si>
  <si>
    <t xml:space="preserve">
#thammat
Em bị quầng thâm mắt cực kỳ rõ ạ :(( 1 phần do gene, 1 phần là em bị chứng mất ngủ. Một ngày em chỉ ngủ được nhiều nhất là 5 tiếng, rồi đến 1 ngày nọ bị sập thì ngủ đến 12 tiếng liên tục rồi lại mất ngủ triền miên ạ 😞 nên da của em sạm rồi mắt thâm dã man. 
Các chị có tip nào để ngủ ngon và sản phẩm nào để trị thâm mắt hiệu quả ko ạ? Em toàn phải uống thực phẩm chức năng để ngủ, hnao lười là y rằng thức đến sáng luôn.</t>
  </si>
  <si>
    <t>2019-06-09 02:08:31</t>
  </si>
  <si>
    <t>Đỗ Hồng Hạnh</t>
  </si>
  <si>
    <t>100003656926679</t>
  </si>
  <si>
    <t xml:space="preserve">#thammat </t>
  </si>
  <si>
    <t>Mắt em một mí lót. Em dự định đi nhấn mí mọi người tư vấn cho em là nên nhấn hay đi cắt mí ạ🌚😪
Mong ad duyệt bài hộ em</t>
  </si>
  <si>
    <t>2019-12-25 12:22:24</t>
  </si>
  <si>
    <t>Lê Ngọc Diễm Quỳnh</t>
  </si>
  <si>
    <t>100011422151421</t>
  </si>
  <si>
    <t>#mohoidau #muihoiquanao 
Chẳng là em trai mình bị mồ hôi dầu, mặc dù nó rất chăm chỉ tắm rửa mỗi ngày 2 lần cơ mà nó vẫn hôi kinh khủng
Quần áo thì hay mặc đồ màu đen, mà mình cũng ko hiểu sao cái đồ màu đen nó bám hôi dai như thế! Nhiều lần mình ngâm nước nóng giặt xả các thứ rồi mà phơi cái áo lên mùi vẫn kinh dã man
Ở đây có bạn nào gặp tình trạng này có tip xử lý mùi cơ thể và quần áo thì gợi ý cho mình với! Mình cảm ơn ạ</t>
  </si>
  <si>
    <t>2019-12-20 22:18:02</t>
  </si>
  <si>
    <t>Diệu Thanh</t>
  </si>
  <si>
    <t>100006782525915</t>
  </si>
  <si>
    <t xml:space="preserve">#muihoiquanao #mohoidau </t>
  </si>
  <si>
    <t>Hồi nhỏ mình hay trôm kem trộn của má mình bắt chước sức tay cho trắng đẹp. 
Bây h mà mình đi ra nắng là 2 bàn tay mình nổi hột đỏ đầy luôn. Mặc dù đã sức kem chống nắng + đeo bao tay nhưng vẫn bị. Chẳng biết mình có bị bệnh da liễu ko 😥</t>
  </si>
  <si>
    <t>2019-11-26 11:16:42</t>
  </si>
  <si>
    <t>Anh Kiệt</t>
  </si>
  <si>
    <t>100002378622897</t>
  </si>
  <si>
    <t>Mọi người giới thiệu cho em vài loại áo lót với ạ, năm nay em lớp 9, vòng 1 cũng không phải lớn nhưng mặc bra loại 3 dây giống hình dưới thì cảm thấy hơi chật và khó chịu lắm, mong mn chỉ em loại nào thoải mái hơn xíu ạ, em cảm ơn
#bra</t>
  </si>
  <si>
    <t>2019-10-07 01:47:04</t>
  </si>
  <si>
    <t>Thảo Nhi</t>
  </si>
  <si>
    <t>100038862440763</t>
  </si>
  <si>
    <t xml:space="preserve">#bra </t>
  </si>
  <si>
    <t xml:space="preserve">Mng cho em hỏi tay em như vậy có phải là bị NÁM không ạ 😥 em bị cách đây 3 tuần. Và em chỉ mới 16t thôi ạ. Mng cho em xin những loại thuốc hay những tips nào trị được. Em xin cảm ơn 😭
Lần đầu em viết bài hơi nhiều thiếu xót nên mong mng bỏ qua ạ !!!
Xin phép ad duyệt bài cho em ạ ❤❤❤
</t>
  </si>
  <si>
    <t>2019-11-30 11:31:13</t>
  </si>
  <si>
    <t>Nhi Băng</t>
  </si>
  <si>
    <t>100027212593658</t>
  </si>
  <si>
    <t>#Đeochanhsa #canhmuito
Mọi người cho em hỏi là cánh mũi to và thô thì mình dùng tay ép thường xuyên nó có đỡ không ạ. Cánh mũi em to và không cân đối với khuôn mặt ạ.</t>
  </si>
  <si>
    <t>2019-10-10 13:34:25</t>
  </si>
  <si>
    <t>Lâm Huy Nhân</t>
  </si>
  <si>
    <t>100017821145491</t>
  </si>
  <si>
    <t xml:space="preserve">#canhmuito #Đeochanhsa </t>
  </si>
  <si>
    <t>Em mong add duyệt bài này giúp em 
Mấy anh chị ơi giúp em với 😩😩😩
Chuyện là công việc của em là pha chế , nên em không thể không đụng nước 
Dạo gần đây tay e bị khô ráp lên rồi bung da tét thịt , chảy máu hết mấy đầu ngón tay 😭😭
Cho em hỏi trong goup có ai bị hoặc có loại thuốc nào giúp em với . Em cảm ơn nhiêu lắm ạ</t>
  </si>
  <si>
    <t>2019-12-06 13:25:07</t>
  </si>
  <si>
    <t>Thanh Ny</t>
  </si>
  <si>
    <t>100005928760830</t>
  </si>
  <si>
    <t>Bầu bé T2 e tăng 27kg . H bé đc 3 tháng rồi ( e sinh mổ ) mà bụng vẫn như bầu 5-6 tháng 😞 k dám nhìn vào gương luôn ý. 
Ai có cách nào về dáng nhanh giảm da trùng , dạn không chỉ e với ạ .
E cảm ơn !</t>
  </si>
  <si>
    <t>2019-11-22 16:52:28</t>
  </si>
  <si>
    <t>Thỏ Tracy</t>
  </si>
  <si>
    <t>100004167039448</t>
  </si>
  <si>
    <t>#trịdịứngthờitiết
Hồi mấy tháng trước tự nhiên mình bị ngứa mọc khắp người, ngứa được tầm 2 ngày thì lướt fb thấy cái hình y như mình bị, đọc cmt mới biết có cái chứng dị ứng thời tiết và có người nói bị 20 năm rồi đi khám uống thuốc ko hề thuyên giảm, có người lại nói bị sán chó nên hoang mang vô cùng, mình để thêm mấy ngày nữa xem tình hình sao rồi đi xét nghiệm mà ngày nào nó cũng nổi, thường thì nổi vào lúc chiều tối rồi có hôm 1h sáng dậy gãi đến 4h mới ngủ tiếp được. Vô tình mình chụp hình vết ngứa đăng lên zalo thì bạn mình chỉ cho là kiếm cây chó đẻ nấu với phèn chua tắm là hết, mình làm theo và đúng là lặn thật, mà sau đó 1 tháng nó lại mọc, rồi mình lại tắm và ngưng, mình chỉ tắm 1 tuần thôi chứ ko tắm lâu dài vì chủ quan nghĩ nó lặn rồi nên ko tắm nữa. Cũng may mắn là gần nhà mẹ chồng có nhiều nên chỉ cần méc mẹ là mẹ đi nhổ cho rồi nấu tắm thôi. Bữa thấy có bạn đăng lên hỏi về vấn đề này nên mình nghĩ nên viết bài này chia sẻ thông tin, dù gì nó lặn đi lâu lâu nổi lên cũng hơn là gãi suốt ngày đúng ko, mà biết đâu tùy cơ địa hết hẳn luôn thì sao.
Mình chưa đi xét nghiệm nên ko rõ là sán chó hay dị ứng thời tiết, nhưng mình nghĩ m bị dị ứng chứ ko phải là sán chó.
 duyệt bài giúp mình nhé, mình cảm ơn.</t>
  </si>
  <si>
    <t>2019-10-02 10:56:18</t>
  </si>
  <si>
    <t>100014181550913</t>
  </si>
  <si>
    <t xml:space="preserve">#trịdịứngthờitiết </t>
  </si>
  <si>
    <t>Có ai bị như vậy không ạ? Tróc da và chảy máu còn bị nhăn da sao khi hết nữa. 
Có cách gì để chữa hết không help me. 
#hoiykien</t>
  </si>
  <si>
    <t>2019-12-24 14:54:32</t>
  </si>
  <si>
    <t>一小央泽</t>
  </si>
  <si>
    <t>100029056973184</t>
  </si>
  <si>
    <t xml:space="preserve">#hoiykien </t>
  </si>
  <si>
    <t>#ask #trimun 
Mọi người ơi, ai giúp em đc không ạ.😭. Mặt em cứ nổi mụn tùm lum ntn dù em có nặn mụn xong về 5-7 ngày lại đâu vào đó
Skincare của em: tẩy trang chacott - srm aderma - tỏner labo labo - serumcosmedica- kem dưỡng aderma duo( dòng phục hồi), kcn larocheposay-mrm foreo mini2. 
Ngoài ra tuần tẩy da chết bằng huxley 2 lần, và có đắp mask aztec ạ,
Ngày e uống đủ 2 lít nước, ăn nhiều hoa quả nữa ạ. Ngoài ra em đang uống omega 3. 
Mọi người giúp em với ạ. Ra đường mọi người cứ quở: mặt nhiều nốt thế. Ghê thế.. thật sự rất tự ti ạ😢 em 20t ạk.</t>
  </si>
  <si>
    <t>2019-11-05 06:56:31</t>
  </si>
  <si>
    <t>Đinh Hà Trang</t>
  </si>
  <si>
    <t>100037738102463</t>
  </si>
  <si>
    <t xml:space="preserve">#trimun #ask </t>
  </si>
  <si>
    <t>#ask #thamdo #tritham 
Mọi người ơi, sau 1 thời gian trị mụn viêm thì hiện giờ đống mụn đó đã hết nhưng để lại thâm đỏ cho em rất nhiều, mà ác cái toàn tập trung hết bên má phải chứ má trái của em thì láng mịn lắm. Em có kết hợp bôi vitamin C tươi và uống vitamin C và E (Enat 400) nhưng tình hình không thấy cải thiện gì mấy :( mọi người có ai ở đây đã từng trị dứt điểm mấy cái thâm đỏ chưa ạ chỉ cách cho em với. Em dễ thâm vậy một phần cũng do cơ địa của em nữa, trầy có vết nhẹ cũng để lại thâm mấy tháng mới hết, đi đâu ai cũng quở thâm nhiều thế, sắp tết rồi mà em nản ghê nơi</t>
  </si>
  <si>
    <t>2019-12-19 03:21:07</t>
  </si>
  <si>
    <t>Hoàng Hải</t>
  </si>
  <si>
    <t>100027068025717</t>
  </si>
  <si>
    <t xml:space="preserve">#tritham #thamdo #ask </t>
  </si>
  <si>
    <t>Mình xin phép dùng acc clone ạ vì có nhiều người quen trong group nên mình cũng hơi ngại ạ.
Con gái 2 mươi mấy nồi bánh chưng rồi chưa có người yêu, mọi người ơi có phương pháp nào cứu vớt nhan sắc này không ạ.</t>
  </si>
  <si>
    <t>2019-11-28 11:12:21</t>
  </si>
  <si>
    <t>Băng Tâm</t>
  </si>
  <si>
    <t>100038844017622</t>
  </si>
  <si>
    <t xml:space="preserve">Nhìn cái bịch trước nên ngỡ "bịch yaourt huyền thoại " phiên bản 2020
Hay có ai nhìn thành sốt mayonnaise không 😂😂😂
#j4f
#kemtron
</t>
  </si>
  <si>
    <t>2019-12-06 22:56:56</t>
  </si>
  <si>
    <t>An Nhiên Ngọc Nguyễn</t>
  </si>
  <si>
    <t>100022115317246</t>
  </si>
  <si>
    <t xml:space="preserve"> #kemtron #j4f </t>
  </si>
  <si>
    <t>Chào mọi người ạ. Em là thành viên mới của nhóm da của em mới đầu ít mụn ạ. Sau thời gian em có dùng ttbc hh của paulachoice thì da nổi mụn lên k biết đây có phải là đẩy mụn thông thường không ạ. Do em đi spa lấy mụn thì các chị ở ở đó bảo da của em bị mỏng và yếu đi em hơi hoang mang ạ 😭😭😭 ở đưới là hình da em hiện tại ạ 
Các sp em dùng em up dưới cmt ạ
Mong ad duyệt giúp  với ạ</t>
  </si>
  <si>
    <t>2019-11-07 03:08:01</t>
  </si>
  <si>
    <t>Dương Hân</t>
  </si>
  <si>
    <t>100030075075355</t>
  </si>
  <si>
    <t xml:space="preserve">
Hi mọi người, cho mình xin một số loại kem phục hồi da sau khi mụn với ạ hiện tại da mình còn thâm với sẹo ạ. 
Da mình là da khô nên dùng loại Kem chống nắng nào tốt ạ.
Thanks all 😊</t>
  </si>
  <si>
    <t>2019-12-23 12:21:27</t>
  </si>
  <si>
    <t>Xinh Ping</t>
  </si>
  <si>
    <t>100044455691884</t>
  </si>
  <si>
    <t>#Dep_chanh_sa 
#Ask_Tri_mun
Các chị đẹp vào giúp em với 😭 . Đi khẩu nghiệp nhiều quá nên giờ mặt bị nghiệp quật tùm lum mụn rồi nè .
Em mới chuyển về khu khác sống, do không hợp nước nên mặt bắt đầu lên mụn . Da em là da nhạy cảm , hay đổ dầu vùng chữ T . 
Hiện tại em chỉ dám dùng tẩy trang của Simple , toner Simple , srm innisfree + máy rửa mặt :((( . Không dám dùng kem chống nắng vì lỗ chân lông to sợ lại nuôi mụn .
Các chị đẹp cho em xin vài tuýp để đẩy mụn và làm còi mụn đi với ạ . Và nếu dùng máy rửa mặt thì nên kết hợp với sửa rửa mặt nào lành tính mà tạo bọt đc ạ ? :((( 
Vài hôm nữa sắp có sự kiện quan trọng rồi mà mặt mũi thế này chết em mất 😭
Chị Hằng và các Adm duyệt giúp em với ạ 😘</t>
  </si>
  <si>
    <t>2019-12-01 02:59:35</t>
  </si>
  <si>
    <t>Lê VânAnh</t>
  </si>
  <si>
    <t>100015504313124</t>
  </si>
  <si>
    <t xml:space="preserve">#Ask_Tri_mun #Dep_chanh_sa </t>
  </si>
  <si>
    <t xml:space="preserve">Mụn thôi đã làm e tự ti mà còn thêm thâm mụn nữa mong mn tư vấn những sp trị mụn và thâm mụn giúp e với ạ 😞 huhu còn cộng thêm lỗ chân lông to như ống cống nữa chứ 😞 mong ad duyệt bài giúp e ạ
#tuvan
</t>
  </si>
  <si>
    <t>2019-11-29 00:22:49</t>
  </si>
  <si>
    <t>Vong Gia Huy</t>
  </si>
  <si>
    <t>100005479455301</t>
  </si>
  <si>
    <t>Da mặt mình dạng bị lão hoá sớm, da bị trùng nhão,  lỗ chân lông siêu to, thâm sạm và mụn ẩn rất nhiều. Các bạn có kinh nghiệm chăm sóc da chia sẻ bí quyết giúp mình cải thiện với ạ. Mình mới 24t nhưng da cảm giác như u40 u50 😢😢😢
Nhìn các bạn gái da trắng mịn ngưỡng mộ thật sự luôn đấy ạ 😞</t>
  </si>
  <si>
    <t>2019-11-26 09:24:46</t>
  </si>
  <si>
    <t>Phong Vũ</t>
  </si>
  <si>
    <t>100024478775339</t>
  </si>
  <si>
    <t>#bảngmắt
Chào mọi người, chuyện là em đang muốn tìm 1 bảng mắt tone Tây hoặc là để đánh theo kiểu sắc sảo , hoặc là khói. Mọi người có thể recommend cho em 1 số bảng đc ko ạ. Trước bánh bèo thì có newtral2 vs cả bảng tutu tone cam rồi. Giờ muốn thử đổi sang kiểu khác.
Cảm ơn mọi người nhiềuuu ❤️❤️
P/s: ảnh chống trôi thôi ạ</t>
  </si>
  <si>
    <t>2019-12-06 15:29:42</t>
  </si>
  <si>
    <t>Như Phương</t>
  </si>
  <si>
    <t>100004071545491</t>
  </si>
  <si>
    <t xml:space="preserve">#bảngmắt </t>
  </si>
  <si>
    <t>Mng ơi. Da em như này có nặng quá kh ạ, da em cứ đỏ đỏ và đổ dầu.Làm sao để bớt mụn đây mng ơi, cứ như vầy chắc em trầm cảm quá😭</t>
  </si>
  <si>
    <t>2019-11-28 05:37:09</t>
  </si>
  <si>
    <t>Nguyễn Trần Khánh Hân</t>
  </si>
  <si>
    <t>100030056229478</t>
  </si>
  <si>
    <t>Mấy chị cho em hỏi là sợi bã nhờn không trị được đúng ko ạ?
Em thử nhiều cách từ tbc hoá học-xông hơi-dùng mặt nạ đất sét mà chả thấy có tác dụng gì luôn á</t>
  </si>
  <si>
    <t>2019-11-29 00:27:16</t>
  </si>
  <si>
    <t>Mai Quinnie</t>
  </si>
  <si>
    <t>100015197317620</t>
  </si>
  <si>
    <t>❤ Mong ad duyệt bài giúp e ạ❤
- Các chị cho em xin ít ý kiến về tẩy trang loại này đi ạ. Hôm qua e mới sd lần đầu tiên ạ nhưng thấy nó cứ dính dính s ý. E hỏi ngu tí😂 là sau khi tẩy trang xong có bắt buộc là phải rửa lại với nước không ạ.</t>
  </si>
  <si>
    <t>2019-10-21 10:42:47</t>
  </si>
  <si>
    <t>Nguyễn Huyền Trang</t>
  </si>
  <si>
    <t>100013925317156</t>
  </si>
  <si>
    <t>Các chị ơi, em cần dc thông não ạ. Vì tóc em là tóc dầu nên gội dc 1 ngày là bết. Do ngày nào cũng phải gội nên em đã mua dầu gội khô về dùng cho đỡ tốn thời gian. Lúc đầu em có dùng dầu gội khô dạng xịt thì thấy rất ok nhưng nghe nói k tốt cho tóc nên em đã chuyển sang dùng dạng gel của tsubaki ạ. Tuy em tsubaki này dc review rất tốt nma em lại càng dùng càng bết. Nên chị gái nào chỉ cho em cách dùng với dc k ạ vì em sợ em dùng sai cách ạ. Em cảm ơn nhiều ạaaa</t>
  </si>
  <si>
    <t>2019-12-02 00:24:15</t>
  </si>
  <si>
    <t>Hà Vân</t>
  </si>
  <si>
    <t>100008245290039</t>
  </si>
  <si>
    <t>Xin chào!
   Các chị có thể cho e xin review về 2 loại máy rửa mặt halio và Xaomiao này được  không ạ. E đang muốn mua mà phân vân về 2 dòng máy này. Mà đang sinh viên nên e cũng không đủ kinh tế để mua các máy mắc tiền. Mong AD duyệt bài giùm e ạ ❤️❤️  #reviewmayruamat</t>
  </si>
  <si>
    <t>2019-10-19 16:39:13</t>
  </si>
  <si>
    <t>Đài Trang</t>
  </si>
  <si>
    <t>100009100169996</t>
  </si>
  <si>
    <t xml:space="preserve">#reviewmayruamat  </t>
  </si>
  <si>
    <t>ok và mùa đông đã đến không biết có chị đẹp nào bị giống em môi khô nứt ra giống kiểu cảm giác cắn  nát môi cho đở buồn bực không, thậm chí sáng giờ em không dám đánh son vì sợ khô môi, đã bôi dưỡng nhưng vẫn khô, cảm giác buồn bực khó chịu cực luôn ạ huhu có cách nào bớt không chớ em lột môi em muốn chảy cả máu rồi 😭😭😭 em cảm ơn trước ạ</t>
  </si>
  <si>
    <t>2019-12-11 09:21:08</t>
  </si>
  <si>
    <t>Phan Thị Thúy Vi</t>
  </si>
  <si>
    <t>100005557682992</t>
  </si>
  <si>
    <t>#hútchì #thảichì
Cảnh báo lừa đảo!
Mấy ngày nay xôn xao vụ ô nhiễm môi trường ở vn. Các spa liền đăng bài quảng cáo rầm rộ pp thải chì làm thu hút chú ý mn 
Hôm nay e đăng bài cảnh báo cho chị em mình có thêm kiến thức để k bị lừa nhé.
Thật ra da chúng ta k có bất cứ độc gì hết lổ chân long chỉ có bụi mịn PM2.5 và cặn bã nhờn việc thải độc chì qua da là sai khoa học không có căn cứ cái đen đen mà spa bảo là chì kia là 1 chất không rỏ nguồn gốc đc bôi lên mặt + tác động nhiệt độ nóng và mô hôi dầu trên da nên có hiện tượng oxy hóa chất k rỏ nguồn gốc kia k biết là chất gì có thể gây kích ứng da và viêm da tiếp xúc,</t>
  </si>
  <si>
    <t>2019-10-02 12:36:00</t>
  </si>
  <si>
    <t>Minh</t>
  </si>
  <si>
    <t>100024856811711</t>
  </si>
  <si>
    <t xml:space="preserve">#thảichì #hútchì </t>
  </si>
  <si>
    <t>#thamnach
Mọi người chỉ e cách hết thâm nách vs ạ, rầu quá lm đủ mọi cách mà vẫn không hết thâm.
Hình mạng ạ, nách e thì thâm ít hơn hình này như dùng đủ mọi cách chả hết huhu ( backing soda, chanh, ...) và e không dùng được xà phòng ạ.
Mong ad duyệt bài ạ</t>
  </si>
  <si>
    <t>2019-08-12 03:28:47</t>
  </si>
  <si>
    <t>Pham Trinh</t>
  </si>
  <si>
    <t>100009481792968</t>
  </si>
  <si>
    <t xml:space="preserve">#thamnach </t>
  </si>
  <si>
    <t>Ở mắt trái em có 2 mụn ruồi . Một cái ở gần đuôi mắt còn một cái thì ở ngay mí dưới. Chuyện cũng chả có gì khi càng ngày lại càng có nhiều người khuyên e( có cả mẹ e nữa) nên tẩy mụn ruồi vì ảnh hưởng đến vận số ( thực sự e không mê tín nhưng vì nhiều người nói quá nên cũng lăn tăn) và chê nó vô duyên . Ngặt là cái mụn ruồi kia lại ngay mí mắt nên e cũng rất bế tắc. 
Ai có kinh nghiệm về mụn ruồi chỉ e với ạ. Xóa hay không xóa. Và xóa thì xóa bằng cách nào ạ</t>
  </si>
  <si>
    <t>2019-11-19 09:46:46</t>
  </si>
  <si>
    <t>Diệp Thanh</t>
  </si>
  <si>
    <t>100021301492560</t>
  </si>
  <si>
    <t>Tình trạng da mk như này.sợi bã nhờn vs mụn đầu đen nhiều lắm á.có bạn nào sp nào giúp mk vs ak</t>
  </si>
  <si>
    <t>2019-12-07 05:12:44</t>
  </si>
  <si>
    <t>Hiền Bùi</t>
  </si>
  <si>
    <t>100008849048565</t>
  </si>
  <si>
    <t>Mọi người ơi có ai biết cách nào trị hôi nách k ạ ??? Chuyện là người yêu em cũq là chồng em bây giờ Đm lúc yêu cả gần 3 năm trời lúc nào cũq nước hoa năn ngăn mùi đủ thứ đi cạnh lúc nào cũq thơm phức 🙂 Nhiều khi nghĩ ra đường mà gái mùi người nó là thèm đụ luôn á . Nhưng không quý dị cũq biết r đó cưới về thì bao nhiêu cái xấu mới lòi ra 🤣 Chồng em bị hoi nách nặng cmnr mn ạ . Mới thì e còn cảm thấy khó chịu giờ cũq đỡ phần nào nhưng lâu lâu bị ai đó phàn nàn về chồng e như vậy  em có chút tự ái không thích cho lắm ( Ở đây không phải khuyên nha mà nói này kia í )  .   . Chỉ có lúc làm nhiều đổ mồ hôi mới bị hôi thôi ạ . Anh chị nào trong goup có cách nào hay thuốc nào trị tốt giới thiệu em với ạ . Em cảm ơn !!!</t>
  </si>
  <si>
    <t>2019-12-02 13:34:29</t>
  </si>
  <si>
    <t>Nguyễn Châm</t>
  </si>
  <si>
    <t>100010409857380</t>
  </si>
  <si>
    <t>#mụn #tuvan #help
Chào mọi người, em xin phép dùng acc clone ạ vì em ngại người quen. Đây là tình trạng da hiện tại của em. Em bị mụn được 4 năm nhưng chưa bao giờ nhiều thế này, em da hỗn hợp và hiện tại có dùng tẩy trang L’Oreal nắp hồng và srm Cetaphil. Em có xin đi da liễu nhưng nhà em bảo là đi cũng không hết nên em không biết phải làm sao nữa. Mọi người giúp em với ạ, em thật sự rất bất lực 😞</t>
  </si>
  <si>
    <t>2019-12-07 13:20:05</t>
  </si>
  <si>
    <t>Niên Niên</t>
  </si>
  <si>
    <t>100025488518960</t>
  </si>
  <si>
    <t xml:space="preserve">#help #tuvan #mụn </t>
  </si>
  <si>
    <t>Mọi người ơi, có ai bị khô da kiểu khô kinh khủng khiếp ko ạ. Da em khô, mùa hè thì nó cũng khô bình thường thôi nhưng mà xịt khoáng dưỡng ẩm các thứ thì đỡ. Còn mùa đông nó như kiểu da trâu ý ạ. Em có dùng tdc, đắp mặt dưỡng ẩm và dùng các loại kem ẩm mà nó chỉ đc 1 tí xong lại khô ngay. Nhất là mũi, 2 cánh mũi và gò má, nhiều lúc nó kiểu khô khô mà bóc da đc luôn ấy ạ 🥺 Tay chân em cũng bị khô nữa, nhìn gầy mà tay chân khô keo nó kì lắm. Các chị thông thái cho em xin vài ý kiến ạ chứ ngày nào em cũng ngồi bóc bóc mấy cái da khô này ra huhuhu</t>
  </si>
  <si>
    <t>2019-11-02 03:51:07</t>
  </si>
  <si>
    <t>Chang Quynh Nguyen</t>
  </si>
  <si>
    <t>100008916075546</t>
  </si>
  <si>
    <t>Mn ơi cho em hỏi lúc trc e bị ít mụn, e nặn bị thâm, e có dùng sản phẩm trị mụn thâm khoảng 2 tháng rưỡi k thấy hết mà càng ngày mụn càng nhiều và thâm thêm, mn tư vấn em phải làm sao với ạ, em cảm ơn</t>
  </si>
  <si>
    <t>2019-11-28 13:37:51</t>
  </si>
  <si>
    <t>Nguyễn Đức Nghĩa</t>
  </si>
  <si>
    <t>100017254426851</t>
  </si>
  <si>
    <t xml:space="preserve">
#help
Chào mọi người!
1 năm trước tóc em có uốn và nhuộm, sau lần đó thì tóc đột ngột rụng rất nhiều, tóc xấu đi hẳn. 
Em để vậy không dám làm gì cả năm nay. Em cũng có uống biotin, mua loại thuốc xịt kích thích mọc tóc trước khi gội đầu. 
Nhưng tình trạng rụng vẫn không cải thiện được bao nhiêu. Mỗi tháng E có cắt phần hư tổn đi
Em tham khảo em tính làm keratin để hồi phục lại. Mọi người cho em xin ý kiến nhé!
P.s: thêm 1 tấm tóc em hồi chưa hư tổn ạ.</t>
  </si>
  <si>
    <t>2019-12-11 09:31:03</t>
  </si>
  <si>
    <t>Phương Dung</t>
  </si>
  <si>
    <t>100005667763320</t>
  </si>
  <si>
    <t>M.n có ai biết cách trị thâm do mụn hiệu quả không ạ ??? 
Da em thuộc dạng da dầu,có một ít mụn ẩn chủ yếu là thâm,xung quanh vùng mũi em cũng bị thâm,em cũng đã sử dụng nhiều tinh chất trị thâm nhưng vẫn k đỡ,da em k đều màu và bị xỉn màu đăng lên đây mong m.n tư vấn giúp em với ạ! 
MONG AD DUYỆT BÀI 
#đepchanhsa</t>
  </si>
  <si>
    <t>2019-12-12 04:50:58</t>
  </si>
  <si>
    <t>Phan Thị Kim Dung</t>
  </si>
  <si>
    <t>100007878941172</t>
  </si>
  <si>
    <t>Mng ơi cứu em với ạ
Da mặt em tự nhiên bị nổi quá trời mụn li ti như này luôn, nổi luôn cả dưới ngực ạ. Đầu mụn chỗ ngực có đầu mủ. Mng có mẹo hay có cách nào chỉ em với, chứ sát Tết mất ạ. E có ý định đi lấy nhân mụn, vậy có ổn không ạ? Da em nhạy cảm, da hơi độc.</t>
  </si>
  <si>
    <t>2019-12-21 05:13:49</t>
  </si>
  <si>
    <t>#ask #help
Da em trước nay khá ít mụn, nên em chưa từng sử dụng qua loại kem trị mụn nào. Nhưng dạo này da em có nổi mụn như này, em có bôi kem nghệ của thorakao, có đỡ nhưng đỡ cái này nó lại nổi thêm cái khác.
Cho em hỏi mụn như này thì dùng gel chấm mụn nào hiệu quả ạ?
Em ko skincare nhiều, chỉ tẩy da chết 1 lần/tuần, nước tẩy trang- sữa rửa mặt- toner</t>
  </si>
  <si>
    <t>2019-11-11 08:56:37</t>
  </si>
  <si>
    <t>Hoàng Thu Hằng</t>
  </si>
  <si>
    <t>100017399617411</t>
  </si>
  <si>
    <t>e bị tn khắp chân tay vs vùng thắt lưng ạ :((
ngứa ngáy khó chịu mà cứ ngứa là lại chảy máu vs nổi mụn liti khắp chân :(( 
có ai biết bị ls ko ạ vs chỉ e cách chữa vs ạ e đang cho con bú nữa mẹ thì ngứa ngáy khó chịu :((</t>
  </si>
  <si>
    <t>2019-12-08 00:45:22</t>
  </si>
  <si>
    <t>Huế Em</t>
  </si>
  <si>
    <t>100004481529848</t>
  </si>
  <si>
    <t xml:space="preserve">
#ask
Cách đây 3 hôm thì mép môi dưới của mình có sưng to 1 cục mụn không nhân. Sáng nay dậy thì thấy nó lan mấy mụn nhỏ li ti. Mọi ngừoi ai từng trải qua hay biết vấn đề như trên hình của mình thì chia sẻ với.
Cảm ơn ạ
📌update: mình đã khám bệnh viện da liễu và bác sĩ nói mình nhiễm Herpes. Hiện mình đã được kê thuốc uống lẫn bôi. Vì mục chung của group là để chia sẻ và trao đổi kiến thức làm đẹp nên mình trân trọng ý kiến đóng góp của các bạn. Đa tạ ạ ✌🏼</t>
  </si>
  <si>
    <t>2019-08-25 03:18:26</t>
  </si>
  <si>
    <t>Nguyễn Bá Tiến</t>
  </si>
  <si>
    <t>100006628413915</t>
  </si>
  <si>
    <t>#help 
Xin phép ad ạ
Mn ơi giúp e vớ ạ. Da e hiện tại đang bị mọc các nốt như ảnh. N kiểu sưng mọc nước. E trước có dính rượu thuốc trị mụn. Sau skincare cứ 1 time da lại bị lại và e mới chữa tiếp bằng cure medicine của spa gần nhà. Xong mới cách đây 3 tuần e bị dị ứng mặt xưng ngứa bong hết lên mới đi da liễu bôi thuốc 10 ngày theo chỉ dẫn của bsi thi e khỏi và da bình thường. Cách đây 1 tuần thì e phục hồi da bằng toner, gel, phục hồi da chae GSC Hàn Quốc. Xong da cách đây 3 hôm bị như này ạ. E bay giờ k biết phải làm gì chỉ dùng mỗi nước muối sinh lí lau mặt với sữa rửa mặt centaphil thôi ạ. Mong mọi người giúp đỡ ạ 
Em cảm ơn!</t>
  </si>
  <si>
    <t>2019-12-08 05:44:03</t>
  </si>
  <si>
    <t>Thuỳ Đan Nguyễn</t>
  </si>
  <si>
    <t>100044341484947</t>
  </si>
  <si>
    <t>Chào mng.Mình bị lốt thâm ở cánh tay và chân , mng có sản phẩm che khuyết điểm thì giới thiệu cho mình với ạ. Thanks mng nhiều ạ</t>
  </si>
  <si>
    <t>2019-11-26 02:18:18</t>
  </si>
  <si>
    <t>Minh Minh</t>
  </si>
  <si>
    <t>100024665295085</t>
  </si>
  <si>
    <t>Mn ơi chia sẻ bí quyết về mảng bám trên răng đi ạ. 
Cảm ơn ad đã duyệt bài 🥰</t>
  </si>
  <si>
    <t>2019-12-20 06:06:54</t>
  </si>
  <si>
    <t>Thư TrựcTuyến</t>
  </si>
  <si>
    <t>100027533359965</t>
  </si>
  <si>
    <t>#ask
#tóctơ
Ở hội mình có ai thuộc dạng tóc tơ k ạ.
Mình thuộc dạng tóc tơ và khá mỏng , có ưu điểm thì thẳng và suôn mượt. Nhưng cũng thành nhược điểm là nhiều khi thẳng nhìn giả quá luôn, nhiều lần đi uốn tóc anh chủ tiệm cứ kêu mới ép giờ uốn sợ hư tóc.
Năm nào cũng phải đi uốn để nhìn tóc tự nhiên và trông dày hơn chứ nó thẳng quá ép vô nhìn còn mỏng tang á. Đợt mình cưới, 1 chị làm tóc, 1 chị makeup mà makeup chưa xong tóc đã hết nếp uốn rồi 😑😑
Và giờ sinh dậy thì lại bị rụng tóc, đi cắt ngắn hơn cũng rụng. Mn có thể giới thiệu cho mình loại dầu gội nào thích hợp cho tóc tơ và bớt rụng được k ạ.
M chưa chụp được ảnh tóc hiện giờ nên lấy tạm ảnh cũ ạ.</t>
  </si>
  <si>
    <t>2019-11-21 15:08:15</t>
  </si>
  <si>
    <t>Phan Cẩm Tiên</t>
  </si>
  <si>
    <t>100004180358433</t>
  </si>
  <si>
    <t xml:space="preserve">#tóctơ #ask </t>
  </si>
  <si>
    <t xml:space="preserve">
#ask
Mọi người ơi cho mình hỏi dòng này của eglips có thiệt không 😂? Hnay mình đi mua đồ thấy xinh quá nên rước về mà không tìm hiểu. Xong giờ tìm trên google thấy ít thông tin quá à
Cửa hàng PR là mùi đào thơm nức mà mình dí mũi vô khịt khịt thấy giống mùi quả na vãi chưởng
Về mở ra thì gương bửn ơi là bửn, dưới ảnh là mình lấy khăn lau kính lau qua rồi
Với cả cho mình xin review lun, vẫn đang chưa dám xài :”) 
Cảm ơn mọi người</t>
  </si>
  <si>
    <t>2019-06-23 14:21:00</t>
  </si>
  <si>
    <t>Mọi người ơi cho e hỏi với . Dạo gần đây e có tìm hiểu về Idol Slim với Like Slim uống gần giống cafe và có tác dụng giảm cân. Giá thì vô vàn từ 150k cũng có mà 1 triệu 1 hộp cũng có. Đã ai dùng loại này chưa cho e xin ít review với ạ
Dưới là ảnh minh hoạ e cop trên shopee</t>
  </si>
  <si>
    <t>2019-12-11 23:30:49</t>
  </si>
  <si>
    <t>Dương Dương</t>
  </si>
  <si>
    <t>100025025804996</t>
  </si>
  <si>
    <t>Cho hỏi nhóm mình có ai dùng nước muối sinh lý để lau mặt hàng ngày sau bước rửa mặt bằng srm chưa ạ?
#nuocmuoisinhly</t>
  </si>
  <si>
    <t>2019-12-24 07:28:48</t>
  </si>
  <si>
    <t>Tâm Moon</t>
  </si>
  <si>
    <t>100006526568378</t>
  </si>
  <si>
    <t xml:space="preserve">#nuocmuoisinhly </t>
  </si>
  <si>
    <t>#niengrang #niềngrăng 
Một trong những điều m hối hận là k khuyên đc nyc đi niềng răng, bạn ấy có pt hàm và bọc răng sứ,mình đã từng ngụp lặn gần 1 năm trong các gr về răng để tìm BS,để b ấy ổn định phần hàm sẽ niềng răng, tiếc là b ấy k nghe lời khuyên từ mình, sau đó mình dành những điều m tìm hiểu để áp dụng lên hàm răng mình,có thể sẽ giúp ích cho mọi người
- Giờ mọi người hay đi bọc răng sứ, nhưng bọc sứ chỉ nên dành cho bạn nào có hàm răng tương đối và bị men răng quá xấu 
- Bọc sứ ko áp dụng cho các trường hợp răng khấp khểnh lệch lạc, sẽ để lại hậu quả lớn lắm đó
- Nếu vẫn muốn có hàm răng xuất sắc thì nên đi niềng răng cho chuẩn khớp cắn sâu đó dán veneer
- Niềng răng ko phải ai cũng may mắn thành công, PTTM hỏng có thể thấy ngay, niềng răng hỏng có khi sau 1-2 năm mới thấy
- Chọn bác sĩ niềng răng khó gấp 10 lần bs PTTM
- Không phải nha khoa nào cũng niềng đc răng, ko phải ai mặc áo blu cũng là bác sĩ, không phải bs nha khoa nào cũng niềng được răng
- Nếu mất răng nên cắm implant (nếu có đk)hơn là làm cầu răng sứ.</t>
  </si>
  <si>
    <t>2019-03-07 17:37:24</t>
  </si>
  <si>
    <t>Jerry Tom</t>
  </si>
  <si>
    <t>100014596535521</t>
  </si>
  <si>
    <t>#nhờ_tư_vấn
Mọi người ơi, da em thuộc loại hỗn hợp thiên dầu. Em có xài kem dưỡng ẩm của neutrogena mà da bị nổi đỏ với vẫn đổ dầu. Em ngưng 2 tuần xong sd lại thì thấy ổn rồi, ko bị đỏ nữa, giờ em muốn đổi kem dưỡng ẩm, có loại nào phù hợp da hh dầu giới thiệu e với ạ, da mặt em mỏng với dễ kích ứng nũa . Cảm ơn mn ạ</t>
  </si>
  <si>
    <t>2019-11-21 07:43:45</t>
  </si>
  <si>
    <t>Dương Mai</t>
  </si>
  <si>
    <t>100008751887653</t>
  </si>
  <si>
    <t xml:space="preserve">#nhờ_tư_vấn </t>
  </si>
  <si>
    <t>#mun
Hi guys! long time no see.
Lại là em đây, sau khi post bài lên ĐCS em đã đọc từng cmt góp ý của mng ( mặc dù chỉ toàn là cmt trêu em th 😑 ), có những ac đã khuyên em rất nhiệt tình em xin cảm ơn rất nhiều ạ, phần đồng mng đã kêu em
đi da liễu và em cứ thế làm theo. Em đã vừa hoàn thành xong liệu trình 10 ngày và cảm thấy ổn hơn rất nhiều, mặc dù chưa hết hoàn toàn nhưng trông cũng ổn hơn lúc đầu rất nhiều rồi. Sẵn tiện sau bài viết này em muốn khuyên các bạn, các anh chị đang trong tuổi dậy thì gặp tình trạng tương tự em thì nên đi da liễu, nghe theo lời bs và không nên làm theo bắt kỳ sự xúi dại của ai mà sử dụng những sản phẩm không tốt, nhưng nói chung là sản phẩm gì đi chăng nữa cũng đừng sử dụng cứ đi da liễu là tốt nhất. 
Bộ ảnh da mặt em sau từ ngày đầu đến sau 10 ngày ( xong liệu trình 1 ). 
( À, em đã bỏ xài srm nhưng nếu hết hoàn toàn có lẽ em sẽ xài lại )</t>
  </si>
  <si>
    <t>2019-09-15 09:03:33</t>
  </si>
  <si>
    <t>Nguyễn Chí Thức</t>
  </si>
  <si>
    <t>100024712837313</t>
  </si>
  <si>
    <t xml:space="preserve"> #thucphamchobabau 
Cả nhà ơi, có ai đã từng dùng các sản phẩm cho bà bầu từ lúc chưa có bầu, có bầu và sau sinh chưa ạ. Sản phẩm uống nào tốt cho bà bầu và em bé và sản phẩm dưỡng da nào tốt cho bà bầu và ko ảnh hưởng đến em bé. Có cách nào để lúc mang bầu ko bị phù nề hay sau sinh ko bị nám ko ạ.</t>
  </si>
  <si>
    <t>2019-10-17 02:09:00</t>
  </si>
  <si>
    <t>Cẩm Tú</t>
  </si>
  <si>
    <t>100003905900731</t>
  </si>
  <si>
    <t xml:space="preserve">#thucphamchobabau  </t>
  </si>
  <si>
    <t>Mọi người ơi em đang rất bế tắc trong việc chọn sữa rửa mặt ạ😢, da e thuộc ra hỗn hợp có mụn mà mụn cũng đủ các loại luôn ạ, e đang tính mua sữa này ai xài rồi cho em chút ý kiến với ạ😊 e cảm ơn nhiều .
#đepchanhsa</t>
  </si>
  <si>
    <t>2019-08-31 11:58:44</t>
  </si>
  <si>
    <t>Nguyễn Thị Thảo Vy</t>
  </si>
  <si>
    <t>100005410397665</t>
  </si>
  <si>
    <t>Mọi người ơi hiện tại da mặt mình có ít sẹo do ngày xưa mèo cào va sẹo cũng lâu rồi , mũi mình rất nhiều mụn cám.có đi spa hút mụn nhưng chỉ đỡ tạm thơi rồi lại bị lại rất nhiều . Thêm nữa mắt mình cũng rất dễ thâm mặc dùcos dùng nạ mắt nhưng vẫn ko cải thiện .mn cho mình xin vài tip trị sẹo + thâm mắt + mụn cám mũi lcl to nhé .hiện tại mình cũng ko dùng sp gì nhiều ngoài mặt nạ mắt</t>
  </si>
  <si>
    <t>2019-11-30 12:42:44</t>
  </si>
  <si>
    <t>Quách Nhật Thanh</t>
  </si>
  <si>
    <t>100008211931128</t>
  </si>
  <si>
    <t>#ask #taytrang #loreal #sikncare Em định mua loại tẩy trang L'oreal này ạ.
Em thuộc da nhạy cảm, da dầu (mùa đông nên cũng không dầu mấy nữa ạ).
Em muốn hỏi em nên mùa loreal tẩy trang nắp màu gì ạ :'( ??
Tiện mọi người gợi ý em 1 vài sản phẩm skincare: tẩy tể bào chết, toner.. được không ạ !! ❤️</t>
  </si>
  <si>
    <t>2019-12-12 23:59:24</t>
  </si>
  <si>
    <t>Dii Hàn Thiên</t>
  </si>
  <si>
    <t>100019450963768</t>
  </si>
  <si>
    <t xml:space="preserve">#sikncare #loreal #taytrang #ask </t>
  </si>
  <si>
    <t>M.n cho e hỏi e da dầu mụn  ẩn mụn đầu đen làm cách nào hết ạ</t>
  </si>
  <si>
    <t>2019-12-16 05:58:52</t>
  </si>
  <si>
    <t>Ly Trà Đào</t>
  </si>
  <si>
    <t>100040780306931</t>
  </si>
  <si>
    <t xml:space="preserve">
#Review
#benhvien
Dạ em bị mụn khá nặng chủ yếu là mụn bọc , điều này làm em khá tự tin trong việc gặp và nói chuyện với người khác , nhiều khi mở điện thoại chụp ảnh còn chả dám mở cam trước 😞 vừa rồi em có dùng sản phẩm này thấy không hiệu quả lắm ( ảnh bên dưới ) . Mẹ có bảo đến bác sĩ da liễu nhưng em sợ không khỏi , anh chị nào đã chữa thành công tại bệnh viện da liễu cho e xin review với ạ . Bệnh viện da liễu hcm và không biết chi phí điều trị rơi vào bao nhiêu thế ạ?</t>
  </si>
  <si>
    <t>2019-11-01 15:25:05</t>
  </si>
  <si>
    <t>Anh Lã</t>
  </si>
  <si>
    <t>100015039528113</t>
  </si>
  <si>
    <t xml:space="preserve">#benhvien #Review </t>
  </si>
  <si>
    <t>Hi chào mọi người ạ , em năm nay 16 tuổi ,tết năm nay em muốn nhuộm tóc cho khác xíu , nhưng có màu nào nhuộm liên quan đến màu đen không ạ hoặc màu tối ấy ạ , em không thích màu nâu cho lắm.Em cảm ơn ạ
Ad duyệt giúp em với ạ , em thật sự muốn thay đổi 1 chút về ngoại hình 😢</t>
  </si>
  <si>
    <t>2019-12-12 12:24:54</t>
  </si>
  <si>
    <t>100041247873744</t>
  </si>
  <si>
    <t>Mụn ẩn và mụn viêm có nên đi lấy nhân k mn
Mog add duyệt bài giúp e</t>
  </si>
  <si>
    <t>2019-12-10 11:47:25</t>
  </si>
  <si>
    <t>Vo Ut My</t>
  </si>
  <si>
    <t>100009647916656</t>
  </si>
  <si>
    <t>Mắt em thâm quá mọi người 😔
Có cách nào bớt thâm hiệu quả không, mọi người chỉ em với ạ 😔😔😔</t>
  </si>
  <si>
    <t>2019-12-17 01:36:02</t>
  </si>
  <si>
    <t>Nguyễn Thị Kim Hiên</t>
  </si>
  <si>
    <t>100040114982869</t>
  </si>
  <si>
    <t>#nanmun  #chamsocdasaumun
Em xin chào mọi người ạ, em bị mụn cũng một thời gian rồi, mụn cứ tái đi tái lại thôi nên e định đi lấy sạch nhân mụn luôn, da mặt em hiện tại có nên đi lấy sạch hết không ạ? 😢😢😢
Sau lấy thì nên dùng gì để chăm sóc ạ
Cảm ơn ad đã duyệt bài ạ &lt;3</t>
  </si>
  <si>
    <t>2019-12-02 00:20:35</t>
  </si>
  <si>
    <t>Thiên Ân</t>
  </si>
  <si>
    <t>100021730672341</t>
  </si>
  <si>
    <t xml:space="preserve">#chamsocdasaumun #nanmun </t>
  </si>
  <si>
    <t>Chào cả nhà! Da mình mới lăn kim được gần 1 tuần hiện tại da đang bong tróc. 
Mình chăm sóc da thế nào vì sau khi lăn kim spa có đưa mình chai serum và sử dụng sắp hết rồi. Ko bít tiếp tục sử dụng mỹ phẩm nào để da ko bị mụn ẩn, mịn và trắng sáng 
Cho mình xin ít kinh nghiệm với gần tết rồi da xấu quá😢</t>
  </si>
  <si>
    <t>2019-12-24 22:40:47</t>
  </si>
  <si>
    <t>Khánh Tâm</t>
  </si>
  <si>
    <t>100000210691624</t>
  </si>
  <si>
    <t>#Ask  #Help. #Tẩytrang #bioderma #fake #auth
Update : Chưa biết auth or fake.Nhiều ý kiến khác nhau m ko biết ntn luôn!!!!! .Shop đã cho hoàn n vẫn thắc mắc 😅😅😅😅
+Chai mới ấn trên chữ bioderma lõm vào như hình còn  cũ mua ở mail ấn cứng ko lõm ý
Có fai fake ko m.n ơi
NSX :25/2/2019   Code P05691 m.n coi ai trùng lô m bị v k nhé</t>
  </si>
  <si>
    <t>2019-12-16 13:10:58</t>
  </si>
  <si>
    <t>100026500670596</t>
  </si>
  <si>
    <t xml:space="preserve">#auth #fake #bioderma #Tẩytrang #Help #Ask </t>
  </si>
  <si>
    <t>TOPIC: Vì sao mỹ phẩm Hàn Quốc ở VN luôn rẻ hơn ở Hàn khá nhiều? 
Bạn em ở Hàn du học, nó bảo không hiểu sao mỹ phẩm Hàn ở VN luôn luôn rẻ hơn bên Hàn quanh năm. Bên ấy lâu lâu mới sale, sale công nhận cũng rẻ, chứng tỏ đều độn giá. Nhưng rẻ quanh năm suốt tháng như ở VN liệu có gì bất thường không? Vì dạo gần đây lộ lên rất nhiều đường dây hàng fake tinh vi từ TQ. Ở một phố mỹ phẩm nổi tiếng tại Hàn cũng vừa bị chính phủ khui ra rất nhiều shop nhập hàng giả từ TQ.
VD như son BR ở dưới, giá trên Web là 180k nhưng nhiều shop bán 105k chứng tỏ nhập còn rẻ hơn nhiều lần, và tới 53k lượt mua. Con số k hề nhỏ. Trên shoppe còn rất nhiều shop rẻ như vậy, và lượt mua cũng rất nhiều. 
Vậy mọi người nghĩ như thế nào về vấn đề này?</t>
  </si>
  <si>
    <t>2019-12-09 14:40:45</t>
  </si>
  <si>
    <t>Mặt Trời Nhỏ</t>
  </si>
  <si>
    <t>100041668696248</t>
  </si>
  <si>
    <t>Nhóm mình cho mình xin review sản phẩm trị quầng thâm mắt đi ah! 
Bình thường mắt mình cũng thâm, mà hôm nào thức khuya thì cứ như gấu trúc luôn.
Mình cũng thử nhiều sp và nhiều cách mà ko thấy hiệu quả. Tết nhất đến nơi rùi ah! 😊
#đepchanhxa
#quầngthammat
#mắt_đẹp</t>
  </si>
  <si>
    <t>2019-12-09 00:31:22</t>
  </si>
  <si>
    <t>Nguyễn Trang</t>
  </si>
  <si>
    <t>100008282382094</t>
  </si>
  <si>
    <t xml:space="preserve">#mắt_đẹp #quầngthammat #đepchanhxa </t>
  </si>
  <si>
    <t>#skincare các chị ơi cho e xin tip chăm sóc da sau dùng thuốc Bắc với ạ. E mụn nhiều lỡ dùng giờ hết mụn rồi mà vô nhóm mình xong e thấy ân hận vô cùng, giờ da mỏng với yếu ra nắng cứ phải chùm kín mít . Có chị nào đã dùng thuốc Bắc cho e xin cách chăm sóc da với ạ. Hiện tại e chỉ làm sạch mặt bằng Yến mạch và đắp nạ ( mật ong, sữa tươi, tinh bột nghệ) thoii ạ</t>
  </si>
  <si>
    <t>2019-11-29 00:26:40</t>
  </si>
  <si>
    <t>Triệu Thanh Hằng</t>
  </si>
  <si>
    <t>100010652562843</t>
  </si>
  <si>
    <t>#tưvấn #chiasẻ
Câch đây vài năm  e có bị hôi nách , sau đó e có sử dụng lăn nách , được tầm 2 năm sau thì phần 2 cánh tay (không phải vùng dưới cánh tay ạ) của e bắt đầu có mùi , nó ko nồng như mùi hôi nách , nhưng e vẫn cảm thấy nó khá khó chịu , e cảm thấy khá là stress , từ đó ra đường e luôn mặc áo dài tay , ko dám để lộ phần cánh tay ra nữa , e search gg nhưng không ra được đó là bệnh gì , nên e mạo muội đăng lên đây mong tìm được biện pháp gì đó để cải thiện ạ :(((</t>
  </si>
  <si>
    <t>2019-12-11 13:21:44</t>
  </si>
  <si>
    <t>Trần Hoàng</t>
  </si>
  <si>
    <t>100013042740044</t>
  </si>
  <si>
    <t xml:space="preserve">#chiasẻ #tưvấn </t>
  </si>
  <si>
    <t>Mọi người cho em hỏi nên sử dụng sp sữa rửa mặt nào cho da dầu mụn nam ạ
Em cảm ơn</t>
  </si>
  <si>
    <t>2019-10-18 09:38:39</t>
  </si>
  <si>
    <t>Anh Lalin</t>
  </si>
  <si>
    <t>100009538930186</t>
  </si>
  <si>
    <t xml:space="preserve">Mong ad duyệt bài ạ.
Các anh, chị, bạn, em cho em hỏi là em vừa bị ngã xe thì tự nhiên bị bầm chỗ này. Cho em xin cách nhanh khỏi với ạ. Em xin cảm ơn ạ
</t>
  </si>
  <si>
    <t>2019-12-06 11:24:08</t>
  </si>
  <si>
    <t>Lê Minh Anh</t>
  </si>
  <si>
    <t>100028193872897</t>
  </si>
  <si>
    <t>#phunmoi
Em phun môi màu đỏ tươi bong được ngày , nhưng lại ra ngay quả môi màu hồng cánh sen .... Mọi người có giải pháp gì giúp màu tươi lên không vậy chứ em rầu quá . Vừa sậm lại vừa hồng cánh sen , thất bại thật sự .... Ad duyệt bài giúp mình với nha</t>
  </si>
  <si>
    <t>2019-08-08 08:32:04</t>
  </si>
  <si>
    <t>100017863631008</t>
  </si>
  <si>
    <t xml:space="preserve">#phunmoi </t>
  </si>
  <si>
    <t>#help #đẹpchanhxa #thuocnhuom7days
Các c ơi tư vấn giúp e với, chả là cuối tuần e đi đám cưới nyc muốn nhuộm màu nào nổi bần bật mà trông ngầu 1 tí cho mọi ng trầm trồ.
E định dùng thuốc nhuộm 7days của 3ce hoặc misha, c nào dùng rồi cho e xin ít reveiw với ạ
Mới cả e nhờ các c xem tóc e đen thì nên nhuộm màu nào để lên màu đẹp với ạ, da e thì cũng bt k đen lắm
Làm thế nào càng nổi càng tốt ý ạ🤣🤣
Edit: E với nyc là mối tình thanh xuân đẹp đẽ nhé mấy c. Bọn e học chung cấp 3, sau này k hợp nhau nữa nên ct trong êm đẹp ạ, tụi e vẫn chơi với nhau chung hội bạn cấp 3 cũng lầy lội lắm. Nên thay đổi tí k phải để dằn mặt nyc đâu mấy c đừng căng thẳng quá 🤣🤣. E bt ra ngoài cũng chải chuốt lắm mặt mũi cũng ưa nhìn nên mấy kiểu thuỳ mị nết na e cũng làm rồi. E đi thực tập 6 tháng rồi chưa gặp chúng bạn nên muốn đổi phong cách 1 tí ý, m còn trẻ thôi thì cứ thử chứ sau này già rồi ck con vào lại thấy hối tiếc thanh xuân 😅😅</t>
  </si>
  <si>
    <t>2019-09-09 14:49:06</t>
  </si>
  <si>
    <t>100034692427727</t>
  </si>
  <si>
    <t xml:space="preserve">#thuocnhuom7days #đẹpchanhxa #help </t>
  </si>
  <si>
    <t>Da mình bị nổi mẫn đỏ ngứa như vậy cũg được 1 tháng rồi😭
Nổi khắp người luôn nhất là 2 bên đùi và bụg ,uốg thuốc thoa thuốc đủ kiểu vẫn k hết,mọi người có ai bị như vậy chưa ạ😪không gãi nhưg vẫn để lại thâm 
CỨU EM VỚI😭</t>
  </si>
  <si>
    <t>2019-11-28 11:12:41</t>
  </si>
  <si>
    <t>Nguyễn Loan</t>
  </si>
  <si>
    <t>100005559646742</t>
  </si>
  <si>
    <t>Mặt e 2 tháng gần đây bị nổi mấy em mụn như thế này. Trước đó thì chỉ có mụn ẩn với một vài viết thâm. Gần đây nó bắt đầu lên e stress quá 😢da e là da hỗn hợp thiên dầu, 1 tuần gần đây e có đắp mask lòng trắng trứng gà+bột đậu đỏ+ bột trà xanh thì thấy da căng hơn xíu nhưng vẫn stress thật sự ạ 😭 Thi thoảng e vẫn xông mặt bằng tía tô, vỏ cam, xả nhưng k kiên trì nên chẳng đi đến đâu hết ạ. E cũng skincare đơn giản thôi tại e k dám dùng nhiều vì sợ bí da nó lại lên mụn í ạ! Mong các ac cho e xin lời khuyên ạ! Mấy tips dưỡng da tại nhà hoặc từ thiên nhiên càng tốt ạ! 
Với cả da e nhiều vết thâm nữa ạ. Có cách nào để e có một cái tết ấm no được k ạ 😅 E cám ơn nhiều ạ!</t>
  </si>
  <si>
    <t>2019-12-20 13:30:04</t>
  </si>
  <si>
    <t>Karroy Phương</t>
  </si>
  <si>
    <t>100007849834472</t>
  </si>
  <si>
    <t>#ask 
Mọi ng cho mình hỏi có ai bị môi base hồng mà muốn đánh son đỏ ko ạ?
Môi mình bị base hồng mà đánh các màu kiểu ruby woo đều bị ra nhiều hồng trông khá kinh 😞
Mới được tặng 1 thỏi shu 144 mà nhìn ngoài trông đỏ rất đẹp nhg base hồng nên đánh lên môi như màu hồng cánh sen :((
Mọi ng cho mình hỏi có cách nào để cho nó đỡ bị hồng như thế ko ạ? Chứ thỏi shu đấy đánh rất thích mà được tặng nữa nên bỏ đi phí lắm ạ</t>
  </si>
  <si>
    <t>2019-12-05 07:14:02</t>
  </si>
  <si>
    <t>Phạm Mai</t>
  </si>
  <si>
    <t>100010248314406</t>
  </si>
  <si>
    <t>#góchỏi
Nhờ vào hội mà em học hỏi được nhiều kinh nghiệm, da mặt được cải thiện đang kể 🥰 giờ em đăng bài hỏi nhờ mn chỉ giúp. Da mặt em dùng kem chống nắng hoặc đánh phấn đều bị bí da, dùng xong đến tối là mặt lẩn mẩn mụn nhỏ ngứa. Nhờ mọi người tư vấn giúp em loại kem chống nắng, kem nền và phấn phủ nào đánh lên mặt ko bị bí da ạ.
P/s : em đã thử 2 loại chống nắng vichy và evene nhưng đều bị vậy ạ</t>
  </si>
  <si>
    <t>2019-12-26 02:12:31</t>
  </si>
  <si>
    <t>Huyen Pham</t>
  </si>
  <si>
    <t>100005991159981</t>
  </si>
  <si>
    <t xml:space="preserve">#góchỏi </t>
  </si>
  <si>
    <t>#cushion #cliokillcover #03 
Hi các chị ơi, 
Mọi người cho em xin chút review về Cushion Clio Founwear màu 04 được không ạ? 
Chuyện là hôm nay em mới mua hộp cushion Clio Founwear màu 03, nói là hợp với da sánh trung bình, vậy mà sao em apply lên nó trắng quá, không make up đi làm hằng ngày được. 
Em định mua lại màu 04, nhưng nghe nhiều người bảo màu 04 thì nó vàng lắm 😞  
Nhờ Ad duyệt bài giúp em. 
Em cám ơn ạ!</t>
  </si>
  <si>
    <t>2019-10-31 15:15:49</t>
  </si>
  <si>
    <t>Nicole Nguyễn</t>
  </si>
  <si>
    <t>100002732897057</t>
  </si>
  <si>
    <t xml:space="preserve">#03 #cliokillcover #cushion </t>
  </si>
  <si>
    <t>#tưvấn #ask #review
Nhờ chị em  tư vấn giúp
Đây là 1 bên má của mình, xuất hiện nhiều #đốmnâu to và đậm cách đây gần 3 năm (lúc đang mang thai), mình chụp cam trước nên nhìn mờ chứ ở ngoài đậm lắm. Nay mình đã hoàn thành xong nhiệm vụ bò sữa nên nhờ chị em tư vấn giúp có TPCN và kem nào có thể làm mờ đốm nâu đó được không ạ.
Còn hình 2 là cái cằm của mình, khá nhiều mụn li ti sần sùi. M dùng máy rửa mặt, tẩy tế bào chết đều đặn mà nó chỉ đỡ có xíu thôi. Các bạn biết cách nào làm giảm mụn chỉ m vơi.
Mình 29 tuổi, da hơi khô.
Nhân tiện cho mình hỏi kem trị nám eucerin xài hiệu quả ko ạ. Mấy nay thấy quảng cáo nhiều.
Cám ơn chị em nhiều ạ.</t>
  </si>
  <si>
    <t>2019-12-17 08:37:08</t>
  </si>
  <si>
    <t>Bùi Thị Thanh Tuyền</t>
  </si>
  <si>
    <t>100004691342404</t>
  </si>
  <si>
    <t xml:space="preserve">#đốmnâu  #review #ask #tưvấn </t>
  </si>
  <si>
    <t xml:space="preserve">Chả mấy nữa lại đến Tết, tranh thủ làm đẹp đi chị em ợ
</t>
  </si>
  <si>
    <t>2019-12-05 02:52:08</t>
  </si>
  <si>
    <t>Em 20 nồi bánh chưng rồi mà chân cẳng cứ hoa hoè thế này đây mọi người ạ 😭 Nhìn mấy chị em mặc váy vóc thích mê luôn. Có ai bị sẹo lâu năm như em có xài qua thuốc hay trị sẹo bằng laser thành công không cho em xin thông tin với ạ😢 ( Em đã thử ttbc xài nhiều loại thuốc da liễu nhưng vẫn không bớt được ạ ) 😩😩😩
#ask</t>
  </si>
  <si>
    <t>2019-12-02 14:42:19</t>
  </si>
  <si>
    <t>Bảo Hân</t>
  </si>
  <si>
    <t>100008758368873</t>
  </si>
  <si>
    <t xml:space="preserve">Em năm nay 18 tuổi ạ 
Hic hic sắp tết rồi, em stress quá ạ. Em là sinh viên năm nhất ms lên HN ạ, sau khi lên mặt em cứ nổi mí mụn đỏ to và nhân trắng ạ 
-(( chủ yếu là ở phần quanh mũi, miệng và dưới cằm ạ ))
E tí táy nặn thành ra để lại thâm 😭😭😭
Em thuộc lại da dầu ạ ( nhiều dầu ở phần chán và mũi ạ ) e đã sử dụng rượu thuốc và đã ngưng được 1 năm nay rồi ạ, hối hận quá.
Và nghe bạn bè bảo skin care và e bắt đầu tập tọe ạ. 
- sáng: sữa rửa mặt =&gt; Toner =&gt; Serum 
- tối: tẩy trang =&gt; sữa rửa mặt =&gt; toner =&gt; serum ạ 
E làm bước vậy đã đủ chưa ạ, và m.n có thể tư vấn cho e sản phẩm nào làm giảm mụn viêm sưng và kèm thêm trị thâm k ạ. Em cám ơn ạ 
</t>
  </si>
  <si>
    <t>2019-11-24 10:16:38</t>
  </si>
  <si>
    <t>Doãn Công Tùng</t>
  </si>
  <si>
    <t>100010378546471</t>
  </si>
  <si>
    <t xml:space="preserve"> #da #tuvan
 Chào mọi người, em đang khá lo lắng nên đành phải up bài hỏi. Đây là tình trạng DA TAY của em hiện tại. Trước đây em cũng bị nhưng chỉ vài nốt lên rồi lặng và k có cảm giác gì. Nhưng gần đây bắt đầu lên nhiều hơn, gây ngứa và khó chịu cực kỳ. Giờ giấc sinh hoạt và ăn uống của em vẫn như bình thường, k có gì thay đổi mấy. Em đã từng thấy một số người bị và được khuyên là tẩy tbc và vệ sinh sạch sẽ thì sẽ đỡ. Nhưng da tay em vẫn k có dấu hiệu giảm. Giờ là cả da chân cũng bị. Không những gây mất thẩm mỹ mà còn gây cảm giác ngứa khó chịu cực kỳ. 
Em muốn hỏi đã ai trong group gặp tình trạng này thì chia sẻ cách trị hay bí quyết gì đó giúp em với ạ. Nếu tình trạng tiếp tục thì em phải đi bác sĩ thôi 😢😢
Em cảm ơn và mong được Ad duyệt bài ạ!</t>
  </si>
  <si>
    <t>2019-12-17 01:37:07</t>
  </si>
  <si>
    <t>Van Linh</t>
  </si>
  <si>
    <t>100030219255676</t>
  </si>
  <si>
    <t xml:space="preserve">#tuvan #da  </t>
  </si>
  <si>
    <t>Cách đây khoảng 3 tháng trước da mình cũng có khá nhiều mụn ẩn mình cũng tìm đến bác sĩ da liễu và bác sĩ kê đơn cho mình dùng (Differin) và thời gian đầu mình sử thật nó rát và khô da kinh khủng cộng thêm đó là mụn ẩn cứ đua nhau lên 😥😥😥, nhung mình vẫn cố kiên trì sử dụng mà đợ đó mình sử dụng kem dưỡng ẩm của Neutrogena nhưng mà mình dùng loại có hương liệu cỏ vẻ không hợp 😞 nên nó vẫn không tiến triển gì đến khi đó mình cũng tìm hiểu và có dùng thêm kem dưỡng phục hồi của Bioderma thì nó cũng ổn hơn lúc sài của Neutrogena có đêm nó rát mình không ngủ được 😩
Mình dùng thêm đc vài tuần thấy không có tiến triển gì hết nên mình quyết định ngưng và không sử dụng nữa mình để da ổn định khoảng 1 tuần bắt đầu đi lấy nhân mụn và sử dụng kem dưỡng phục hồi của bioderma mình lấy nhân mụn hai lần trong vòng ba tuần bắt đầu da ổn hơn mình sử dụng BHA của Paula Choice mới bắt đầu sử dụng mình dùng 2 lần 1 tuần , tuần thứ 2 mình sử dụng cách ngày một lần và kèm thêm serum của The Ordinary loại zinC và kem dưỡng của Neutrogena loại không hương liệu mình thấy ổn hơn nhiều mà mấy bạn nhớ kĩ là nên sử dụng kem chông nắng nha , mình thì sử dụng kem chống nắng của Laroche Posay loại này cũng không cồn không hương liệu nên mình cũng yên tâm với lại phải thêm tẩy trang nữa nha , tẩy trang thì mình sài củ bioderma loại dành cho da dầu í còn sửa rửa mặt mình sử dụng của Laroche Posay da dầu mụn luôn nha . Mình còn sài sen kẻ thêm serum phục hồi dưỡng ẩm của The Ordinary loại B5 😊
Hiện tại giờ da mình cũng không đẹp lắm nói chung mình cũng khá là hài lòng với hiện tại da lúc nào cũng căng mà lại hết đổ dầu nữa 😊😊😊
Mình khuyên mấy bạn da nhạy cảm nên tránh những sản phẩm có cồn với hương liệu đi vì nó rất rất dễ lên mụn luôn í 😩😩😩
Mong AD duyệt cho em ạ</t>
  </si>
  <si>
    <t>2019-12-09 14:41:11</t>
  </si>
  <si>
    <t>Trương Thiện Tâm</t>
  </si>
  <si>
    <t>100008033022959</t>
  </si>
  <si>
    <t xml:space="preserve">
#ask
#serum
Hi mọi người!!! Em muốn xin một ít review từ bạn serum rau má này.. Tại e đang định mua mà k biết là có thật sự tốt k..</t>
  </si>
  <si>
    <t>2019-11-01 15:10:25</t>
  </si>
  <si>
    <t>Tracy Ding</t>
  </si>
  <si>
    <t>100024235901392</t>
  </si>
  <si>
    <t xml:space="preserve">#serum #ask </t>
  </si>
  <si>
    <t>#ask 
Mọi người cho em hỏi peel da là gì ạ? Tác dụng của nó ra sao vậy ạ</t>
  </si>
  <si>
    <t>2019-05-04 10:07:58</t>
  </si>
  <si>
    <t>Huyền Huyền</t>
  </si>
  <si>
    <t>100007767431333</t>
  </si>
  <si>
    <t>#damun
Xin chào!
Gần đây em bị nổi mụn rát nhiều khu vực dưới cổ và còn cả sau lưng nữa.
Thời gian gần đây em mới chuyển đến chỗ ở mới ko biết có phải do nguồn nước hay ko? Và gần đây em có dùng kem dưỡng trắng do chị bạn giới thiệu cũng ko biết xuất xứ thế nào.
Giờ nổi mụn thế này em sợ lắm. Có chị nào có pp nào chỉ em với?? E cảm ơn!</t>
  </si>
  <si>
    <t>2019-05-27 03:51:29</t>
  </si>
  <si>
    <t>Binh Nguyen</t>
  </si>
  <si>
    <t>100005671694043</t>
  </si>
  <si>
    <t xml:space="preserve">#damun </t>
  </si>
  <si>
    <t>Hic. Chào mọi người Group . 
Có ai bị nấm da đầu như mình không. Đầu mới gội hồi sáng chiều nó như vầy luôn. Ý là mình không đội nón bảo hiểm nhiều, cũng như hạn chế đi ra đường lúc nắng để đỡ ra mồ hôi. Xài đủ loại dầu gội trị gàu, rồi nấm da đầu . Từ hàn của châu âu sang châu á luồng tới vn vẫn không khỏi. Mình xài dầu gội công nghiệp thì vừa gàu vừa da đầu nổi cục cục vừa đau vừa ngứa. Mình bỏ gần 6th nay xài dầu gội thảo dược bồ kết thì tóc bớt dầu bớt nổi cục mà gàu vs ngứa vẫn vậy hic. Mình tự ti lắm lun . Tóc cắt ngắn như con trai hic. Mà k dám đi da liễu vì mình bị viêm gan b . K uống thuốc trị liệu đó đc. Mng ai có kinh nghiệp hay gì hay làm ơn giúp mình với ạ😭🙏🙏🙏</t>
  </si>
  <si>
    <t>2019-11-13 13:29:36</t>
  </si>
  <si>
    <t>Qynh Maii</t>
  </si>
  <si>
    <t>100041026243815</t>
  </si>
  <si>
    <t>#trietlong
Chuyện là em chuẩn bị ăn cưới đứa bạn mà em ghét nhất lớp chỉ vì suốt ngày bị chê em chưa tiến hóa hết. Giờ làm cách nào tẩy lông không mọi người. Chi phí vừa phải thôi. Help me.
Em mà mặc quần kiểu gì cũng bị nói là chưa tiến hóa.Mà e cạo mấy lần rồi giờ trông kinh dị quá😭😭😭
Làm sao để chân nuột nà cho bõ tức mọi người nhỉ. Mọi người review cho e chút về sp kem tẩy lông đi ạ.
Mong ad duyệt bài ạ.</t>
  </si>
  <si>
    <t>2019-11-25 08:33:39</t>
  </si>
  <si>
    <t>Nguyễn My</t>
  </si>
  <si>
    <t>100039506374130</t>
  </si>
  <si>
    <t>#tuvan #yslslim
Cả nhà ơi son Ysl slim màu nào tôn da trông trẻ trung nhỉ. Mình thích mấy màu trầm trẦM nhưng đánh toàn bị chê già. Cả nhà cho em xin ít review màu son này với.
Mình đang thích màu 21 với 23 ai dùng rồi cho xin review với ạ.</t>
  </si>
  <si>
    <t>2019-11-26 02:17:19</t>
  </si>
  <si>
    <t>Nguyễn Hương Giang</t>
  </si>
  <si>
    <t>100000193476528</t>
  </si>
  <si>
    <t xml:space="preserve">#yslslim #tuvan </t>
  </si>
  <si>
    <t>Nhờ ad đăng giúp e với ạ 😞
Mình có thằng em da cứ bị mụn ẩn , rổ rồi thâm đen như thế này. Da em mình khá nhạy cảm trước mua mấy loại trị mụn cho sài cũng bị dị ứng nhiều. Mọi người có cách nào cũng như sản phẩm nào gợi ý giúp mình với ạ.</t>
  </si>
  <si>
    <t>2019-12-13 09:34:55</t>
  </si>
  <si>
    <t>Mie</t>
  </si>
  <si>
    <t>100032955053657</t>
  </si>
  <si>
    <t>#nuochoa#
#chiasenuochoabanthichnhat
Lần đầu mình viết bài trong hội, có gì không đúng mong mọi người bỏ qua va xin admin duyệt bài. Cám ơn admin.
không biết trong hội có ai thích nước hoa giống mình không ? Mua cho thoả “cơn nghiện”  . Các bạn cùng nhau chia sẽ các loại nước hoa mà ngửi 1 lần nhớ mãi không quên . Trong đây mình thích nhất là chanel hồng, Dior jadore và twilly.Cám ơn mọi người .</t>
  </si>
  <si>
    <t>2019-08-12 01:20:23</t>
  </si>
  <si>
    <t>Hanny Taing</t>
  </si>
  <si>
    <t>100000440737727</t>
  </si>
  <si>
    <t xml:space="preserve">#chiasenuochoabanthichnhat #nuochoa </t>
  </si>
  <si>
    <t>Ad duyệt giúp em 
Chào cả nhà ạ. Em có 2 vấn đề cần đc tham khảo nên đăng lên nhờ mn tư vấn ạ
T1: em bị đa nang nên ảnh hưởng nội tiết tố, hiện chậm kinh đã hơn 3 tháng. Em thấy mn dùng qua viên shatavari và review rất tốt, em đang uống 3 ngày rồi. Mn ai uống thật sự có hiệu quả chưa ạ. Thật sự bị nội tiết tố nó ảnh hưởng kinh khủng luôn. Mụn chi chít nản lắm ạ
T2: mẹ em đi Hàn Quốc chơi, mua về cho em lốc sữa rửa mặt nhân sâm, mà em không biết loại này dùng cho da gì ạ. Mn ai sài review cho em với em cám ơn ạ 😍</t>
  </si>
  <si>
    <t>2019-11-20 05:28:09</t>
  </si>
  <si>
    <t>Nhi Amy</t>
  </si>
  <si>
    <t>100013793652237</t>
  </si>
  <si>
    <t>****
**#ask**
**#taytrang**
**Chao xìn các chị em, chuyện là mình đang tìm chai tẩy trang phù hợp vs làn da dầu ẩm ương khó chiều của mình. Tình cờ thấy con bạn giới thiệu em Derladie đang dùng của Hàn sạch lắm, lành tính nữa. Thấy anh Bắp cũng sử dụng và giới thiệu trên FB nên em phân vân quá. Thêm cái thuộc trại nhà Bắp nên cũng thấy liêu xiêu lắm chị em ạ người gì dễ cưng muốn xỉu **😍** Mong các cao nhân nào trong hội đã sử dụng qua tiếp thêm 1k động lực để em móc hầu bao rước ẻm về nhà chứ nghe đồn giá cũng hơi xót ví nên cứ chần chừ mãi **😂** Cảm ơn chị em trước ạ **💋</t>
  </si>
  <si>
    <t>2019-08-25 15:10:42</t>
  </si>
  <si>
    <t>Chíp Mập</t>
  </si>
  <si>
    <t>100004065258553</t>
  </si>
  <si>
    <t xml:space="preserve">#taytrang #ask </t>
  </si>
  <si>
    <t>#trimun #tritham
Mấy ngày hôm nay e bị lên mụn sưng viêm, mụn mủ mọc khắp nơi hai bên má, nhìn ghê quá
Các chị có cách nào giúp e với ạ
Thực sự tự tin ko dám ra ngoài 
Em đáng suy nghĩ có nên uống thuốc mát gan ko ạ</t>
  </si>
  <si>
    <t>2019-12-22 15:12:57</t>
  </si>
  <si>
    <t>Hoang Anh</t>
  </si>
  <si>
    <t>100043924668297</t>
  </si>
  <si>
    <t xml:space="preserve">#tritham #trimun </t>
  </si>
  <si>
    <t>Em xin tips hoặc các sản phẩm trị thâm hiệu quả giá học sinh sinh viên ạ😭😭 em xài kem nghệ thorakao 2 tháng nay rồi mà không mờ đi miếng nào😭😭
Cảm ơn cả nhà😍
Mong admin cute duyệt bài ạ😍
#tritham
#help</t>
  </si>
  <si>
    <t>2019-11-28 05:37:37</t>
  </si>
  <si>
    <t>Hoa Thiên</t>
  </si>
  <si>
    <t>100017142997970</t>
  </si>
  <si>
    <t xml:space="preserve">#help #tritham </t>
  </si>
  <si>
    <t>#Đẹp_Chanh_Sả #Kem_trộn #Anti_Kem_trộn
Hồi nãy thấy nhỏ bạn cùng lớp hồi cấp 3 share bài của một đại lý HM Store, mình tưởng đâu nó mua nên đã comment là “Kem trộn đó đừng mua!”
😰 Mình lo cho nó thật sự nên khi nó inbox mình đã khuyên nhưng vẫn không nghe.
Nhiều bạn vẫn còn ngây thơ, cứ nghĩ hãng lớn có nhà máy 🏚 bên Hàn Xẻng (xin lỗi tình yêu) thì cũng không có gì chứng minh chất lượng của nó.
😔 Thật sự không muốn nói nhiều nên mới nói nó tham gia hội Đẹp Chanh Sả để cho mở rộng tầm mắt.
Cá nhân mình, chỉ cần nhìn cái bao bì phèn ơi là phèn, thêm cái kiểu boss, đại lý, thưởng nóng, chụp ảnh tiền 💸💵💰 thì thôi rồi lượm ơi chạy trời không khỏi trộn.
Cả nhà Sả ai biết cái hãng HM Store này vào comment hộ mình cái để bạn mình đọc bài này có thể khai sáng ạ!
❤️ Yêu thương!!! ❤️
💋
P/S: Mấy bạn có khuyên và cho thêm thông tin cũng đừng nặng lời với bạn mình. Thanks all!!!</t>
  </si>
  <si>
    <t>2019-10-18 15:51:40</t>
  </si>
  <si>
    <t>Đồng Yến Nhi</t>
  </si>
  <si>
    <t>100012043711941</t>
  </si>
  <si>
    <t xml:space="preserve">#Anti_Kem_trộn #Kem_trộn #Đẹp_Chanh_Sả </t>
  </si>
  <si>
    <t>#help #ask #kcn #thesame #fake #real
Các đẹp ơi giúp em với ạ huhu.
Chuyện là hôm 10/10 vừa rồi em có săn sale shopee được 1 lọ kcn của the saem, hôm nay ship về thì em thấy packing nó hơi khác so với lọ cũ mà em đã sử dụng ( khoanh trắng là lọ cũ, khoanh đen là lọ mới). Em có xem giải thích ở 1 vài nơi là hãng thay đổi packing mới. Ở lọ mới, em lắc lên nghe có vẻ chất kem hơi lỏng, kêu lõm bõm nhẹ và khi dùng hơi bị tách nước ?!
Mong mọi người giải đáp thắc mắc sớm giúp em, có gì còn khiếu nại hoàn hàng :v 
Em cảm ơn ạ.
*Update: lọ mới date 2022 lận, em lên web của The saem mà nó kh có hình sau sản phẩm mới cáu
*Update lần 2: mọi người đã giúp em confirm lọ mới là auth do đổi packing cho date 2022 rồi ạ, chất kem hơi lỏng hơn nhưng set cả 2 lên da như nhau. Em cảm ơn cả nhà iuuuu</t>
  </si>
  <si>
    <t>2019-10-13 12:27:38</t>
  </si>
  <si>
    <t>Vũ Quỳnh Hương</t>
  </si>
  <si>
    <t>100009851642335</t>
  </si>
  <si>
    <t xml:space="preserve">#real #fake #thesame #kcn #ask #help </t>
  </si>
  <si>
    <t>Em chào mọi người ạ. Trước đây em từng đọc ở đâu đó bài viết rằng đeo bông tai lâu dần sẽ làm nhăn da, có người còn nói với em rằng đeo riết sau này lỗ tai bị xệ xuống, mất đẹp. Em search gg thì không thấy bài viết liên quan vấn đề này nên không biết có đúng không. Nhờ mọi người tư vấn giúp em. 18 năm trời chưa từng đeo bông cũng vì sợ bị nhăn, bị xệ da thế này đây 😅
Ảnh chống trôi
À em xin cảm ơn mọi người tư vấn giúp em nhiệt tình quá chừng luôn. Mà em hông rep hết cmt nổi mọi người thông cảm nha &lt;3</t>
  </si>
  <si>
    <t>2019-11-26 06:45:49</t>
  </si>
  <si>
    <t>Anh Thuy</t>
  </si>
  <si>
    <t>100027601458827</t>
  </si>
  <si>
    <t>Mọi người ơi. Có loại kem nào dành face giúp trắng da không ạ 😔 Da em không đều màu và có thâm mụn. Mong được giúp đỡ để da trắng lên ạ. Nó cứ đen xì xì</t>
  </si>
  <si>
    <t>2019-11-24 14:02:17</t>
  </si>
  <si>
    <t>Pé Nũn</t>
  </si>
  <si>
    <t>100029992306406</t>
  </si>
  <si>
    <t>#góchỏi
Mẹ mình đi khám bị nhiễm kí sinh trùng bác sĩ kê đơn như này, uống đc hơn tháng rồi mà hiện tại tình trạng vẫn không có gì biến chuyển. Da mặt vẫn ửng đỏ và ngứa. (Mình cũng có khuyên nên tẩy trang và vệ sinh da mặt thật sạch )
Cả nhà ai có kinh nghiệm chữa kí sinh trùng này thì chia sẻ vs em vs ạ! Tks cả nhà!</t>
  </si>
  <si>
    <t>2019-08-13 08:48:46</t>
  </si>
  <si>
    <t>Thảo Linh</t>
  </si>
  <si>
    <t>100003478322370</t>
  </si>
  <si>
    <t xml:space="preserve"> #ask
Em gái mình bị ra mồ hôi nách và nách có mùi nặng khó chịu .Em mình cũng dùng các loại lăn và xịt khử mùi rồi nhưng tình trạng không đỡ.Hiện tại nó là sinh viên rồi nhưng tự tin về vấn đề này lắm .Mọi người biết chia sẻ giúp để cải thiện với .
Mình cũng có nghe qua 2 sản phẩm : Lăn đá  khoáng và phấn lạnh , thử hỏi mn xem 2 cái này xài ổn không  cái nào ngăn mùi với ngăn mồ hôi tốt hơn .Mình cảm ơn rất nhiều :'(.
Ai có bí quyết gì thì share nha , mình sẽ lắng nghe .</t>
  </si>
  <si>
    <t>2019-06-02 11:28:09</t>
  </si>
  <si>
    <t>Nguyễn Nhật Linh</t>
  </si>
  <si>
    <t>100013708908918</t>
  </si>
  <si>
    <t>Mọi người cho e hỏi chút ạ:
Em ngã xe bị rách môi phải đi khâu, giờ để lại sẹo lồi ở môi trên. Vết sẹo nhỏ thôi nhưng em muốn là sẹo hoặc thẩm mĩ sẹo. Mọi người đã ai bị trường hợp như vậy chưa ạ? Cho e xin ít kinh nghiệm với ạ?
#sẹolồi #môi 🥺
#thammy #daokeo</t>
  </si>
  <si>
    <t>2019-03-07 06:43:09</t>
  </si>
  <si>
    <t>Linh Phương</t>
  </si>
  <si>
    <t>100027069846890</t>
  </si>
  <si>
    <t xml:space="preserve">#daokeo #thammy #môi #sẹolồi </t>
  </si>
  <si>
    <t xml:space="preserve">
#Mỹ_phẩm_cấm_lưu_hành
Công bố những loại mỹ phẩm đình chỉ cấm lưu hành, các bạn đọc và chú ý cẩn thận nhé.</t>
  </si>
  <si>
    <t>2019-09-07 02:12:44</t>
  </si>
  <si>
    <t>Đinh Hằng</t>
  </si>
  <si>
    <t>100003474946211</t>
  </si>
  <si>
    <t xml:space="preserve">#M </t>
  </si>
  <si>
    <t>Mong ad duyệt bài giúp e ạ !!!!
Gần đây mặt e nổi mấy mụn như ảnh hoài k hết, bên trong k có nhân mụn ạ. Sưng lên và đỏ đụng vào hơi đau k biết là bị j luôn ạ. Đó h e chỉ dùng sữa rửa mặt thôi k có xài mỹ phẩm j cả 😭😭😭</t>
  </si>
  <si>
    <t>2019-11-16 09:13:58</t>
  </si>
  <si>
    <t>Thanh Tú</t>
  </si>
  <si>
    <t>100010024663804</t>
  </si>
  <si>
    <t xml:space="preserve">Chào mng ạ
Hiện tại tình trạng da em bị nỗi lên mụn đỏ li ti , có khi mụn nhân bọc. Hầu như đều xuất hiện hai bên má là nhiều, lâu lâu lặn rồi lại mọc lên tiếp cứ xuyên suốt như thế mãi ạ. Da e thuộc tình trạng da khô hỗn hợp, em chỉ thường dùng sửa rửa mặt ( perfect white clay của nhật ) và nước tẩy trang của nhật luôn ạ( all clear water ) , dùng ban đầu thì rất ổn không vấn đề gì nhưng dần 1 tuần này mụn đỏ li ti lên khá nhiều. Em thật sự đau đầu không biết mình nên sử dụng sản phẩm gì để thuyên giảm nữa, mặc dù e cũng dùng qua nhiều loại rồi :((( e cũng hay đi hút mụn thường xuyên. 
Ai trong gr mình có tình trạng da mặt như em không ạ, nếu có mong mng chia sẻ những sản phẩm ổn để có thể cải thiện da mặt. Đồng thời cho em tìm thêm luôn sản phẩm nâng tone da mặt , vì da em trước cũng thuộc dạng trắng nhưng qua nhiều lần đi nắng nên cũng xuống tone rất nhiều. Mong anh chị có thể giúp em ạ, cảm ơn mng rất nhiều 
</t>
  </si>
  <si>
    <t>2019-11-28 13:38:37</t>
  </si>
  <si>
    <t>Lam Anh</t>
  </si>
  <si>
    <t>100041191481480</t>
  </si>
  <si>
    <t>Mọi người ơi xin hãy giúp em với ạ huhu
Chuyện là em bị viêm nang lông gần 20 năm rồi (em bị di truyền ạ híc) 
dù đã thử nhiều cách từ đông y sang tây y từ thuốc bôi đến thuốc uống nhưng chẳng ăn thua gì 😑 đã thế bệnh ngày càng chuyển biến xấu và lan ra khắp cơ thể ( lúc đầu em bị ở mặt với bắp tay và đùi nhưng bây h đã lan xuống gần hết tay và chân rồi và da mặt thì nhìn rất chán)
(Có ai bị giống em ko )và có cách điều trị hay thì chỉ em với hic
Là con gái nhưng chưa bao h có cơ hội diện váy hay quần đùi huhu em thường xuyên cảm thấy vô cùng tự ti :(( 
Em đăng bài này một phần xin nhờ sự giúp đỡ phần là để trải lòng mình :(( 
Mong ad duyệt hộ em</t>
  </si>
  <si>
    <t>2019-11-24 05:22:05</t>
  </si>
  <si>
    <t>100028708445697</t>
  </si>
  <si>
    <t xml:space="preserve">
#Kemtrộn
Mình thắc mắc nhẹ là chúng nó đẩy ra với doanh số từng này thì nó sẽ tuồn đi đâu nhỉ? 
Cuối cùng toàn những thằng cấp dưới mang tiền làm giàu cho những thằng gọi là NPP à?</t>
  </si>
  <si>
    <t>2019-11-02 09:45:27</t>
  </si>
  <si>
    <t>Thu Mai</t>
  </si>
  <si>
    <t>100003136134323</t>
  </si>
  <si>
    <t xml:space="preserve">#Kemtrộn </t>
  </si>
  <si>
    <t>M.n ơi tình trạng là k hiểu sao dạo gần đây mặt e nỗi nhiều mụn ẩn....m.n có cách nào để hết mụn k ạ huhu gần tết rồi mà mặt vầy chắc k dám ra đường luôn í 😢</t>
  </si>
  <si>
    <t>2019-12-24 22:37:01</t>
  </si>
  <si>
    <t>Trần Hạ Linh</t>
  </si>
  <si>
    <t>100038275205609</t>
  </si>
  <si>
    <t>#đẹpchanhxa.    
E đang muốn dung bộ 7day này ai đã sử dụng rồi cho e xin ít rì viu với ạ 
Da e là da bt k có mụn có ít tàn nhang đặt biệt là da e rất dễ dùng mỹ phẩm k bị dị ứng hay gì cả. 
Mong các cao nhân chỉ dáo ạ
Mong ad duyệt bài giúp e ạ</t>
  </si>
  <si>
    <t>2019-08-03 09:08:08</t>
  </si>
  <si>
    <t>Thị Tấm</t>
  </si>
  <si>
    <t>100036727416196</t>
  </si>
  <si>
    <t xml:space="preserve">#đẹpchanhxa </t>
  </si>
  <si>
    <t>#askforhelp
Mọi người có cách nào để xóa hoặc giảm quầng thâm mắt không ạ? Mắt em quầng thâm khá rõ mà em không làm thế nào để đỡ quầng mắt được. Mong mọi người đóng góp ý kiến giúp em, em cảm ơn nhiều lắm</t>
  </si>
  <si>
    <t>2019-10-21 19:45:40</t>
  </si>
  <si>
    <t>Phuong Anh Pham</t>
  </si>
  <si>
    <t>100016769014723</t>
  </si>
  <si>
    <t xml:space="preserve">#askforhelp </t>
  </si>
  <si>
    <t>Mn cho em hỏi em bị cận nặng 7 độ (có loạn nhẹ) thì nên mua dòng lens trong của hãng nào là tốt ạ, loại nào mà đeo êm ko cộm í, và tips để đeo lens trông mình ko bị dại ạ =)))))) Cảm ơn mn. Ảnh Ponymakeup chống trôi bài ah</t>
  </si>
  <si>
    <t>2019-12-24 05:42:22</t>
  </si>
  <si>
    <t>100031532439986</t>
  </si>
  <si>
    <t xml:space="preserve">Chào mọi người trong gr, em năm nay 17 tuổi từng dính phải MTM nhưng em chỉ xài khoảng 4 5 ngày thôi ạ và đây là tình trạng mặt em hiện nay ạ, hiện tại em đang sài srm prefect whip kết hợp với tẩy trang của senka, mọi người tư vấn dùm em cách trị mụn hiệu quả với sp để dưỡng da với ạ (da em da dầu và lcl to ạ) 
</t>
  </si>
  <si>
    <t>2019-12-10 14:27:14</t>
  </si>
  <si>
    <t>100013211851401</t>
  </si>
  <si>
    <t>#taytrangrang 
Các c tư vấn giúp em với ạ ! Em muốn tẩy trắng răng mà mới nghe người ta bảo có hại, xong em nghĩ qua cạo vôi răng, có người lại bảo mòn răng và ê buốt, em nghe về miếng dán trắng răng và máy làm trắng răng cũng ok. Vậy chị em nào tư vấn giúp em em nên dùng biện pháp nào ạ ?</t>
  </si>
  <si>
    <t>2019-10-14 23:22:38</t>
  </si>
  <si>
    <t>Lê Thị Hồng Hà</t>
  </si>
  <si>
    <t>100000132725739</t>
  </si>
  <si>
    <t xml:space="preserve">#taytrangrang </t>
  </si>
  <si>
    <t>#ask 
Xin chào mọi người, em muốn hỏi mọi người về tác dụng của sản phẩm tái tạo da bên Skinology ạ. Em nghe nói chỉ sau một bộ tái tạo là da sẽ căng bóng và sạch mụn. Ai đã dùng rồi cho em xin review ạ (em thấy có nhiều feedback tốt lắm). Tiện thể cho em hỏi có cách nào cải thiện thâm mụn được không ạ. Cảm ơn mọi người, mong ad duyệt❤️</t>
  </si>
  <si>
    <t>2019-10-19 17:16:27</t>
  </si>
  <si>
    <t>Pham Khue Anh</t>
  </si>
  <si>
    <t>100015229171679</t>
  </si>
  <si>
    <t>Chào các bạn.mình nghe nói phụ nữ sau 30t cần bổ sung collagen cho cơ thể.Mình đã xài qua vài loại của Nhật và Hàn.Nhưng khi mình uống collagen thì luôn có cảm giác nóng trong người.dù mình đã uống rất nhìu nước..
Mình muốn hỏi các bạn có biết loại nào tốt k gây nóng k??</t>
  </si>
  <si>
    <t>2019-12-01 06:25:37</t>
  </si>
  <si>
    <t>Ly Kim Thuy</t>
  </si>
  <si>
    <t>100000316921962</t>
  </si>
  <si>
    <t>da em cứ bị tái đi tái lại hoài 4 năm rồi, đa số là mụn bọc với mụn nang, lặn đi thì để lại thâm đỏ mãi không hết, cho em xin tips ngăn ngừa mụn nang với thâm đỏ đi ạ, cứ như này hoài chán thật sự 😢
#help</t>
  </si>
  <si>
    <t>2019-11-28 05:35:59</t>
  </si>
  <si>
    <t>Nguyễn Ngọc Hoài Trân</t>
  </si>
  <si>
    <t>100016775504047</t>
  </si>
  <si>
    <t>E xin phép lập nick giả vì ngại ng quen ạ :(( 
E 2k3 ạ Da e bị nhiễm corticoid vì dính kem trộn và thuốc rượu từ 2 năm trc . Hiện tại là e bị mụn ẩn nổi chi chít chằng chịt khắp khắp trán k chừa chỗ nào , mụn viêm , sưng và đặc biệt là ngày trc bôi kem trộn nhưng đến bâyh da vẫn chưa hồi phục hẳn da mỏng , yếu , nhạy cảm , động 1 cái là nổi mụn . Sp e đang skincare là tẩy trang bio hồng cho da yếu , srm dịu nhẹ simple , xông mặt , mặt nạ khổ qua nhà espella ( tuần 2 lần thui ạ )toner diếp cá , dưỡng ẩm nivea và da e là da khô nhiều nám và kiểu lão hóa sớm ấy
Mng giúp e với còn 25 ngày nữa e phải đi đám cưới anh trai ruột e r cưới xong cái lại đến Tết luôn chứ mà bâyh đẩy mụn lên mụn ẩn e nó lại nhiều nữa thế thành ra cái mặt e nó nát bét mà chưa chắc nó đã phục hồi nhanh trong 25 ngày nữa cơ . 
Chỉ còn gần tháng nữa thôi ạ . Mong mng trong gr giúp e với kbt có làm nên kì tích k nữa đây ạ 😭
Mà máy cam e bị hỏng nên trán k rõ đc mụn ẩn và nó chưa zoom đc hết khuôn mặt đáng sợ của e nhg mụn ẩn ra ngoài nắng là nó kinh dị lắm luôn :(( ncl kinh ạ</t>
  </si>
  <si>
    <t>2019-11-21 15:04:36</t>
  </si>
  <si>
    <t>Mai Như</t>
  </si>
  <si>
    <t>100043947486080</t>
  </si>
  <si>
    <t>Cả nhà thông thái cho mình xin review về sản phẩm nước hoa hồng này đi ạ. Có thu nhỏ lỗ chân lông và sạch da, sáng da ko ạ? Da mình lỗ chân lông to, da dầu ạ. Many thanks!!!</t>
  </si>
  <si>
    <t>2019-11-25 11:29:37</t>
  </si>
  <si>
    <t>Sam Sam</t>
  </si>
  <si>
    <t>100038265609799</t>
  </si>
  <si>
    <t>#ask #cushion
Mọi người ơi em muốn dùng cushion mà không biết dùng loại nào thì tốt, loại nào không bị bóng dầu, rồi đến trưa khi mình muốn bôi kem chống nắng lại thì có phải tẩy trang đi không ạ?
Em cảm ơn mọi người 💓</t>
  </si>
  <si>
    <t>2019-11-20 08:24:27</t>
  </si>
  <si>
    <t>100025224158806</t>
  </si>
  <si>
    <t xml:space="preserve">#cushion #ask </t>
  </si>
  <si>
    <t>#đepchanhsa#chiasẽsứctànphácủarượuthuốc#
Mong admin duyệt bài. Cám ơn admin
Đây là em họ mình sau khi nghe người quen tư vấn da mụn nên xài rượu thuốc cho đẹp . Và cũng vì tin tưởng người quen vì chị ta cũng xài rượu thuốc nên da mới đẹp vậy nên xài hết 2 chai và kết quả là đi bác sĩ da Liểu tốn 1 mớ tiền. Nên mong mọi người né ra, khi em mình dùng mình có khuyên mẹ em là đừng có cho dùng hư hết mặt vậy mà 2 mẹ con không nghe.
Edit: mình xin Edit post thêm 2 tấm hình và chỉ tha trên mặt mà dị ứng toàn thân.</t>
  </si>
  <si>
    <t>2019-08-22 05:51:50</t>
  </si>
  <si>
    <t xml:space="preserve">#chiasẽsứctànphácủarượuthuốc #đepchanhsa </t>
  </si>
  <si>
    <t>Chị này vừa đăng bài xong mà đã xoá ngay tức khắc . Em chỉ muốn nói là em còn chưa đọc được cmt xong về cách mọi người khuyên chị kkk mà chị đã xoá rỗi là sao vại. 🤣🤣 nghiệp quật cho chị khi chị hại người khác và bị người khác hại lại . Vẫn là chủ đề kem trộn ạ ☺️😊 nói không với KEM TRỘN để không phải stress , tốn kém gấp chục lần hủ kem trộn 🥶🥶🥶 #kemtron #nghiepquatmanh 
Mong ad duyệt bài 💙💙</t>
  </si>
  <si>
    <t>2019-10-20 14:40:40</t>
  </si>
  <si>
    <t>Mỡ Gtop</t>
  </si>
  <si>
    <t>100018251447251</t>
  </si>
  <si>
    <t xml:space="preserve">#nghiepquatmanh #kemtron </t>
  </si>
  <si>
    <t>Mn tv em dùng gì đi ạ, em mới 17t nhưng da bị như vậy rồi đùi bị nứt gạn hết luôn nhiều lắm do em chụp khong được, ở ngoài nhìn đậm với nhiều lắm ạ, em còn bị ở mong nua, mn chỉ em cách nào cho nó hết đi ạ :(( chứ em chả dám mặc quần ngắn luôn..</t>
  </si>
  <si>
    <t>2019-12-02 00:28:54</t>
  </si>
  <si>
    <t>Nguyễn Tuyền</t>
  </si>
  <si>
    <t>100029496201910</t>
  </si>
  <si>
    <t>#tuvan #skincare
Da e là da nhạy cảm mỏng và yếu lộ mạch máu ở trên mặt bẩm sinh. Cực kì dễ mẩn và lên mụn 😑
Nhờ m.n ai biết về skincare da bị như trên cho e xin review loại tẩy trang và sữa rửa mặt cho da nhạy cảm, và 1 số serum hay thực phẩm chức năng cải thiện tốt cho da =(( 
Hiện e đang dùng tẩy trang senka nhưng cũng k thích lắm vì có xíu cồn. Cảm thấy hơi rát không biết là do k hợp hay do bông tẩy trang.
Sữa rửa mặt thì e hiện đang dùng Cetaphill nhưng đọc review thì thấy đc khuyên là nên dùng buổi sáng thôi vì nó k làm sạch sâu, buổi tối nên dùng loại khác mà không biết loại nào phù hợp
E bt chỉ dùng thêm chống nắng the seam và serum rau má thôi ạ !!!</t>
  </si>
  <si>
    <t>2019-08-21 02:15:01</t>
  </si>
  <si>
    <t>100005940067356</t>
  </si>
  <si>
    <t xml:space="preserve">#skincare #tuvan </t>
  </si>
  <si>
    <t>Vào Thế Giới Dao Kéo để cùng ch.ia sẻ làm đẹp nào chị em. 
Cmt TGDK để đc duyệt ngay và luôn</t>
  </si>
  <si>
    <t>2019-12-03 15:28:11</t>
  </si>
  <si>
    <t>Mong admin duyệt bài ạ. 
Da mặt bạn em bị sẹo do mụn , củng có đi spa nhưng không khắc phục được hết .. cho em hỏi là có những sản phẩm gì để làm đầy sẹo và vùng đó bớt đỏ đi được không ạ? Đi da liễu nhưng củng chỉ có soi da và cho uống thuốc còn sẹo thì vẫn như vậy không bớt đi được .. 
e cảm ơn .</t>
  </si>
  <si>
    <t>2019-11-14 09:03:45</t>
  </si>
  <si>
    <t>Thúy Nguyễn</t>
  </si>
  <si>
    <t>100005986632860</t>
  </si>
  <si>
    <t>#huxley #settrang #dahonhop #review #help 
Em năm nay 20 tuổi ạ.  Da em là da hỗn hợp và nó cũng bị thiếu ẩm ý ạ.  Em đang dùng  bên ngoài k ạ,  và bôi như thế có mất tác dung của lớp kem mình dưỡng k ạ.
Da em mới nặn mụn dc 2 tuần nên thâm đang còn để lại.  Các ac cho e ý kiên về sản phẩm bôi trị thâm với ạ.  Set huxley trăng này bôi nó có td giảm thâm k ạ
Da e là da hỗn hợp nhưng khá là kén srm vì e thử nhiều loại nhưng k hợp da cho lắm,  mn ai dùng qua srm nào tôt vừa kiềm dầu vừa cấp ẩm dc cho da thì cho e xin review với ạ.    Em cảm ơn mn. 
Mong ad duyệt bài giúp em với ạ. Em cảm ơn ạ!</t>
  </si>
  <si>
    <t>2019-10-21 00:23:09</t>
  </si>
  <si>
    <t xml:space="preserve">#help #review #dahonhop #settrang #huxley </t>
  </si>
  <si>
    <t>Tập tòi tự makeup chụp beauty tại nhà với chiếc tường màu trắng trong phòng rồi chỉnh màu bằng samsung nè các bác 😁😁
Bó bông nhựa lấy trong bình hoa để bàn và bông sứ xốp cài đi biển 😂😂, đáng lẽ phải bông hồng thì sẽ art hơn nhưng tận dụng cây nhà lá vườn nên chỉ có bông này thoy 😂😂, 4 chiếc ảnh cuối mình selfie với nắng chiếu để mọi người thấy chiếc ảnh sẽ deep và nước màu sẽ vintage hơn nếu có nhíp nhiệt tình tận dụng nắng chụp cho các bạn 😍😍
Makeup nên đậm, lố một tí thì lên hình sẽ đẹp và dễ chỉnh hơn nhen 👌👌
Hy vọng chia sẻ này sẽ giúp các bạn thích chụp ảnh có thêm ý tưởng tự chụp beauty xinh xắn tại nhà ❤
Cảm ơn ad duyệt bài ❤ ❤
#chupbeauty</t>
  </si>
  <si>
    <t>2019-12-21 13:17:26</t>
  </si>
  <si>
    <t>Phan Lê Thương Trang</t>
  </si>
  <si>
    <t>100005322967679</t>
  </si>
  <si>
    <t xml:space="preserve">#chupbeauty </t>
  </si>
  <si>
    <t>Em trong này cũng lâu mà chửa thấy ai bênh kem trộm luôn ấy 🤦‍♀️</t>
  </si>
  <si>
    <t>2019-06-28 06:19:17</t>
  </si>
  <si>
    <t>Anh Tiny</t>
  </si>
  <si>
    <t>100024684713178</t>
  </si>
  <si>
    <t xml:space="preserve">Mọi người cho em hỏi,màu này có cần tẩy hay nâng nền không ạ? Nếu tẩy hoặc nâng nền có sao không, tóc em vừa mỏng vừa yếu ạ
#taytoc
#tuvan
</t>
  </si>
  <si>
    <t>2019-12-02 14:52:05</t>
  </si>
  <si>
    <t>Phúc Thii</t>
  </si>
  <si>
    <t>100022613829477</t>
  </si>
  <si>
    <t xml:space="preserve"> #tuvan #taytoc </t>
  </si>
  <si>
    <t>Da mặt em như này, mọi người cho e hỏi cần khắc phục như nào với ạ:(
cũng dưỡng da, skincare đủ bước, nhưng da vẫn có đốm thâm, không căng và lỗ chân lông to quá ạ!</t>
  </si>
  <si>
    <t>2019-12-25 04:09:42</t>
  </si>
  <si>
    <t>ThảoThảo Lê</t>
  </si>
  <si>
    <t>100008134634024</t>
  </si>
  <si>
    <t>#help 
Mn ơi giúp e với ạ
Trước h e ít mụn lắm, mà hai tháng trở lại đây tự nhiên e lên mụn rất nhiều ở trán, mà cứ lên mụn sưng đau xong có mủ như hình, xẹp mụn này nó lại lên mụn khác, e đã cố gắng thay đổi cách nghỉ ngơi và ăn uống rồi nhưng vẫn ko đỡ mà ngày càng lên. 
Trước khi bị mụn e dùng: 
- Tt : DHC Deep Cleasing oil
- Srm : Perfect whip xanh
- Kcn : Anessa
Hiện tại e đã đổi sang 
- Tt: Laroche posay
- Srm : Isis pharma
- Toner: Caryophy 
Ko dùng kcn vì sợ bị bí da 
- Uống tinh dầu hoa anh thảo nữa ạ
Mn giúp e vs 😭</t>
  </si>
  <si>
    <t>2019-11-28 05:39:00</t>
  </si>
  <si>
    <t>Nguyễn Diệu Ly</t>
  </si>
  <si>
    <t>100004796917337</t>
  </si>
  <si>
    <t>Chào mọi người!
Mình thấy đôi mắt qtrong lắm trong vẻ đẹp tổng thể của mỗi người. Thấy mọi người hay nối mi hay gắn mi đều trở nên xinh hơn bth rất nhiều. 
Nhưng mình thắc mắc k biết là:
1. Nếu nối mi thì có phiền phức và tốn kém lắm k? Vì m nối tầm gần 200k mà cùng lắm 3 tuần rụng hết r, lại ngứa ngáy nữa. 
2. Dán mi nhiều có hại phải k ạ? Có mi lụa k gân hình như rất đẹp và tự nhiên. Vậy nên gắn hay nên nối hơn v mn?
3. Có cách j ngoài 2 cách trên cho mắt có hồn hơn k?
Cảm ơn mn đã đọc!</t>
  </si>
  <si>
    <t>2019-08-30 01:18:15</t>
  </si>
  <si>
    <t>Katie Ngô</t>
  </si>
  <si>
    <t>100000263089291</t>
  </si>
  <si>
    <t xml:space="preserve"> #kemtron
Nằm vùng lâu lắm rồi giờ em với lên bài vì quá bức xúc khi làm người tốt quá khó =)))) 
Chuyện là em trong 1 gr ( em xin giấu tên ) có bạn hỏi Detox Blanc có phải đồ trộn không, xong em thấy cái cmt này mà thấy nhiều người vẫn cả tin lắm luôn huhu :((( Xong em với vào rep với niềm tin cứu thêm những người thoát khỏi đồ trộn nhưng KHÔNG !!! Bạn ý ăn cái gì mà cố chấp không chịu nổi, em nói đến thế mà vẫn cố cãi cho được, từ đó em buồn tay =))) 
Nhân đây có ai là nạn nhân của Detox Blanc thì vào top này để các chị em tham khảo nhau việc phục hồi da nhéee ❤️❤️
Cảm ơn mọi người đã đọc bài của emmm 🙆‍♀️🙆‍♀️</t>
  </si>
  <si>
    <t>2019-07-18 05:43:43</t>
  </si>
  <si>
    <t>Nguyen Quynh Anh</t>
  </si>
  <si>
    <t>100009386459964</t>
  </si>
  <si>
    <t xml:space="preserve">#kemtron  </t>
  </si>
  <si>
    <t xml:space="preserve">
#ask 
Có cách nào cho tóc nhannh dài ko mọi người ??? Do mình cứ tẩy đề nhuộm, xong lại cắt ngắn. Bây giờ nó ngắn lại khó cột tóc, khó làm tóc dã man 😭😭😭 Thấy mấy chị em để tóc dài, t lại nhớ... Nghe người ta bảo gội đầu nhiều sẽ nhanh dài, nên ngày nào t cũng gọi nhưng tóc chả ra được bao nhiêu. Tiện thể cho t hỏi, có ai chưa có gđ, chưa có con mà bị nứt ngực ko 😞 Do t lên xuống kí thất thường, ngày trước ko có, mà t lên 50kg thì xuất hiện vết nứt nhẹ :((( có cách nào cho hết rạn nứt ko chỉ em với huhu !!! 
#mongaduyet</t>
  </si>
  <si>
    <t>2019-08-25 14:54:05</t>
  </si>
  <si>
    <t>Hà Tiểu Nghi</t>
  </si>
  <si>
    <t>100003141364665</t>
  </si>
  <si>
    <t xml:space="preserve">#mongaduyet #ask  </t>
  </si>
  <si>
    <t xml:space="preserve">Các chị ơi cho em xin review các sản phẩm kích mọc nhanh với cả chế độ ăn để nhanh mọc tóc k ạ 
Đầu em sắp hói rồi mọi người ạ :(((
Với lại em có khuôn mặt tròn còn dài nữa thì làm kiểu tóc nào mới phù hợp đây mọi người ☹️☹️
</t>
  </si>
  <si>
    <t>2019-12-25 04:07:06</t>
  </si>
  <si>
    <t>Anh Nguyen Tu</t>
  </si>
  <si>
    <t>100024919344226</t>
  </si>
  <si>
    <t>Gấp lắm rồiii😭
Chào mn em 18 tuổi! Chuyện là em bị mụn lưng ngực ngực em bôi khá nhiều loại thuốc, đi khám da liễu lấy thuốc rất nhiều lần và còn đi spa các chị làm da... nữa mà nó vẫn cứ nổi mấy con mụn đôi khi em cởi áo ngực nhìn thấy dính máu và còn có mụn đầu trắng nữa ntn đây ạ! Mùa đông nó còn nổi như da gà ý kinh lắm nên lúc nào em mặc áo trể vai hay hở tí ngại lắm ạ :((((
Không biết mn ở đây có cách nào mấy con mụn này cho em đc ko ạ?! 
Mong ad duyệt bàiiiii ạaa 
#munlungnguc</t>
  </si>
  <si>
    <t>2019-12-07 13:20:22</t>
  </si>
  <si>
    <t>Kỳ Phươngg</t>
  </si>
  <si>
    <t>100038896249716</t>
  </si>
  <si>
    <t xml:space="preserve">#munlungnguc </t>
  </si>
  <si>
    <t>Các chị ơi cho em hỏi xíu.Đã ai nhấn mí chưa.Em mới nhấn chiều qua mà mắt cũng k bé .Giờ nhấn xong mắt mở được như ảnh bé băng 2/3 mắt cũ .hic hic .Liệu nó có về to như mắt cũ k ak</t>
  </si>
  <si>
    <t>2019-11-26 02:08:48</t>
  </si>
  <si>
    <t>Phạm Quỳnh</t>
  </si>
  <si>
    <t>100013871359496</t>
  </si>
  <si>
    <t>#trimun
Cho e hỏi có ai lăn kim rồi mà vẫn còn lên mụn không . Bên spa đưa ra 2 sp cho em sử dụng 
1 serum tái tạo da
2 kem sức lên nó bong da
Em đi nặng mụn đợt này là đợt thứ 2 rồi. Em theo bên spa quài chắc e chết. Kem thì 1trxx serum hàn thì 1trxx pháp thì 2trxx. Lúc đầu nói lăn kim chuyên sâu. Mà sao khi lăn xong thì cho e hủ kem tí tẹo. Chưa thấy đâu vào đâu. 
Sẵn cho e hỏi có ai trị mụn bằng phương pháp cáy tảo chưa ạ</t>
  </si>
  <si>
    <t>2019-12-17 10:58:04</t>
  </si>
  <si>
    <t>Gia Mỹ</t>
  </si>
  <si>
    <t>100022011738428</t>
  </si>
  <si>
    <t>Mấy chị em ơi cho mình hỏi với ạ. 
Da mặt mình mấy năm trước có đi trang điểm và sử dụng mỹ phẩm đểu ngươif ta bảo là cháy da. Rồi sau đó da bắt đầu ửng đỏ vào ngày nóng vs lạnh, da không lên mụn ở hai má nhưng lại đỏ và lỗ chân lông to ra kèm tàn nhang nữa. Cho em xin tip dưỡng da dành cho da dầu với ạ, với cả phải điều trị thế nào da mới lành lặn và không bị đỏ da thế này ạ. 
Em đã dưỡng da bằng cách đắp mặt nạ nhiều, chỉ sd sữa rửa mặt kèm thuốc trị mụn. Ngoài ra ch dùng qua sp chăm sóc da nào hết 😭 cứu cánh làm đẹp cho da ăn tết đi mấy chị</t>
  </si>
  <si>
    <t>2019-12-22 09:39:26</t>
  </si>
  <si>
    <t>#ask #help
Trước đây chị em có phun tán bột chân mày . Bây giờ có phương pháp nào cứu rỗi cho nó trẻ trung ra được không ạ ? Chị em 21t thôi ạ</t>
  </si>
  <si>
    <t>2019-06-23 09:47:19</t>
  </si>
  <si>
    <t>Thư Thư</t>
  </si>
  <si>
    <t>100021553476102</t>
  </si>
  <si>
    <t xml:space="preserve">
#tuvan
#Dưỡngmoi
Mọi người cho em hỏi môi em vậy bị gì ạ :( chỉ cách chữa với chứ rát quá ,  em mới bị em chưa bao giờ bóc môi đâu tự dưng máu ra nó tự chảy máu</t>
  </si>
  <si>
    <t>2019-12-19 23:23:38</t>
  </si>
  <si>
    <t>Bun Bun</t>
  </si>
  <si>
    <t>100027447961606</t>
  </si>
  <si>
    <t xml:space="preserve">#Dưỡngmoi #tuvan </t>
  </si>
  <si>
    <t>Chào mọi người. 
Hôm nay em đăng bài là muốn hỏi tip làm sạch không cần dùng nước và sữa rửa mặt; và tip dưỡng ẩm. Mấy hôm trước em có đi làm laser nốt ruồi, ở cánh mũi vị trí như hình (hình thật em không dám đăng vì nhìn rất sợ)
Vấn đề hiện tại là vết thương của em đang chờ khô và đóng vảy nên em phải tránh nước, hai hôm nay em chỉ dám rửa mặt bằng bông tẩy trang với nước hoặc toner chứ không dám bôi thêm gì. Nhưng không biết sao da dạo này rất khô, anh chị có cách nào rửa mặt sạch sẽ và cấp ẩm da không? Bao nhiêu năm đều dùng sữa rửa mặt, lâu lắm rồi em không dùng nước rửa nữa, vì cảm thấy rửa mặt không sạch nên không dám dùng dưỡng luôn. 
Edit: So với dưỡng ẩm thì em mong da mình sạch trước đã, em đang thử dùng toner để làm sạch da, mọi người thấy được không ạ?
Mong được ad duyệt bài ạ.</t>
  </si>
  <si>
    <t>2019-12-14 08:00:31</t>
  </si>
  <si>
    <t>Tú Phương Vũ</t>
  </si>
  <si>
    <t>100003730957154</t>
  </si>
  <si>
    <t>#ask #chuyentenhi #vungbikini
Ước mong 1 cô bé hồng hào 😢😢
Việc chăm sóc vùng kín đối với e từ ngày bé tới lớn chỉ dừng ở việc vệ sinh sạch sẽ (rửa sạch và thay quần chip hằng ngày) thôi ạ.
Và từ khi vào các hội nhóm làm đẹp cùng mn thì e ý thức rằng vùng kín cũng cần được chăm chút cho xinh xắn 😂😂
Không để ý thì thôi, chứ bây giờ nhìn kỹ mới thấy Ôi chaooo, giống mẹ bỉm sữa qua 2 lần sinh đẻ 😢😢 2 bên đường viền phần bikini (phần háng ấy ạ) sậm màu, còn phần em bé (2 môi ấy ạ) cũng thâm thâm tái tái, trong khi da e là da trắng. Mà e dự định sang năm cưới mn ạ, cũng chưa quan hệ abc gì cả, nên cứ nghĩ tới lần đầu là e k tự tin nổi.
Mn có biết loại kem bôi nào hay cách gì có thể làm sáng cô bé mà an toàn k ạ? Chứ e nghĩ mấy cách xông hơi, thoa chuối, đu đủ khó hiệu quả lắm. 
Mn đừng bảo e đi spa, thẩm mỹ gì đó nhé, e ngại ạ 😆😆</t>
  </si>
  <si>
    <t>2019-10-04 02:32:20</t>
  </si>
  <si>
    <t>Xí Muội</t>
  </si>
  <si>
    <t>100033299321273</t>
  </si>
  <si>
    <t xml:space="preserve">#vungbikini #chuyentenhi #ask </t>
  </si>
  <si>
    <t>Em vừa mua lọ mặt nạ ngủ 8g này. Mọi người xem giúp em đây là fake hay auth vậy ạ? Mong mn xem giúp em với. Em cảm ơn ạ.
#ask 
#laneige</t>
  </si>
  <si>
    <t>2019-12-02 00:30:51</t>
  </si>
  <si>
    <t>Mỡ Mỡ</t>
  </si>
  <si>
    <t>100027439028738</t>
  </si>
  <si>
    <t>#ask 
Cho em hỏi đã ai dùng serum này chưa và nó có hiệu quả ko ạ? Và rổ giá ntn ạ? =)) Mẹ em đang nhăm nhe mua cái này nhưng em search đc ít thông tin quá nên phải mang lên đây nhờ các chị tư vấn. Em cảm ơn mn ạ.</t>
  </si>
  <si>
    <t>2019-08-26 08:00:44</t>
  </si>
  <si>
    <t>Võ Trúc Quỳnh</t>
  </si>
  <si>
    <t>100004431150894</t>
  </si>
  <si>
    <t>#ask
Xin phép ad duyệt bài ạ
Mọi người cho mình hỏi có bạn nào mỗi khi giao mùa hoặc thời tiết hanh hanh, đặc biệt là mùa đông lại hay bị tình trạng ngứa căng và bong tróc da như thế này không cho mình xin cách khắc phục với :(
Mình cảm ơn!</t>
  </si>
  <si>
    <t>2019-11-30 04:43:48</t>
  </si>
  <si>
    <t>Loan Lê</t>
  </si>
  <si>
    <t>100008836568367</t>
  </si>
  <si>
    <t>#gocthamkhao #foundation #kemnen
Mng ơi da em là da dầu ạ. Mng có thể review giúp em 1 số kem lót và kem nền có kiềm dầu tốt mà giá tầm trung k ạ. Em dùng gì cũng nhanh trôi vì da bị ra nhiều dầu quá ấy😢</t>
  </si>
  <si>
    <t>2019-10-27 04:07:44</t>
  </si>
  <si>
    <t>Trần Mai Lan</t>
  </si>
  <si>
    <t>100037481149565</t>
  </si>
  <si>
    <t xml:space="preserve">#kemnen #foundation #gocthamkhao </t>
  </si>
  <si>
    <t>#chonglaohoa
Mới đầu 3 các bác ạ mà đã đầy nếp nhăn giữa sống mũi với ấn đường. Cả nhà có kem chống lão hóa nào hiệu quả không.em đang dùng serum của Estee Lauder thấy không hiệu quả vấn đề nếp nhăn lắm. Hic hic</t>
  </si>
  <si>
    <t>2019-12-14 15:44:23</t>
  </si>
  <si>
    <t xml:space="preserve">#chonglaohoa </t>
  </si>
  <si>
    <t>Mới đc mấy chị em tham khảo mặt nạ đất sét trị mụn cám nên lật đật đặt trên taobao 1 hủ xài thử mà nghe review đồn có fake nên lo quá taobao nó bán tá lả có khi nào mình mua nhầm fake ko, chị em thông thái check giùm mình với !!! Xin cám ơn và xin cám ơn 😘😘😘 giá 700k việt nam ạ</t>
  </si>
  <si>
    <t>2019-12-01 14:00:23</t>
  </si>
  <si>
    <t>Kim Linh</t>
  </si>
  <si>
    <t>100019546294166</t>
  </si>
  <si>
    <t>Hem biết trong group có nàng thơ nào sắp làm cô dâu thì tham khảo makeup look lần này của mình nhé ✨
💕 Makeup lần này với tone hồng là chủ đạo, mình ko kẻ eyeliner mà chỉ dùng phấn nâu đen đậm viền sát chân mi để tạo hiệu ứng mắt sâu.
💕 Dùng son tint thoa lòng môi cho tươi trẻ, và son tint cũng có độ bóng nhất định chứ ko bóng nhẫy như son bóng.
💕 Trộn nền với highlight kem hạt nhỏ để lớp nền căng bóng tự nhiên. Nhớ là hạt nhỏ nhé mng, nếu hạt nhũ quá to sẽ làm vỡ nền á.
💕 Không dùng nền quá lì nếu muốn da căng bóng, trường hợp da dầu hãy mix kem nền kiềm dầu và kem nền dewy với tỉ lệ 1:1
💕 Highlight Becca là ko thể thiếu cho những điểm cần nổi bật trên khuôn mặt như gò má, sóng mũi, cằm...
💕 Cuối cùng khoá nền bằng xịt MAC FIX+, với công thức hoà tan hạt phấn sẽ làm nền tiệp vào da và trong trẻo hơn.
Bên trên là 1 ít tips mình lụm lặt được, chúc các cô dâu sẽ toả sáng trong ngày trọng đại nhé ❤️
Thanks Ad đã duyệt bài ạ
#makeuptips #BridalMakeup #nynguyenpost</t>
  </si>
  <si>
    <t>2019-12-23 12:26:52</t>
  </si>
  <si>
    <t>Thảo Nguyễn</t>
  </si>
  <si>
    <t>100043005294054</t>
  </si>
  <si>
    <t xml:space="preserve">#nynguyenpost #BridalMakeup #makeuptips </t>
  </si>
  <si>
    <t>#ask #nhuomtoc #denthanchi
Yooo chào mn em năm nay 16t đây là ảnh em. Đợt hè có làm sóng lơi như này, tóc em hơi dày ạ. Em muốn nhuộm màu để ăn tết ,-, màu trầm kiểu như than chì thì có đẹp kh ạ. Có bị xơ tóc và lúc phai ra màu gì ạ ? Các chị đẹp tư vấn em với em cảm ơn ^^</t>
  </si>
  <si>
    <t>2019-12-20 10:13:48</t>
  </si>
  <si>
    <t>Nguyen Le Phuong Thao</t>
  </si>
  <si>
    <t>100043832886172</t>
  </si>
  <si>
    <t xml:space="preserve">#denthanchi #nhuomtoc #ask </t>
  </si>
  <si>
    <t>E năm nay 19t và đây là da mặt hiện nay 
Khoảng hơn 1 năm trước e có sài 3c sắc mộc thiên cũng có hết tạm thời nhưng lại bị nổi tiếp 
Và e ko sd bất sp trị mụn nào sau đó 
Hiện tại e đang sài đc gần nữa chai red peel tingle serum nhưng ko thấy hiệu quả gì lắm mà mụn ẩn trổ lên nhiều hơn trông hơi đáng sợ 
Ko biết e nên tiếp tục sd hay ngưng đây ạ và có anh chị nào chỉ em cách skin care hợp lý cho dạ em hiện vại mà  tầm 2-3 bước thôi vì e cũng hơi lười :3</t>
  </si>
  <si>
    <t>2019-11-28 08:43:49</t>
  </si>
  <si>
    <t>Nguyễn Tấn Tài</t>
  </si>
  <si>
    <t>100034762546268</t>
  </si>
  <si>
    <t>Chuyện là như vậy :((
Em ngủ toàn gồi 2 cái gối. Bản thân nằm hay xoay người dẫn đến việc là sáng ra cổ đau nhức mà dán salonpas không giảm 😢
Em có nghe 1 người anh bảo ngủ không nên gối đầu nhưng cũng không hiệu quả mấy 😭 
Em thực sự rất khó chịu có anh chị nào bày em đc không ạ
#mongadduyet :((</t>
  </si>
  <si>
    <t>2019-11-26 13:24:51</t>
  </si>
  <si>
    <t>Nguyễn Ngọc</t>
  </si>
  <si>
    <t>100032949974961</t>
  </si>
  <si>
    <t xml:space="preserve">#mongadduyet </t>
  </si>
  <si>
    <t>#longmay 
Mọi người ơi. Đây là lông mày của e ạ. Dáng xấu  rậm sợi lại dài và cứng.
Mọi người cho e ý kiến với giờ nên xử lý nó ntn được ạ:((((
Em cảm ơn ạ.</t>
  </si>
  <si>
    <t>2019-11-26 15:26:35</t>
  </si>
  <si>
    <t>フオン ハオ</t>
  </si>
  <si>
    <t>100011663963670</t>
  </si>
  <si>
    <t xml:space="preserve"> #longmay </t>
  </si>
  <si>
    <t xml:space="preserve"> #review #ckđ #thesaem
Che khuyết điểm này chắc mọi người nhắc đến nhiều rồi nhưng mình vẫn muốn recommend lại vì thực sự với mức giá bình dân mà chất lượng quá ổn. 
Đợt vừa rồi do thức khuya nên mặt m để lại thâm mụn khá nhiều. Mình đặt em này hình như 69k Tone 1.5 ... Da hơi sáng nhưng mà dùng tone này nó tiệp hẳn vào ko ai biết có ckđ  luôn. Có tone 2 cho da ngăm và 1 cho da sáng. 
Mình apply ckđ lên chổ thâm để 30s rồi dùng tay tán đều ra, tệp da cực kì. Đỉnh lắm mụi người ơi. Theo mình thì không bị mốc hay khô.
- Tại mình dùng oppo nên chụp hình cũng ko thấy thay đổi mấy nên mình để hình này ạ.</t>
  </si>
  <si>
    <t>2019-09-11 13:21:25</t>
  </si>
  <si>
    <t>Mốt</t>
  </si>
  <si>
    <t>100009476778501</t>
  </si>
  <si>
    <t xml:space="preserve">#thesaem #ckđ #review  </t>
  </si>
  <si>
    <t>E muốn xin ý kiến của các chị đã có tập Muay Thái coi vai có bị to không ạ
Em định đi tập để xuống kí nhưng nghe nhiều người kêu tập vai sẽ bị thô hơn
Và e muốn xin tips tăng ngực. Vì tầm nữa năm nay ngực e cứ sụt dần mỗi lần xuống kí. Tính đến giờ sụt 3size rồi. Em nhìn bé nó ngày càng lép mà e đau lòng 😭
Em cám ơn các chị nhiều ♥️</t>
  </si>
  <si>
    <t>2019-12-02 13:58:35</t>
  </si>
  <si>
    <t>Bo Miều</t>
  </si>
  <si>
    <t>100007610430058</t>
  </si>
  <si>
    <t>Mụn như này  e nên khám da liễu chưa ạ 
Mấy vết thâm kia là e vừa nặn xong 😣
Cái mặt sao đau khổ quá</t>
  </si>
  <si>
    <t>2019-12-17 13:43:16</t>
  </si>
  <si>
    <t>Mẫn Triệu</t>
  </si>
  <si>
    <t>100044014669634</t>
  </si>
  <si>
    <t>[](https://www.facebook.com/hashtag/depchanhsa?source=feed_text&amp;epa=HASHTAG)
Chào mn. Da mặt e là khô dầu, hai bên má lỗ chân lông to và sẹo rỗ để lại do mụn, có cách nào để thu nhỏ lỗ chân lông và mờ sẹo đc k ạ, mặt như này e tự ti quá.
Sản phẩm skincare e đang sử dụng:
- srm Senka màu xanh dương
- tẩy tbc Rosette
- toner Dickinsons
- kem dưỡng ẩm Hada Labo màu trắng
- kcn Eucerin
- serum Red C</t>
  </si>
  <si>
    <t>2019-12-09 00:46:33</t>
  </si>
  <si>
    <t>Chang Chang</t>
  </si>
  <si>
    <t>100035655404442</t>
  </si>
  <si>
    <t>Mọi người ơi cho em xin ít review về dòng kem nền high end có độ che phủ tốt bền màu mỏng nhẹ cho người có tuổi với ạ</t>
  </si>
  <si>
    <t>2019-11-04 15:08:01</t>
  </si>
  <si>
    <t>An Nhien</t>
  </si>
  <si>
    <t>100007066928104</t>
  </si>
  <si>
    <t>Em đang ở Đà Nẵng và nhiệt độ khoảng 19°C.
Hiện giờ da mặt bị khô và bong tróc từng mảng rất to, nhất là phần gần cạnh mũi thế này ạ. Khi nó tróc em cảm giác mặt nó rất rát và đau kinh khủng. :( hic hic. Mọi người cho em hỏi có lọai kem dưỡng cho Nam mà giá ổn định và dễ mua được không ạ? :(. Em xin cảm ơn.
Admin duyệt giúp em ạ. Em cảm ơn😩</t>
  </si>
  <si>
    <t>2019-12-07 09:48:03</t>
  </si>
  <si>
    <t>Lê Nguyễn Xuân Bắc</t>
  </si>
  <si>
    <t>100009360769510</t>
  </si>
  <si>
    <t>E bị viêm da cơ địa có cách nào khỏi không ạ, e bôi nhiều loại rồi bôi khỏi xong lại bị lại
#nản</t>
  </si>
  <si>
    <t>2019-11-13 15:29:03</t>
  </si>
  <si>
    <t>Tỏi Tây</t>
  </si>
  <si>
    <t>100004210835886</t>
  </si>
  <si>
    <t xml:space="preserve">#nản </t>
  </si>
  <si>
    <t>Chào mn trong group. Em năm nay 17t . Em bị dính thuốc rựu tầm 2 tháng. Nhưng bh em ko còn sử dụng nữa. Mụn thì cũng bớt được 1 tí nhưng thâm thì còn nhiều ạ. Và mặt em cứ bong tróc. Rồi em còn thấy da mình mỏng hơn trước ạ. Có mấy bn khuyên em dùng kem dưỡng để dưỡng lại. Em định dùng các sản phẩm: toner serum và kem dưỡng của some by mi để dưỡng lại da. Nhưng ko biết có được không ạ? Ai hiểu rõ về sp này cho em xin tí rewiew với ạ
#đepchanhsa #thuốcrựu</t>
  </si>
  <si>
    <t>2019-12-14 03:09:47</t>
  </si>
  <si>
    <t>Trần Minh Ngọc</t>
  </si>
  <si>
    <t>100034257619164</t>
  </si>
  <si>
    <t xml:space="preserve">#thuốcrựu #đepchanhsa </t>
  </si>
  <si>
    <t xml:space="preserve">Ở đây có ai gặp phải vấn đề nhức nhối như em ko? Đó là vấn nạn "người thân xài kem trộn". Bản thân mình thì anti đồ trộn mà người thân mình lại đi xài. Còn gì nhức nhối hơn.
Cụ thể ở đây là kem "người nổi tiếng". Người thân em cũng biết về kem trộn, nhưng với họ, kem trộn là kem hủ vàng vàng bán ở chợ ko nguồn gốc. Còn kem "người nổi tiếng" sản xuất thì lại tin sái cổ và mua xài. Nói thế nào cũng không được. Mà kem có rẻ đâu, ngang ngửa high end luôn.
Khi em cố thuyết phục thì người nha em phản pháo lại là "người ta nổi tiếng vậy tất nhiên là phải làm ra hàng chất lượng rồi", "hổng lẽ người ta bán danh dự nghệ sĩ?" Trời má, cái danh dự nghệ sĩ tụi kem trộn nó mua cái 1 à. 
Hỏi mấy chị chứ nghệ sĩ thì hoạt động nghệ thuật chứ trình gì mà sản xuất mỹ phẩm, còn nếu dạng collab hoặc đầu tư thì chí ít cũng công khai họp báo với truyền thông chính thống, sản phẩm được bày bán công khai chứ có đâu mà bán chui tuyển đại lý như đa cấp vậy?
Má ác cái, má nghệ sĩ nào bán mỹ phẩm, live streams em lia qua bàn trang điểm cũng thấy 1 đống đồ high end nằm chình ình trên đó. Nếu hàng họ bán tốt thật sự thì xài high end làm gì?
Bởi ai nói nghệ sĩ không ảnh hưởng tới công chúng, ảnh hưởng to bự vl luôn nha. Tính ra nghệ sĩ bán kem trộn còn thất đức hơn mấy con kem trộn vô danh nữa. Khán giả quý cái tài nên yêu mến họ, rồi họ dùng tình thương của khán giả để đi bán đồ kém chất lượng cho khán giả xài. Giống như người ta đưa bạn 1 đoá hoa và bạn tặng lại ngta 1 cái tát. Như vậy hỏi mấy chị có đáng nói ko?
Mệt mỏi quá mọi người ạ, ai có cách gì hay chỉ em để về thuyết phục người nhà với.
ps:
em anti đồ trộn và "sản phẩm người nổi tiếng" nên ai vào xin review đồ trộn hoặc sp người nổi tiếng em xin phép report với admin nha. Ai muốn thì mua mà xài, hỏi lầm hỏi lốn.
</t>
  </si>
  <si>
    <t>2019-05-04 13:33:15</t>
  </si>
  <si>
    <t>Lâm Vy</t>
  </si>
  <si>
    <t>100009741241896</t>
  </si>
  <si>
    <t>Mong ad duyệt bài ạ e đang rất buồn phiền vì lông chân của mk 
Như đàn ông ý . Có ce nào có cách cho n bớt đi k ạ 
Huhu</t>
  </si>
  <si>
    <t>2019-11-19 14:09:27</t>
  </si>
  <si>
    <t>100004296499092</t>
  </si>
  <si>
    <t>Mắt em bị thâm như hình, có cách nào trị hong ạ
Em bị mấy năm nay rồi, phần thâm là cả mắt (chủ yếu trên mí mắt) chứ không bị thâm quầng mắt dưới như người ta ạ
Mọi người có cách nào chỉ em với ạ 😭😭😭</t>
  </si>
  <si>
    <t>2019-12-24 10:45:53</t>
  </si>
  <si>
    <t>Nguyễn Xuân Quỳnh</t>
  </si>
  <si>
    <t>100009842313874</t>
  </si>
  <si>
    <t>#toc #ask 
Cho e hỏi tóc em như thế này là bị làm sao ạ😭 (ko phải gàu hay là chấy vì đầu em hoàn toàn bình thường ko ngứa gì hết, e nghĩ là bị gãy???)
E hay dập tóc và để đầu ướt đi ngủ nên ko biết là bị gãy hay là trứng tóc vs lại là nó dính chặt vào tóc tuốt k ra ạ
Choe xin cách chữa luôn ạ 😰😰😰
Cám ơn mn</t>
  </si>
  <si>
    <t>2019-09-06 02:16:47</t>
  </si>
  <si>
    <t>100006567757555</t>
  </si>
  <si>
    <t xml:space="preserve">#ask #toc </t>
  </si>
  <si>
    <t xml:space="preserve">
Mọi người ơi, em năm nay mới 17t cũng chỉ dùng kcn, srm và tẩy trang thôi ạ. Từ lúc đổi sang kcn some by me thì mặt em bắt đầu bị như vậy. Cho em hỏi đây là mụn ẩn hay là em bị dị ứng mĩ phẩm vậy ạ. Và có cách nào để trị không ạ?</t>
  </si>
  <si>
    <t>2019-12-13 07:46:10</t>
  </si>
  <si>
    <t>Nguyễn Nhàn</t>
  </si>
  <si>
    <t>100009895296158</t>
  </si>
  <si>
    <t>Mọi người ơi cho e hỏi đến mùa đông mà bị cước ở chân với tay thì phải lsao ạ 😰. Cứ đến mùa đông là chân tay e lại sưng tấy ngứa ngáy khó chịu dã man . Ai đã từng bị mà có cách nào chữa khỏi mách em với ạ . Mong ad duyệt bài giúp em ,.</t>
  </si>
  <si>
    <t>2019-12-07 08:01:00</t>
  </si>
  <si>
    <t>Dinh Le</t>
  </si>
  <si>
    <t>100029848840581</t>
  </si>
  <si>
    <t>#ask #mụn 
Em đang dùng bha 1% của paula’s choice ạ, mà bị lên mụn kiểu đầu trắng mà k nhân ạ. Em muốn hỏi đây là e đang bị breakout hay purging vậy ạ? Em k bị ngứa hay rát gì hết cả ạ</t>
  </si>
  <si>
    <t>2019-11-07 12:11:18</t>
  </si>
  <si>
    <t>Trà My</t>
  </si>
  <si>
    <t>100011424478670</t>
  </si>
  <si>
    <t xml:space="preserve">#mụn #ask </t>
  </si>
  <si>
    <t>Các chị ơi, có khi nào mình dùng tinh chất dưỡng da mà lại bị nổi mụn ẩn nhiều hơn trước không. 
Da em là da dầu. Em lúc trước chỉ có dùng sữa rửa mặt với mặt nạ.
Sau này đua đòi skincare các thứ tẩy trang, toner, tinh chất thì da em bắt đầu có mụn nhiều hơn.
Em hoang mang quá. Mọi người có kinh nghiệm tư vấn giúp em với. Em cảm ơn.</t>
  </si>
  <si>
    <t>2019-12-23 11:03:55</t>
  </si>
  <si>
    <t>Hồng Hồng</t>
  </si>
  <si>
    <t>100009866800967</t>
  </si>
  <si>
    <t xml:space="preserve">em năm nay 17t ạ. Mặt em hiện tại ntn ạ. Em nghĩ là do tuổi dậy thì mụn cũng bình thường. Nhưng mà em cũng không hiểu tại sao mặt em nửa mặt thì mụn thâm phải gọi là chi chít thâm mụn luôn ý ạ. Còn nửa mặt còn lại thì không chút mụn không chút thâm nào lưng em cũng có mọc mụn ý ạ. Em cũng có mua thuốc gan uống hơn tháng nay không có tác dụng gì ạ. 
Hiện tại e có sử dụng sửa rửa mặt centafil + chai snai ạ
Da em thuộc dạng da dầu ấy ạ. Dùng chai snai nó có kiềm dầu...
Anh chị đẹp nào biết cách trị mụn giúp em với ạ em cảm ơn
</t>
  </si>
  <si>
    <t>2019-12-25 08:59:16</t>
  </si>
  <si>
    <t>Trương Thị Thủy</t>
  </si>
  <si>
    <t>100036087983782</t>
  </si>
  <si>
    <t>Sắp tới mùa ngựa rồi chị em ơi
#nail</t>
  </si>
  <si>
    <t>2019-12-01 13:08:39</t>
  </si>
  <si>
    <t xml:space="preserve">#nail </t>
  </si>
  <si>
    <t xml:space="preserve"> Foreo MINI 1</t>
  </si>
  <si>
    <t>#xôngmặt #trịmụn
Mọi người có ai gặp tình trạng xông mặt thì mụn nổi lên nhiều hơn không ạ ??? Mình mới áp dụng phương pháp xông hơi mặt với chanh xả được khoảng 1 tháng nay, mỗi tuần 2 lần nhưng cứ sau mỗi lần xông thì lại mọc thêm mụn mới và mụn này thì sưng đỏ gây đau nhức. Ko biết đây là do mụn bị đẩy lên hay là m bị kích ứng da gây mụn vậy và m có nên tiếp tục xông mặt nữa không ạ mn cho m xin ý kiến với hiện m đang rất hoang mang 😭😭</t>
  </si>
  <si>
    <t>2019-04-14 12:52:47</t>
  </si>
  <si>
    <t>Uyen Phuong</t>
  </si>
  <si>
    <t>100028248049963</t>
  </si>
  <si>
    <t xml:space="preserve">#trịmụn #xôngmặt </t>
  </si>
  <si>
    <t>Chào cả nhà! Da mình mới vi tảo xong hiện tại da đang bong tróc nhưng vẫn còn thâm mình nên sử dụng loại kem nào dưỡng trắng sáng mờ thâm nào tốt vậy ạ? Cho mình xin ít review với gần tết rồi da xấu quá😢</t>
  </si>
  <si>
    <t>2019-12-24 01:21:08</t>
  </si>
  <si>
    <t>Tam Thanh Nguyen</t>
  </si>
  <si>
    <t>100004064434294</t>
  </si>
  <si>
    <t>Help me.... Lỗ chân lông to kèm theo mụn đầu đen trên mũi,  mình rất tự ti. Có cách nào chia sẽ  với mình nhé các bạn. Thanks mn!!!</t>
  </si>
  <si>
    <t>2019-11-26 07:58:31</t>
  </si>
  <si>
    <t>Hoài Phương</t>
  </si>
  <si>
    <t>100040670614976</t>
  </si>
  <si>
    <t>Mọi người giúp e với.  Da mặt e là da dầu mụn và thâm rất nhiều.  Em tìm đủ mọi cách nhưng không hết  😓
Mong mọi người giúp đỡ ạ</t>
  </si>
  <si>
    <t>2019-10-28 11:10:02</t>
  </si>
  <si>
    <t>Võ Kim Tuyền</t>
  </si>
  <si>
    <t>100009424414069</t>
  </si>
  <si>
    <t>Chào mn. Trong nhóm mình có ai bị rạn da và biết cách ngăn lại không ạ. Năm nay em 17t khá béo và dạo này rạn đang lan khắp vùng mông với đùi chứ không phải rạn bầu gì đó đâu ạ. Em cảm ơn 
#ask
#randa</t>
  </si>
  <si>
    <t>2019-09-13 17:04:14</t>
  </si>
  <si>
    <t>Cố Thần</t>
  </si>
  <si>
    <t>100040361109659</t>
  </si>
  <si>
    <t xml:space="preserve">#randa #ask </t>
  </si>
  <si>
    <t>#ask 
Mong ad duyệt bài ạ
Em bị té xe lành được 2 tuần và dùng dermatix 1 tuần rồi ạ.
Em thấy có mờ, trắng hơn 1 xíu khi bôi dermatix, mà lúc rửa bằng xà phòng xong thì sẹo nó hơi thâm đi và bôi dermtix lại thì lại mờ, trắng lại xíu. Như vậy có hiệu quả không ạ? Để em đổi loại thuốc sẹo ạ.
Từ lúc lành tới giờ mấy chấm đỏ đỏ trên vết sẹo đó vẫn còn hiện, có cách nào hết được mấy chấm đỏ đỏ đó không ạ? 
Em cảm ơn ạ</t>
  </si>
  <si>
    <t>2019-12-13 16:30:04</t>
  </si>
  <si>
    <t>Tie Nguyễn</t>
  </si>
  <si>
    <t>100004486384622</t>
  </si>
  <si>
    <t>#goctuvan #diet #tangcan
Trong group mình có ai tạng người gầy không thể lên cân được không ạ, tư vấn giúp em về chế độ ăn uống để tăng cân với ạ😭 Tình hình là từ cấp 3 đến giờ cân nặng của em luôn ở mức 48, 49 mà không thể tăng hay giảm gì hết mặc dù bình thường em không ăn kiêng gì cả, cứ thèm gì là ăn nấy. Em rất muốn tăng thêm khoảng 2,3 cân vì e toàn bị mọi người nói là gầy quá. Em cao 1m67 ạ
Mọi người cho em xin ít kinh nghiệm về việc ăn uống để tăng cân một cách khoa học và lành mạnh nhé ạ. Em cảm ơn ạ.</t>
  </si>
  <si>
    <t>2019-05-30 13:57:04</t>
  </si>
  <si>
    <t>Trình An</t>
  </si>
  <si>
    <t>100004415077060</t>
  </si>
  <si>
    <t xml:space="preserve">#tangcan #diet #goctuvan </t>
  </si>
  <si>
    <t xml:space="preserve">
#dainitbung
Ce ơi. Tình hình là gần Tết rồi mà chưa có nổi động lực giảm cân. Em tính mua đai nịt bụng về dùng kết hợp giảm cân . Ce review giúp e đai này có hiệu quả k a?</t>
  </si>
  <si>
    <t>2019-12-08 11:25:25</t>
  </si>
  <si>
    <t>Mai Hoa</t>
  </si>
  <si>
    <t>100016815888830</t>
  </si>
  <si>
    <t xml:space="preserve">#dainitbung </t>
  </si>
  <si>
    <t>Mọi người cho em hỏi mụn như này là mụn gì ạ, e có hay thức khuya, và mỗi khi thức thì mai lại nổi 1-2 cục như này, đỏ hết cả mặt và sưng mủ, da em da dầu, và hiện tại e đang ở nhật. Xin mọi người cho em ý kiến ạ. Em cám ơn</t>
  </si>
  <si>
    <t>2019-12-17 01:17:33</t>
  </si>
  <si>
    <t>Bùi Thiên Hưng ✔</t>
  </si>
  <si>
    <t>100004233181025</t>
  </si>
  <si>
    <t>E bị dính rượu thuốc dừg hơn 2 năm rồi giờ nó lên như này 
M.n có cách nào giúp e với ạ😒
Sắp tết rồi mà mặt e chán quá😒😒😒
Ad duyệt bài giúp em với ạ😒😒😒😒😒😒</t>
  </si>
  <si>
    <t>2019-11-27 10:35:50</t>
  </si>
  <si>
    <t>100008392210709</t>
  </si>
  <si>
    <t xml:space="preserve">Mọi người ơi cho em hỏi với ạ, môi em dày mà em cũng hơi hô nữa. Liệu em đi niềng răng thì môi có đỡ đưa ra hơn không ạ? ( môi dưới em hơi đưa ra ). Với em có đọc được bài môi dày có thể đi cắt cho mỏng lại được, không biết group mình có ai đã làm chưa? Cho em xin lời khuyên với ạ, em cám ơn nhiều nhiều
#môi 
</t>
  </si>
  <si>
    <t>2019-12-01 09:10:09</t>
  </si>
  <si>
    <t>Hà My</t>
  </si>
  <si>
    <t>100023754441919</t>
  </si>
  <si>
    <t xml:space="preserve">#môi </t>
  </si>
  <si>
    <t>Hiện tại thì fb đã khoá .Đt hâm doạ em  , còn lấy hình ảnh của em đi bêu rếu ( cụ thể nick Nhi Lê nó tạo để vô đây công kích theo dõi bài post , lấy hình ảnh e đi lăng mạ ) , e có ghi âm
lại mọi người có thể kéo xuống phần cmt để nghe qua
https://www.facebook.com/jason.man.731 
Em xin edit lại là địa chỉ anh này đưa cho em là giả . Nhưng sdt thì đúng mng nhé : Mọi người có thể bỏ chút ít thời gian nt vào sdt 0927440769(sms) hoặc 0914729595( dành cho ai xài imess )  giúp em được không , e cảm ơn mọi người .
E tra ở fb thì anh này dùng số 0914729595 để trao đổi mua bán hàng hoá . Số 0927440769 dùng add zalo tư vấn sản phẩm cho em
Em xin mọi người giúp đỡ bỏ ra chút thời gian đòi lại công bằng cho em với , Em có trót ngu đi tin mua hàng trên mạng
Anh này cũng trình bày ship ngoài chứ ship shopee bị tính phí 2% mắc nên muốn ship ngoài sẽ giảm thêm cho em
Em cũng tin người nên mua hàng online qua mạng chai estee lauder giá 2700k 
Anh này lừa đảo gửi hàng fake cho em . Đến khi bị phát hiện fake thì nói sẽ gửi lại chai mới . Gửi chai mới vẫn fake . Bị phát hiện thì nói đang đi nước ngoài về sẽ nt để e gửi lại cho anh đó . Nhưng cả tuần đều im hơi lặng tiếng , không thấy nói năng gì . 
Sdt địa chỉ anh này có cung cấp . Bây giờ thì block Fb e luôn , em nhờ mọi người nhắn giúp em mỗi người 1 tin nhắn đòi tiền lại hộ em với . Em sinh viên để dành mua mà còn bị lừa
2700k đối với sinh viên như em thì lớn lắm ạ . 
2 shop này trên shopee là 1 mọi người nhé , nick facebook cụ thể là JASON MAN ( Alex )
Sdt e nhắn đều chính xác .</t>
  </si>
  <si>
    <t>2019-11-21 08:48:14</t>
  </si>
  <si>
    <t>Minine Mickey</t>
  </si>
  <si>
    <t>100043448079208</t>
  </si>
  <si>
    <t xml:space="preserve">Chào mọi người ạ. Mọi người có cách nào tăng cân nhanh nhờ sữa hay thuốc gì mà không bị tích nước không ạ. Em cảm ơn ạ
#tangcan </t>
  </si>
  <si>
    <t>2019-10-26 14:15:29</t>
  </si>
  <si>
    <t>Dịch Tự Di</t>
  </si>
  <si>
    <t>100001083893139</t>
  </si>
  <si>
    <t>#kemchongnang #tuvan
Nhờ các chị tư vấn giúp em loại kem chống nắng nào dùng được cho cả mặt và body ạ. E sắp đi làm dưới nắng gắt. Giá tầm dưới 500k thôi
Em cảm ơn ạ. Mong ad duyệt bài giúp em
(hình đỡ trôi bài)</t>
  </si>
  <si>
    <t>2019-06-08 03:24:35</t>
  </si>
  <si>
    <t>Trần Mỹ Dung</t>
  </si>
  <si>
    <t>100004120447528</t>
  </si>
  <si>
    <t xml:space="preserve">#tuvan #kemchongnang </t>
  </si>
  <si>
    <t>Em muốn tìm cách trị mấy bé mụn trên mặt em ạ trước kia da mặt em là mụn ẩn gần 1 tuần nay da mặt em lên như thế này , chị nào bị mụn đưa ra giải pháp giúp em với ạ . Da em là da dầu em đang tuổi dậy thì .Mong ad duyệt bài giúp em</t>
  </si>
  <si>
    <t>2019-12-14 05:26:02</t>
  </si>
  <si>
    <t>100027420488560</t>
  </si>
  <si>
    <t>#ask #thammong
Lại là t đây. T không những lép mà còn thâm mông. Rạn mông. Hãy cho t xin bí kíp để trị thâm mông, trị mụn mông cấp tốc được không. Cảm ơn các bạn😘</t>
  </si>
  <si>
    <t>2019-05-15 05:59:18</t>
  </si>
  <si>
    <t>Gia Hân</t>
  </si>
  <si>
    <t>100027490664125</t>
  </si>
  <si>
    <t xml:space="preserve">#thammong #ask </t>
  </si>
  <si>
    <t>#rungtoc
Mong mọi người tư vấn giúp em với..
Sắp bước qua tuổi 25 mà đầu tóc e như này, thực sự e buồn lắm...
Tóc e mỏng, dễ rụng.
Có cách nào để chữa trị k ạ 😭😭😭😭</t>
  </si>
  <si>
    <t>2019-12-15 11:24:35</t>
  </si>
  <si>
    <t>Quốc Hoàng</t>
  </si>
  <si>
    <t>100002946741917</t>
  </si>
  <si>
    <t xml:space="preserve">#rungtoc </t>
  </si>
  <si>
    <t xml:space="preserve">
#ask
Chào chị em, da mình da dầu, mình đang tìm hiểu loại serum AHC này, mọi người ai dùng loại này rồi cho mình xin review với ạ, da dầu không biết dùng loại nào là hợp :&lt; 
Mình cảm ơn ạ</t>
  </si>
  <si>
    <t>2019-08-20 07:37:16</t>
  </si>
  <si>
    <t>Nguyễn Lan</t>
  </si>
  <si>
    <t>100005041518218</t>
  </si>
  <si>
    <t>Chào cả nhà ❤️
Minh mới sanh e bé xong da rất khô cả body và face bị xạm da có cách nao dưỡng cho đỡ khô và da sáng hơn được ko ạ. Cám ơn mn ❤️</t>
  </si>
  <si>
    <t>2019-11-29 03:44:50</t>
  </si>
  <si>
    <t>Phương Phương</t>
  </si>
  <si>
    <t>100004789987793</t>
  </si>
  <si>
    <t>Có ai dùng teana b4 rồi ạ cho em ít review với nó trị mụn có tốt và lành tính k , tại da em là loại da nhạy cảm</t>
  </si>
  <si>
    <t>2019-11-03 13:13:27</t>
  </si>
  <si>
    <t>Huyền Trần</t>
  </si>
  <si>
    <t>100012996511001</t>
  </si>
  <si>
    <t>Da e thế này mn cho e xin tip chăm sóc da với ạ, e cảm ơn.</t>
  </si>
  <si>
    <t>2019-12-22 09:38:17</t>
  </si>
  <si>
    <t>Hien Nguyen</t>
  </si>
  <si>
    <t>100009244880054</t>
  </si>
  <si>
    <t xml:space="preserve">
#Seolom 
Tha thiết xin được duyệt bài ạ 😞 
Các chị ơi em bị sẹolõm ngay trên trán đây ạ và nó còn thâm nữa 
Sẹo của em được nữa tháng rồi ạ 
Các chị cho em xin những loại thuốc chuyên trị sẹo ạ vì em tự ti và stress cực kì :(( còn nhiều hình ghê hơn nữa mà em không dám đăng sợ mấy chị mất ngủ :)))</t>
  </si>
  <si>
    <t>2019-10-03 09:36:07</t>
  </si>
  <si>
    <t xml:space="preserve">#Seolom </t>
  </si>
  <si>
    <t>#ask
#chanmay
#micong
Em chào cả nhà 
Em lên đây thật sự để hỏi nên có gì mọi người đừng chửi em nhé
1.Chân mày em tự nhiên (ảnh là đã được tỉa gọn ở tiệm) bình thường nó gần như dấu "^"  vậy đó, ra tiệm nó tỉa sao em chịu vậy 😓 chân mày này em tỉa theo dáng gì được nữa ạ?
2.Mi em dài nhưng không công thì xài dưỡng mi có giúp mi cong hơn không ạ
Em cám ơn và chúc cả nhà cuấn tuần vui vẻ không quạo nếu e có hỏi ngu nhé</t>
  </si>
  <si>
    <t>2019-12-22 05:13:40</t>
  </si>
  <si>
    <t>Hanni Phan</t>
  </si>
  <si>
    <t>100044717228089</t>
  </si>
  <si>
    <t xml:space="preserve">#micong #chanmay #ask </t>
  </si>
  <si>
    <t>#review #cushion #eglips #cushioneglips
Đang trong thời kì thất nghiệp rảnh rỗi nên lên đây giới thiệu với mọi người loại cushion mình rất thích của Eglips này. Tên đầy đủ của em nó là Eglips blur finishing cushion mình được một người bạn nhiệt tình giới thiệu mua vào tháng trước. Lúc đầu hơi ngại vì chẳng thấy ai dùng loại này mấy nhưng thấy đứa bạn dùng cũng đẹp với cả giá cũng vừa túi tiền nên quyết định mua luôn.
🌸Đầu tiên về ngoại hình thì cá nhân mình thấy em này đơn giản mà đẹp, cầm rất chắc tay, bông phấn mềm mịn, hộp phấn đóng mở bằng lực hút cảm giác khá hịn.
🌼Da mình là hỗn hợp thiên dầu, dù dưỡng ẩm rất kĩ nhưng dùng foundation vẫn hay bị cakey, còn dùng cushion thì sau mấy tiếng là bị đổ dầu, mình từng dùng qua cushion của ohui, missha, lime thì đều thấy bị. Đặc biệt là missha và lime, nhiều hôm đi học cả ngày về mặt vừa xuống tông vừa như một chảo dầu mới rán xong chục cái nem chua rán vậy. 
Đối với cushion này của Eglips thì mình không bị những hiện tượng đó, mới đánh lên không khô cũng không quá ẩm nhưng vẫn có độ bóng nhẹ, sau khoảng 15 phút khi lớp dầu tự nhiên của da tiết ra thì phấn tiệp vào da hoàn toàn, nhìn da căng bóng mướt mát mơn mởn luôn. Với thời tiết nắng nóng của Sài Gòn cộng với kiểu người dễ đổ mồ hôi như mình mà sau 8 tiếng đi chơi, chủ yếu là đi bộ lượn lờ da chỉ bị đổ dầu rất nhẹ ở vùng chữ T và hoàn toàn không hề xuống tông. Em này cũng có độ cover rất ổn, những vết tàn nhang và thâm mụn trên mặt mình được che phủ khoảng 80%, lỗ chân lông thì gần như được blur hết hihi. 
☔️Có một điều khiến mình rất thích cushion của eglips nữa là dù có mắc mưa mặt cũng chỉ trôi đi ít phấn nhưng không hề bị loang lổ, sau khi kinh qua vài trận mưa giông bất chợt của Sài Gòn đợt này mình đã rất biết ơn em này vì điều đó.
💸Với chất lượng đó thì giá em này thực sự bình dân, mình mua qua page của eglips trên facebook với giá 300k, hôm trước cũng vừa thấy được sale trên shopee, lại còn có mã giảm của hãng nữa thì phải.
Một vài lưu ý nhỏ đối với cushion này là tone màu khá sáng, cũng không xuống tone nên không phải chọn sáng hơn 1 tone làm gì cả, da mặt mình được coi là trắng nhưng cũng vẫn dùng tone 23 thôi là vừa đẹp rồi. Ngoài ra thì mỗi lần lấy phấn chỉ nên ấn nhẹ tay thôi nhé. 
Tổng kết thì mình chấm cho em này 9/10 điểm, trừ 1 điểm vì hai nhược điểm nhỏ vừa nêu trên. Và chắc chắn nếu tìm được việc thì mình sẽ dùng lương để mua lại em nó ngay khi sắp hết. 🤣🤣</t>
  </si>
  <si>
    <t>2019-09-07 00:58:17</t>
  </si>
  <si>
    <t>Thục Anh</t>
  </si>
  <si>
    <t>100002881903149</t>
  </si>
  <si>
    <t xml:space="preserve">#cushioneglips #eglips #cushion #review </t>
  </si>
  <si>
    <t>#gócsânsi #DetoxBlanc
T vô tình thấy 1 video quảng cáo mask và video tự chạy chúng mày ạ. 
T edit từng hình rồi nha
P/s: có gì mấy má góp ý, đừng ném đá tội t</t>
  </si>
  <si>
    <t>2019-12-13 16:36:47</t>
  </si>
  <si>
    <t>Như Phan</t>
  </si>
  <si>
    <t>100012879195047</t>
  </si>
  <si>
    <t xml:space="preserve">#DetoxBlanc #gócsânsi </t>
  </si>
  <si>
    <t>Em chào mọi người ạ 
Đây là anh trai em, em ngoi lên xin tip trị mụn ạ
Anh e bị mụn chắc cũng khoảng 5-6 năm gì đó dùng đủ loại thuốc đủ loại kem nó cứ ít đi 1 tí rồi lên lại nó cứ trêu máu người như thế đó ạ 😭 mặc dù kiêng ăn mấy đồ ăn dễ lên mụn nhưng nó vẫn thế đi da liễu ở bên Mỹ mà nó vẫn kh hết. Mọi người có ai trị mụn thành công rồi chỉ cho em được không ạ chứ nhìn mặt vậy em thấy tội quá anh e quá 
Em cám ơn ad đây là lần đầu em đăng bài có gì sai xót mong mọi người bỏ qua ạ
Edit: da anh e rất dễ bị dị ứng lun ấy mọi người</t>
  </si>
  <si>
    <t>2019-12-17 23:14:55</t>
  </si>
  <si>
    <t>Nguyễn Ngọc Tú Quyên</t>
  </si>
  <si>
    <t>100005594447126</t>
  </si>
  <si>
    <t xml:space="preserve">
#goctuvan
có bạn nào tiêm botox thon gọn hàm chưa ạ?
cho mình tí thông tin và chia rẻ kinh nghiệm với ạ
!!!
cảm ơn ad duyệt bài</t>
  </si>
  <si>
    <t>2019-05-07 06:32:26</t>
  </si>
  <si>
    <t>Pha Lê</t>
  </si>
  <si>
    <t>100004296575145</t>
  </si>
  <si>
    <t xml:space="preserve">#goctuvan </t>
  </si>
  <si>
    <t xml:space="preserve">Cái vùng đỏ trên da em cứ lúc có lúc lại biến mất . Có ai biết bị cái này là gì ko ạ ( ko đau ko rát gì lun chỉ có lớp da khô r nó tự tróc ra thôi ) 😊😊 
</t>
  </si>
  <si>
    <t>2019-12-06 00:34:40</t>
  </si>
  <si>
    <t>Duy Nguyễn</t>
  </si>
  <si>
    <t>100033704891977</t>
  </si>
  <si>
    <t>Mn cho em hỏi có cách nào trị thâm mụn tốt ko ạ, 3 vết thâm này của em đã 3 tháng rồi vẫn ko mờ đi tẹo nào ,dù cho em có sài các sản phẩm bình dân đến đắt tiền vẫn ko hết ạ,mặc dù các vết thâm khác thì hết ạ.Mọi người giúp em với ạ vì sắp Tết rồi:(((Mong ad duyệt ạ:(((</t>
  </si>
  <si>
    <t>2019-11-25 05:25:40</t>
  </si>
  <si>
    <t>Tuệ Minh</t>
  </si>
  <si>
    <t>100004806240014</t>
  </si>
  <si>
    <t>#Toc #HairTips
Các chị có tip gì giúp tóc nhanh dài và dày bằng nguyên liệu tự nhiên không ạ?
Tóc em tẩy nên xơ rối rụng nhiều quá :( Giờ hối hận lắm luôn nên muốn tóc nhanh nhanh dài còn đón Tết.
Em nghe nói ủ dầu dừa, bia hay là vitamin B1 thì dài nhanh. Nhưng không biết ủ thế nào cho đúng :( 
Chị nào biết chỉ em với ❤️</t>
  </si>
  <si>
    <t>2019-10-23 14:55:13</t>
  </si>
  <si>
    <t>Tran Minh Hang</t>
  </si>
  <si>
    <t>100008761903534</t>
  </si>
  <si>
    <t xml:space="preserve">#HairTips #Toc </t>
  </si>
  <si>
    <t>Ai đã từng uống transino 240v của nhật chưa cho e xin ít review với ạ . Có thật sự hết nám tàn nhang và trắng da ko mn. Em năm nay 21 tuổi da hơi ngăm và có một ít tàn nhang 2 bên má . 
Mong ad duyệt bài cho e ạ !!!</t>
  </si>
  <si>
    <t>2019-11-01 15:15:46</t>
  </si>
  <si>
    <t>#đepchanhsa 
Em mới 2x tuổi. Tình hình là gót chân em bị rạn nứt như hình. Em ko biết là có thể cải thiện được ko ạ? Và em nên làm gì và tránh gì để lấy lại gót chân mềm mại ạ. Em cảm ơn mấy chị nhiều</t>
  </si>
  <si>
    <t>2019-07-31 02:51:26</t>
  </si>
  <si>
    <t>Đỗ Thái Thanh</t>
  </si>
  <si>
    <t>100003261100347</t>
  </si>
  <si>
    <t>#help
Cho em xin ít kinh nghiệm xỏ khuyên rốn với ạ! Xỏ xong có phải kiêng tập thể thao ko ?</t>
  </si>
  <si>
    <t>2019-08-17 09:04:57</t>
  </si>
  <si>
    <t>Hà Trúc AAnh</t>
  </si>
  <si>
    <t>100031229712817</t>
  </si>
  <si>
    <t xml:space="preserve">Lập topic share thuốc nhỏ mắt, thuốc bổ trợ mắt đi các chị ơi.
Ai dùng loại này hay Rotoh vàng chưa ah? Review em vớiiiii
</t>
  </si>
  <si>
    <t>2019-06-16 06:44:08</t>
  </si>
  <si>
    <t>100023037033068</t>
  </si>
  <si>
    <t>Mọi người cho em hỏi chút ạ
Em dạo này bị ngủ muộn vs rối lợn nội tiết 
Bị lên mụn đỏ, mụn bọc vs mụn nội tiết 
Em ra tiệm thuốc tây thì người ta cho em những thuốc này về uống với bôi trong 10 ngày 
Mọi người ai từng dùng thuốc này chỉ em vs 
E đọc thấy thuốc cho bệnh gan :((</t>
  </si>
  <si>
    <t>2019-11-28 11:14:34</t>
  </si>
  <si>
    <t>Phương Hoàng</t>
  </si>
  <si>
    <t>100033832502962</t>
  </si>
  <si>
    <t xml:space="preserve">Em 17t da em bị thế này ! em có đi da liễu 1 lần tốn gần 2m ! ngta cho 1 tuần thuốc nhưng không thấy đỡ được phần nào 😞 ! giờ em không biết làm sao !
Em cũng không rõ là mụn gì ?
Mong anh chị giúp em với ! Gần 3 tháng nay em không dám ra đường ! 
</t>
  </si>
  <si>
    <t>2019-12-07 09:19:21</t>
  </si>
  <si>
    <t>Châu Hoàng Bảo</t>
  </si>
  <si>
    <t>100009650060499</t>
  </si>
  <si>
    <t>Mn rw cho em ít kinh nghiệm dưỡng cơ mặt và da mặt được k ạ 😭
Chả hiểh sao da thì đen xấu mặt cũng càng ngày càng phị ra 😂🤦🏻‍♀️
Ad duyệt bài giúp em với ak</t>
  </si>
  <si>
    <t>2019-12-04 03:35:15</t>
  </si>
  <si>
    <t>Linh Tran</t>
  </si>
  <si>
    <t>100022748690880</t>
  </si>
  <si>
    <t>Mình có 1 nốt mụn sờ thì thấy cộm ở dưới da mà nặn thì ko thấy nhân chỉ có máu tươi. Không biết đây là dạng mụn gì và nên làm như thế nào ạ? Chứ mình bị từ đầu năm, mãi chả khỏi mệt lắm ý 
#tuvan
#munan</t>
  </si>
  <si>
    <t>2019-11-30 00:52:28</t>
  </si>
  <si>
    <t>Lâm H HT</t>
  </si>
  <si>
    <t>100006912540218</t>
  </si>
  <si>
    <t xml:space="preserve">#munan #tuvan </t>
  </si>
  <si>
    <t>Mình 33 tuổi.đây là da mình hiện tại.mn ơi tư vấn cho mình nên dùng gì với ạ
#help 
Mình đang dùng những sp này
*tt bio xanh
*tẩy da chết táo của arrhan
*red peel
* srm đá núi lửa innisfree
* toner ý dĩ naturie
* serum c của balance
* dưỡng ẩm laneige water bank
* chống nắng velvet finish của missha
*mắt của ahc mà k thấy gì
Các thứ này mình mới dùng 1 tháng thôi chỉ thấy da đỡ đốm nâu thôi</t>
  </si>
  <si>
    <t>2019-08-20 09:36:05</t>
  </si>
  <si>
    <t>100007680824373</t>
  </si>
  <si>
    <t>huhu mọi người ơi em không hiểu tại sao hồi cấp 2 tóc e thẳng mượt lắm mà lên cấp 3 lại thành ra thế này. gội đầu xong là thấy rõ nhất. nó xù lên nguyên một đầu luôn. sợi tóc không phải kiểu xoăn như tóc sâu nhưng mà rất dày và sượng. có ai bị như mình không và làm sao khắc phục được nhỉ. mình có duỗi cúp hai lần. duỗi từ phần chân tóc luôn. xong thời gian sau tóc dài ra thì cái phần tóc giữa chỗ duỗi và chân tóc mọc dài ra bị gãy rồi xù lên. khi đáng ra phần tóc mọc lên phải thẳng mượt như tóc ban đầu tự nhiên của mình chứ. có phải mình bin biến đổi gen không 😢😢😢</t>
  </si>
  <si>
    <t>2019-11-01 05:26:32</t>
  </si>
  <si>
    <t>Ng Ng</t>
  </si>
  <si>
    <t>100022802915773</t>
  </si>
  <si>
    <t>Mong ad duyệt bài. 
Da e trước không có mụn hoặc lâu lâu mới bị thôi ạ nhưng 2 tháng gần đây e càng lên nhiều mụn ẩn. E đi lấy nhân mụn và đi khám bs da liễu rồi. Nhưng bs chỉ nói bị mụn trứng cá bình thường bảo lên lấy nhân mụn ở đó rồi cho thuốc bôi.không nói gì thêm  E bôi thuốc 1 tuần rồi mà vẫn không đỡ hơn tí nào còn nặng hơn. ở đây có ai biết nên làm ntn chỉ e với 😟
À trước e có dùng tea tree oil cũng k đỡ 
Tẩy trang sữa rửa mặt nước hoa hồng đầy đủ ạ</t>
  </si>
  <si>
    <t>2019-11-26 15:30:45</t>
  </si>
  <si>
    <t>Hoà Khánh</t>
  </si>
  <si>
    <t>100009867849314</t>
  </si>
  <si>
    <t>#ask 
Chào mọi người, mình đăng bài với mục đích cần sự gợi ý, lời khuyên từ mọi người trong việc điều trị sẹo lồi.
Chuyện là mình bị té xe từ hồi tháng 5, 6 và đến bây giờ, chỗ sẹo bên đầu gối trái nó lồi, thâm khá là to :( mặc váy hơi tự ti (ảnh mình up ngược do sợ mọi người khó chịu). Ban đầu lúc tróc mài thì mình ăn uống rất kiêng cử và cục sẹo mờ trắng (hình 2) cứ ngỡ là lành hẳn và mình ăn bt. Nhưng về sau sẹo lồi thâm càng to hơn (hình 1). Còn các chỗ sẹo khác chỉ thâm 1 chút và ko hề gây ra sẹo lồi :(.
*Mọi người có thể cho mình 1 số địa điểm tiêm trị sẹo lồi ở HCM an toàn và uy tín được không? Và do sẹo ở đầu gối nên sau khi tiêm, mình hoạt động đi nhiều có ảnh hưởng lên vết tiêm không, có cần kiêng cử ăn uống gì không?
Cảm ơn ad duyệt bài.</t>
  </si>
  <si>
    <t>2019-12-10 18:48:43</t>
  </si>
  <si>
    <t>Tạ Huyền Trân</t>
  </si>
  <si>
    <t>100006178684837</t>
  </si>
  <si>
    <t>Mọi người ơi có cách nào trị đổ mồ hôi vùng nách ko ạ, e ko bị bệnh hôi nách, nhưng lại bị đổ mồ hôi rất nhiều nhìn phản cảm và rất mất tự tin ạ.</t>
  </si>
  <si>
    <t>2019-11-03 01:28:11</t>
  </si>
  <si>
    <t>Daisy Bobby</t>
  </si>
  <si>
    <t>100037840792141</t>
  </si>
  <si>
    <t>Xin ad hãy duyệt giúp em 
Group mình có ai sd serum timeless chưa ạ ! Vì em có đôi chút thắc mắc số 2 là chai timeless mình nhờ người quen mang từ Mỹ về xài ok lắm luôn con chai số 1 mình mới order trên mạng về giá tầm 400-450k mình thấy có vài shop bán 300 là cao rồi mình cũng sợ fake nên order giá cao hơn :(( chẳng may khi về nhà để 2 chai dô với nhau thì thành ra 2 màu lệch tone quá trời luôn ! Mình thấy có bạn kêu là hãng sẽ đổi bao bì nhưng rất ít ai dùng giống màu mình ! Bạn nào sd màu nào comment giúp em với em suốt ruột từ chiều giờ vì tiếc tiền nếu mua phải fake anh chị xin giúp em nhé :(
Chai số 1 là nsx là tháng 7 
Chai số 2 là nsx tháng 9</t>
  </si>
  <si>
    <t>2019-11-30 00:43:56</t>
  </si>
  <si>
    <t>Thuỳ Trang</t>
  </si>
  <si>
    <t>100020612044773</t>
  </si>
  <si>
    <t>#ask #biotin #fake
Mng em mới mua cặp này. Nó khác rất nhiều so với chai cũ của em. Tem tái chế không thấy dòng chữ nhỏ luôn. Ng bán khẳng định là đôf real nhưng em so sánh thì chả có tí real nào cả:( cả đôi 490k mà giờ sợ không dám dùng. Mng check hộ em nhé 😂❤️</t>
  </si>
  <si>
    <t>2019-09-20 11:03:15</t>
  </si>
  <si>
    <t>Long Trương</t>
  </si>
  <si>
    <t>100039726975958</t>
  </si>
  <si>
    <t xml:space="preserve">#fake #biotin #ask </t>
  </si>
  <si>
    <t>#duongtoc 
Tóc em là tóc xoăn tự nhiên , bông xù như dập nữa ạ 😒 
Nhuộm nhiều nên giờ tóc em khô và sơ quá ,nhìn nó như mớ rơm luôn 
Các chị có biết loại dưỡng tóc nào dùng hiệu quả không chỉ em với😭😭😭  chứ giờ em cũng chỉ nghĩ đến việc cắt ngắn đi thôi tóc vừa xấu lại còn dài chậm nữa 😢 đôi khi em cảm thấy tự ti về mái tóc quá 😭 đi đâu cũng phải đội mũ lưỡi trai luôn😑
Help me😣😣</t>
  </si>
  <si>
    <t>2019-08-22 03:09:48</t>
  </si>
  <si>
    <t>Hồ Thị Thanh Thuý</t>
  </si>
  <si>
    <t>100007865798105</t>
  </si>
  <si>
    <t xml:space="preserve">#duongtoc </t>
  </si>
  <si>
    <t>Ai biết cách chỉ giúp em với ạ???  
E bị như thế này ở lưng được hơn 1 tuần rồi, trước giờ em không bị như này. E đang dùng sữa tắm Tây Thi...</t>
  </si>
  <si>
    <t>2019-12-02 02:21:41</t>
  </si>
  <si>
    <t>Chang Ruby</t>
  </si>
  <si>
    <t>100042943807576</t>
  </si>
  <si>
    <t>E gái e bị viêm da cơ địa ở tay, kiêng khem thuốc tháng bao nhiêu rồi cũng k ăn thua. Thật sự bất lực :((( có ai có cách giải quyết k chỉ e với</t>
  </si>
  <si>
    <t>2019-10-11 03:27:00</t>
  </si>
  <si>
    <t>Dễ Thị Thương</t>
  </si>
  <si>
    <t>100004372298123</t>
  </si>
  <si>
    <t xml:space="preserve">
Mọi người có ai dùng kcn này mà bị lên mụn không ạ. Da em thuộc loai da dầu siêu nhạy cảm, e nghe review nói đây là dược mĩ phẩm nên mới dám mua thử mà mới một lần xài thấy bị mụn ẩn quá trời không biết có nên sử dụng tiếp không ce cho e xin ý kiến với ạ e hoang mang quá 😭😭
Sẵn tiện ce biết kcn nào lành tính dành cho da nhạy cảm không recommend cho e với ạ. E cảm ơn nhiều lắm luôn 😢</t>
  </si>
  <si>
    <t>2019-10-24 08:12:00</t>
  </si>
  <si>
    <t>Vương Y Nhi</t>
  </si>
  <si>
    <t>100028997843592</t>
  </si>
  <si>
    <t>Xin chào mọi người ạ.
 3 năm gần đây tóc em rụng rất nhiều, và giờ như trong ảnh đây ạ. Hói luôn rồi :((( Nên e đăng bài viết này rất mong mọi người cho em xin 1 vài phương pháp để tóc em ngày 1 dày lên ạ 😢</t>
  </si>
  <si>
    <t>2019-12-18 08:35:46</t>
  </si>
  <si>
    <t>Phạm Huế</t>
  </si>
  <si>
    <t>100012454092145</t>
  </si>
  <si>
    <t xml:space="preserve">
#hoidap
#chamsocda
Em xin trình bày vắn tắt như sau ạ :
+ làm thế nào để lcl thu hẹp lại 1 ít ạ
+ làm sao để có một cái mũi sạch mụn ạ 🤤
Hmmm, em cũng hông biết da mình thuộc da gì , nhưng hiện tại e chỉ dùng srm của Senka tuyp màu trắng í</t>
  </si>
  <si>
    <t>2019-12-14 12:25:16</t>
  </si>
  <si>
    <t>Tiết Dương</t>
  </si>
  <si>
    <t>100041444414958</t>
  </si>
  <si>
    <t xml:space="preserve">#chamsocda #hoidap </t>
  </si>
  <si>
    <t>Các chị ơi. E cần tư vấn giúp e nên mặc gì về ra mắt nhà ny với ạ. E xác định kiểu đơn giản nhã nhặn rồi mà tùm hoài k được. Các chị giúp e với ạ. Có hình ảnh càng tốt ạ. E cảm ơn mn.
E thì chiều cao khiêm tốn. M53 44 cân ạ.
P/s: e năm nay 21 tuổi ạ. Và e về vào tầm giữa tháng 12. Khá lạnh :((</t>
  </si>
  <si>
    <t>2019-11-25 12:44:59</t>
  </si>
  <si>
    <t>Lyn Lyn</t>
  </si>
  <si>
    <t>100027405378685</t>
  </si>
  <si>
    <t>Em bị nổi đỏ đỏ như vậy ở khe ngực, có phải bị viêm nang lông không ạ? 
Có ai từng bị như em mà trị hết giúp em với 😩 
Mong ad duyệt bài,  cảm ơn ad ạ ❤</t>
  </si>
  <si>
    <t>2019-11-24 05:22:37</t>
  </si>
  <si>
    <t>Hoàng Ngọc Vy</t>
  </si>
  <si>
    <t>100037120545639</t>
  </si>
  <si>
    <t>Em 15 tuổi, mng review giới thiệu một 1 loại dùng để khắc phục với ạ. E đang dùng SRM centaphil + tẩy trang la roche</t>
  </si>
  <si>
    <t>2019-12-25 04:11:41</t>
  </si>
  <si>
    <t>Triệu Vũ</t>
  </si>
  <si>
    <t>100029108207618</t>
  </si>
  <si>
    <t>#đẹp_chanh_sả
#hỗn_hợp_thiên_dầu
Các chị ơi. Em vừa đầu tư 5 món này để làm sạch da và đẩy nhân mụn ẩn. Nhưng em lại chưa biết dùng như nào ở 2 lọ giữa. Các chị có kinh nghiệm xem giúp em các món này hợp lý chưa và dùng 2 lọ giữa như thế nào cho hợp lý ạ. Em vừa mua về xong. Mà nghe nói lọ xanh dùng khô da lắm. Em dùng kèm sr và kem dưỡng loại này được không ạ? 😄
Em cảm ơn!
Da em là hh thiên dầu, trước k có mụn. Nhưng 2 năm trở lại thì có mụn ẩn ( khả năng do dầu tẩy trang muji + căng thẳng)</t>
  </si>
  <si>
    <t>2019-09-05 23:53:04</t>
  </si>
  <si>
    <t>Thanh Lương</t>
  </si>
  <si>
    <t>100010946910438</t>
  </si>
  <si>
    <t xml:space="preserve">#hỗn_hợp_thiên_dầu #đẹp_chanh_sả </t>
  </si>
  <si>
    <t>Mọi người ơi giúp e với ạ❤️
Như lần trước e đã đăng là da mặt e khi ngưng kem là nổi sần ki ti ,ngứa ,rát và tróc vảy đấy ạ.
Mọi ng có tư vấn bảo da e nhiễm corticoid. Sau đó e ngưng kem và đi spa đào thải corticoid.e làm retox sau đó về bôi sirum đào thải lúc đầu da có biểu hiện đỡ nhưng sau 4 lần retox giờ da e ngứa rát và  khô tróc nhìu hơn e khó chịu lắm ạ.
E cũng mới đi khám da liễu bsi cũng cho thuốc uống mà mấy nay vẫn khó chịu lắm.
MN có biết cách nào giúp e làm da dịu đỡ khô và ngứa k hoặc cách điều trị thải cor đúng k ạ.?!
Em cám ơn ạ!</t>
  </si>
  <si>
    <t>2019-11-27 22:17:04</t>
  </si>
  <si>
    <t>Sunny Phạm</t>
  </si>
  <si>
    <t>100012546042093</t>
  </si>
  <si>
    <t>Các chị ơi chỉ em cách trị mụn lưng với ạ. Lúc trước lưng e không có tí mụn nào, sau lần e đi triệt lông lưng thì giờ nó nổi mụn tùm lum ạ, toàn mụn mủ vừa to vừa đau. Em có xài cục xà phòng than của nhật mà k có tác dụng . Huhu e tự ti không dám để hở lưng ra ạ 😥😥</t>
  </si>
  <si>
    <t>2019-11-04 14:49:37</t>
  </si>
  <si>
    <t>Mai Thi</t>
  </si>
  <si>
    <t>100011482703220</t>
  </si>
  <si>
    <t>#ask #skincare
Chào mọi người! 
Mẹ mình bị nám như hình bên dưới ở ngay vùng trán cũng rất lâu rồi và mặt mẹ bị cũng có dấu hiệu bị chảy sệ. Mọi người ai có kinh nghiệm trị nám hoặc biết những sản phẩm nào trị nám và giúp săn chắc da mặt tốt thì chỉ giúp mình với ạ. Nhân dịp 20/10 nên mình định mua tặng mẹ luôn.
Mong được ad duyệt ạ 🥰</t>
  </si>
  <si>
    <t>2019-10-09 01:40:56</t>
  </si>
  <si>
    <t>Trang Chutavuth</t>
  </si>
  <si>
    <t>100006170430260</t>
  </si>
  <si>
    <t xml:space="preserve">#skincare #ask </t>
  </si>
  <si>
    <t xml:space="preserve">
#review
Mọi người cho em xin ít review về thuốc giảm cân cenly này được không ạ. Thấy nhiều hot girl pr lắm nên em định mua về dùng thử, nhưng nhiều người bảo thuốc giảm cân độc hại lắm huhu 😭😭😭</t>
  </si>
  <si>
    <t>2019-05-23 08:04:20</t>
  </si>
  <si>
    <t>Đào Nguyên</t>
  </si>
  <si>
    <t>100009541732164</t>
  </si>
  <si>
    <t>#Trangdiemcoban
Em chào mọi người ạ,
Các chị tư vấn giúp em về 1 bộ trang điểm cơ bản nhất cho người mới bắt đầu muốn trang điểm giá học sinh với ạ. Da em thuộc dạng da dầu, nhiều khuyết điểm vì có mụn và thâm.
Em cảm ơn nhiều ạ 😍😍😍😍</t>
  </si>
  <si>
    <t>2019-12-01 12:19:54</t>
  </si>
  <si>
    <t>Hanal Tran</t>
  </si>
  <si>
    <t>100043978721588</t>
  </si>
  <si>
    <t xml:space="preserve">#Trangdiemcoban </t>
  </si>
  <si>
    <t>#đepchanhsả #helpme
Mong admin duyệt bài ạ
Chào mọi người, da e đang bình thường k xấu cũng k đẹp chỉ thỉnh thoảng mọc một hai cục mụn nhỏ. Đầu tuần em bị sưng 1 cục mụn viêm mà em ngu quá cứ xài tè le đồ cho nhanh hết nhưng giờ lại thành ra như vậy. Mong anh chị hãy giúp em ạ. Huhu. E vẫn dưỡng da bình thường mới bôi thêm serum TO Salycylic 2% và giờ mặt nó banh như vầy nè.</t>
  </si>
  <si>
    <t>2019-09-28 02:08:52</t>
  </si>
  <si>
    <t>Lê Ngọc Đan Thùy</t>
  </si>
  <si>
    <t>100009366815094</t>
  </si>
  <si>
    <t xml:space="preserve">#helpme #đepchanhsả </t>
  </si>
  <si>
    <t>Các chị tư vấn giúp em với ạ. Em sắp đi chơi với lớp mà do béo với lùn nên khó chọn quần áo. Áo thì em chọn được nhưng mà em không biết phối với quần nào cho hợp. Liệu em có thể mặc yếm như này được không ạ? ( ảnh minh họa)
Em cũng khó mua được đồ vì em mặc size XL mà hiếm shop có cỡ vừa của em 😢
Mong các chị tư vând giúp em ạ</t>
  </si>
  <si>
    <t>2019-12-15 11:23:23</t>
  </si>
  <si>
    <t>Cải Bắp</t>
  </si>
  <si>
    <t>100022184117098</t>
  </si>
  <si>
    <t>Mong ad duyệt bài gấp cho em, em cảm ơn trước ạ. 
Mọi người ơi, minhg nghe nói hiruscar trị thâm rất tốt, mà mấy hiệu thuốc gần đây chả bán nên mình có nhờ một chị ở xa về mua hộ mà chị ấy lại mua thành loại này(mình nhờ mua xanh dương). 
Mọi người cho mình hỏi cái này trị thâm được không ạ? Chứ giờ vứt đi thì tiếc tiền quá ạ =(
#hiruscar</t>
  </si>
  <si>
    <t>2019-12-01 14:01:38</t>
  </si>
  <si>
    <t>阮氏芳</t>
  </si>
  <si>
    <t>100014882161717</t>
  </si>
  <si>
    <t xml:space="preserve">#hiruscar </t>
  </si>
  <si>
    <t>Làm cách nào dưỡng trắng da tay chân mà không cần đến kem trộn ạ 😰
E muốn trắng hơn bằng cách xài kem dưỡng hay gì cũng được trừ kem trộn ra
Các chị em có cách nào bày cho em với. 
Cám ơn ad
Cám ơn mọi người</t>
  </si>
  <si>
    <t>2019-10-28 11:22:22</t>
  </si>
  <si>
    <t>Trần Loan</t>
  </si>
  <si>
    <t>100014499462194</t>
  </si>
  <si>
    <t>#fot #luadao #foreo
Mình đăng lên tránh trường hợp các chị em bị lừa🤣🤣
CHIÊU MỚI MOI TIỀN 
1000 máy luna foreo 2 Hẳn là Foreo "rẻ" lắm 🤣 Thêm quả bọc ni lông
 Mà phí ship thực sự tầm 35k thôi, tính ra lãi hẳn 50k. Tính ra 1000 máy lãi hẳn 50 củ😂 nay lừa đảo đầu tư qué</t>
  </si>
  <si>
    <t>2019-09-28 15:13:40</t>
  </si>
  <si>
    <t>100028083189470</t>
  </si>
  <si>
    <t xml:space="preserve">#foreo #luadao #fot </t>
  </si>
  <si>
    <t xml:space="preserve">
#gocbucxuc
Mong ad duyệt bài cho ạ
Bạn này xoá cmt rồi
Mình chưa bao giờ tranh luận gì trong hội cả nhưng lần này mong ad và các bạn phân xử xem mình nói có gì sai k ạ.trươc khi cmt mình đã đọc rất nhiều cmt nhưng mình thấy các bạn toàn đưa lời khuyên không đungs cách 
mình đã hỏi bạn chủ tôp và đúng nguyên nhân bị vậy</t>
  </si>
  <si>
    <t>2019-08-20 07:37:26</t>
  </si>
  <si>
    <t>Chiến Nguyễn</t>
  </si>
  <si>
    <t>100009975090142</t>
  </si>
  <si>
    <t xml:space="preserve">#gocbucxuc  </t>
  </si>
  <si>
    <t>#suatuoi #vinamilk 
Có 1 cách chăm sóc da rất đơn giản và dễ làm cho những ng lười như mình, đó là massage mặt bằng sữa tươi. Thường thì 1 hộp sữa 180ml mình có thể để tủ lạnh chia làm nhiều lần vì dùng hết 1 hộp sữa cho 1 lần massage mặt là quá nhiều, có những hôm mình tắm sữa thì mới dùng hết 1 hộp. Mọi ng có thể mua hộp to 1l hoặc dạng túi để rẻ hơn, còn mình hay mua thùng cho con uống nên tiện dùng sữa hộp.
Theo như mình thấy thì sữa tươi lành tính, ít gây kích ứng, dùng 1 thời gian mình cảm thấy da bớt thâm, mịn màng và ẩm hơn, ẩm là cảm thấy da mình đủ nước, chứ ko phải kiểu nhờn do dầu, còn mình ra đường ko che chắn nên cũng ko biết là dùng sữa có làm da trắng hơn ko vì tone da của mình vẫn thế.
Cách là cũng rất đơn giản, lúc đi tắm, sau các bước làm sạch da mặt thì mình lấy 1 chút sữa ra lòng bàn tay r massage da mặt, khi nào thấy ít sữa lại lấy thêm, cách massage các b lên google có rất nhiều. Như mình là mình sẽ gội đầu, và trong thời gian ủ dầu xả thì mình massage mặt với sữa, tầm 15p thì rửa sạch mặt và xả tóc. Hôm nào rảnh rỗi thì dùng sữa tắm. Lúc ý cả người toàn mùi sữa thơm lừng, ăn đứt nước hoa hay sữa tắm, cái mùi mà ta gọi là hít qua là muốn lao vào 😂😂😂
Da mình hồi dậy thì rất nhiều mụn và trở trành sẹo thâm ở vùng trán và hai bên tóc mai, bâyh thấy đỡ hẳn, dám để mặt mộc ra đường. Bonus thêm cái ảnh lúc makeup qua vì hồi xưa mỗi lần đánh highlighter là phần mụn thâm ở má nổi rất rõ, giờ thì tự tinh đánh highlighter hết tầm 😂😂</t>
  </si>
  <si>
    <t>2019-03-25 06:51:29</t>
  </si>
  <si>
    <t>小花</t>
  </si>
  <si>
    <t>100004090551805</t>
  </si>
  <si>
    <t xml:space="preserve">#vinamilk #suatuoi </t>
  </si>
  <si>
    <t>#tuvan #rangsu
Xin chào mọi người ạ!!!!
Em đang phân vân không biết nên lựa chọn làm loại răng sứ nào phù hợp với túi tiền và quan trọng là không bị đen viền nướu ạ. Ở đây anh chị nào đã và đang dùng răng sứ có thể review giúp em được không ạ? 
Thật ra là nếu răng bình thường tốt thì em chẳng cần bọc làm gì nhưng vì răng em quá tệ nên em phải bọc để có thể tự tin cua đổ ông chủ quản người Đài cty emmm.. huhu !!!
Em cảm ơn ad và mọi người nhiềiuuu... ❤️</t>
  </si>
  <si>
    <t>2019-10-02 03:16:35</t>
  </si>
  <si>
    <t xml:space="preserve">#rangsu #tuvan </t>
  </si>
  <si>
    <t>#ask
Mn cho e hỏi bộ kit trà xanh mini này của Innisfree dùng tốt không ạ? 
Da e mụn ẩn nhiều, nhất là đầu mũi và 2 bên má. Do e hay ngứa tay nặn mụn nên để lại nhiều vết thâm, lỗ chân lông to. Bình thường e dùng Pond's nhưng cứ ngưng không dùng lại nổi nhiều mụn to hơn.
Lần đầu e dùng sản phẩm của thương hiệu này nên chỉ mua set mini này dùng thử chứ không dám mua lẻ từng loại lớn. Mn cho e xin review với ạ. E cảm ơn ❤</t>
  </si>
  <si>
    <t>2019-08-12 03:13:09</t>
  </si>
  <si>
    <t>100008038357396</t>
  </si>
  <si>
    <t>Mọi người ơi chả là hồi nhỏ hay đi đốn củi bị tróc chân, xong chủ quan giờ thâm quá chừng. Với lỗ chân lông to mọi ng có cách nào chỉ em giúp ạ.
Nhờ admin đăng bài giúp em nha 🤗</t>
  </si>
  <si>
    <t>2019-11-28 00:23:33</t>
  </si>
  <si>
    <t>Bee Bi</t>
  </si>
  <si>
    <t>100006179736830</t>
  </si>
  <si>
    <t xml:space="preserve">
#ask
Vì vấn đề nhạy cảm nên e xin phép dùng nick ảo ạ.Mọi người giúp e với ạ. Năm nay e 16 tuổi, có kinh nguyệt gần 3 năm rồi, từ lúc bắt đầu bị kinh nguyệt e đã k đều, 2-3 tháng ms có 1 lần. Lần bị gần nhất là tháng 7 mà đến h e vẫn chưa có kinh lại, bắt đầu từ lúc ấy mặt e lên rất nhiều mụn( lúc trước e rất ít mụn, thỉnh thoảng ms có 1 2 cái). E đã đi khám, bác sĩ bảo do nội tiết tuổi dạy thì, e đã uống rất nhiều thuốc, sắc cả thuốc bắc uống nhưng vẫn chưa có kinh lại. H e rất lo, mọi người cho e  lời khuyên với ạ 😭😭</t>
  </si>
  <si>
    <t>2019-12-02 06:07:48</t>
  </si>
  <si>
    <t>Chi Phương</t>
  </si>
  <si>
    <t>100044000508669</t>
  </si>
  <si>
    <t>#tuvan #trimun
    mong add duyệt bài ạ.
   Trước da em đẹp không tùy vết luôn ,sau khi lê đại học em ở ktx da em bắt lên mụn và càng ngày càng nhiều .   Em dùng tất cả mọi cách mà ko hết mà tình trạng ngày càng nặng.em buồn quá   mấy chị ơi!.</t>
  </si>
  <si>
    <t>2019-11-24 03:24:42</t>
  </si>
  <si>
    <t>Thuy Hanh Bui</t>
  </si>
  <si>
    <t>100038753453379</t>
  </si>
  <si>
    <t xml:space="preserve">#trimun #tuvan </t>
  </si>
  <si>
    <t>#help
Mẹ em bị nám lâu năm rồi, cũng do trước đây ko có điều kiện bà vất vả nên cũng ko qtam chú ý đến nhan sắc nhưng giờ mọi chuyện đã ổn định đi ra thấy ai cũng da mặt láng mịn nên em thấy bà rất tự ti, giờ cũng chăm chút bôi kem nhưng ko cải thiện là bao.
Có cách nào điều trị để giảm nám ko các chị??</t>
  </si>
  <si>
    <t>2019-05-16 02:37:50</t>
  </si>
  <si>
    <t>Viet Anh Vu</t>
  </si>
  <si>
    <t>100010290542754</t>
  </si>
  <si>
    <t>#help 
Xin phep ad mình dùng nick ảo vì hơi ngại.
Mọi người chỉ e cach đánh bay đống này với ạ 😭😭😭 em nhìn khó chịu lắm do nó ra vẩy em cứ tiện tay cậy cậy là nó chảy máu 😭😭</t>
  </si>
  <si>
    <t>2019-12-03 23:51:15</t>
  </si>
  <si>
    <t>Con Gà Nhỏ Nhắn</t>
  </si>
  <si>
    <t>100040481590264</t>
  </si>
  <si>
    <t>Mọi người ơi cho em hỏi về da mặt của em ạ. Lúc trước em có sử dụng kem face pháp xong ngưng tgian bây giờ mụn lên nhiều lắm ạ. Em có đi spa 1 lần nhưng không khuyên giảm. Hiện giờ em chỉ sử dụng tuýp trị mụn s2b cream và sửa rửa mặt enice thoi ạ. Huhu mọi người giúp em với ạ :((
#trimun</t>
  </si>
  <si>
    <t>2019-11-14 04:12:32</t>
  </si>
  <si>
    <t>Nga Lê</t>
  </si>
  <si>
    <t>100043203502287</t>
  </si>
  <si>
    <t>#Helpme
Chuyện hơi tết nhị chút nhưng mong các chị có kinh nghiệm chia sẻ giúp em với ạ🤒🤒
Em năm nay 19t , bị khô hạn vùng kín . Tại trước em có dùng qua viên đặt phụ khoa cách đây khoảng 1 năm và sau khi dùng thì bị như z ạ🤦🏻‍♀️
Có nhiều nhóm tâm sự về chuyện này rõ hơn nhưng đa số mn vào cmt chỉ để bán hàng nên em đăng bài lên đây mong các chị tư vấn giúp và đừng mắng em nha😢 
Bản thân e cũng đã thử dùng 1 số sp sau khi tìm hiểu trên mạng nhưng ko cải thiện được😑 mn tư vấn giúp em với ạ 
Mong add duyệt bài giúp em ạ♥️♥️
Em cảm ơn .</t>
  </si>
  <si>
    <t>2019-12-21 18:06:26</t>
  </si>
  <si>
    <t>Xuân Emm</t>
  </si>
  <si>
    <t>100019249203574</t>
  </si>
  <si>
    <t xml:space="preserve">#Helpme </t>
  </si>
  <si>
    <t>#munan 
Tình trạng da em hiện tại : nhiều mụn ẩn và mụn đầu đen , mấy chị gợi ý cho em full sản phẩm trong chu trình skincare với ạ, từ kcn , tẩy trang, srm, tẩy da chết, kem dưỡng, mask đất sét, serum . Em năm nay 17 tuổi mới dấn thân vào con đường skincare , da em là da hỗn hợp thiên dầu nhạy cảm. Luvvv❤️</t>
  </si>
  <si>
    <t>2019-11-25 12:43:47</t>
  </si>
  <si>
    <t>#thoakcnbody
Mọi người ơi làm sao có thể thoa kcn hết cơ thể được ạ vì mình da dị ứng cồn nên không dùng dạng xịt được chỉ bôi thôi.</t>
  </si>
  <si>
    <t>2019-11-28 05:38:42</t>
  </si>
  <si>
    <t>Lam Nu</t>
  </si>
  <si>
    <t>100042556961655</t>
  </si>
  <si>
    <t xml:space="preserve">#thoakcnbody </t>
  </si>
  <si>
    <t>Mọi người ơi da mình bị mụn và thâm mụn rất nhiều 
Mọi người cho mình hỏi có sản phẩm nào trị thâm ko ạ dạ mình là da dầu rất nhiều nhờn</t>
  </si>
  <si>
    <t>2019-12-23 16:17:12</t>
  </si>
  <si>
    <t>Hoàng Kendy</t>
  </si>
  <si>
    <t>100028075094648</t>
  </si>
  <si>
    <t>Thiệt tình mới sáng lướt fb nhìn thấy cái này phát hoảng luôn đó. Kem trộn, kem trộn hết nha mấy chế. Peel da thì cũng phải tuỳ theo cơ địa, tuỳ theo loại da của từng người nữa, cái này là lột da luôn chứ cũng không phải peel da nữa 😳😳😳.
Phụ nữ ai cũng muốn đẹp nhưng hãy làm đẹp một cách an toàn và có tìm hiểu kỹ nhé. Nếu muốn peel da thì nên tới spa hoặc tmv uy tín để được tư vấn và làm cho an toàn, đừng dùng linh tinh để tiền mất tật mang.
#antikemtron</t>
  </si>
  <si>
    <t>2019-07-11 02:12:51</t>
  </si>
  <si>
    <t>Van Bui</t>
  </si>
  <si>
    <t>100005984059484</t>
  </si>
  <si>
    <t xml:space="preserve">#antikemtron </t>
  </si>
  <si>
    <t>Chào các bạn, lại là mình, cô gái được một số mem gọi là Hà Thorakao đây! (Phải giới thiệu vậy vì mới đổi tên FB, sợ k ai nhận ra.) Hôm nay, mình sẽ kể cho các bạn nghe một câu chuyện về tác hại sương sương của Tomorrow Discuss Wood, sản phẩm mà nhiều bạn gọi đùa là Mai Thảo Mụn.
Tin nhắn trong hình là của bạn mình. Bạn ấy từng dính thuốc rượu, gian nan lắm mới xử lý xong, đến gđ cuối cùng rồi, chỉ còn vài nốt mụn, vài chấm thâm nữa là đẹp thôi. Tiếc là phần vì tin người quen, phần vì mong nhanh đẹp, bạn ấy "nhúng chàm" vào MTM. :( Tin nhắn b gửi cho H khá nhiều (hơn 25 hình) nhưng do 2 lần H che tên thì tới hình 20 FB đã báo lỗi, thế nên H chỉ cap lại 1 vài đoạn, chủ yếu là cho các bạn thấy tác hại của MTM. H đọc từng câu từng chữ của người bán, thực sự rất ức chế, đọc những tn bạn bảo mụn khiến bạn đau, thì cảm thấy xót vô cùng. :( Da bạn bây giờ khá yếu, bạn đang rất khổ sở.
Sau một hồi nói qua nói lại, người bán MTM cho bạn, cũng là "chị em thân thiết" đã hoàn lại số tiền bạn mua 2 lọ MTM là 600k. H che tên người bán là theo yêu cầu của bạn. Bạn khá hiền, trong cuộc nc với H, bạn toàn nhận tại bạn ngu nên mới vậy. Bạn bảo người bán còn 2 con nhỏ, bạn k nỡ phốt ngta.
*****
Ngoài lề tí nha mấy bạn:
1. Mấy bạn đang trị mụn cần lưu ý như sau: Mình xử lý viêm (nếu có) trước, đợi mụn già rồi lấy nhân, cuối cùng là phục hồi những tổn thương do mụn để lại (làm lành da, mờ thâm, sẹo...). Đừng bao giờ tin lời mấy con kem trộn rằng mụn sẽ tan thành nước. Các loại kem mụn thực sự chỉ có tác dụng giảm sưng viêm, gom nhân mụn hoặc làm nhân mụn mềm để dễ lấy ra, không bao giờ tan đc đâu nhé!
1. Theo kinh nghiệm của H, kem Decumar, em nghệ Thái Dương, kem nghệ Thorakao, kem Yoosun rau má... thường có tinh chất nghệ hoặc triclosan, tác dụng kháng khuẩn nên có thể giúp các nốt mụn viêm của các bạn xẹp bớt, nhưng k có nghĩa là nó làm mụn các bạn biến mất đâu. Tác dụng chính của mấy loại kem này vẫn là liền da, ngừa sẹo và dịu da.
#TomorrowDiscusswood</t>
  </si>
  <si>
    <t>2019-09-07 09:05:21</t>
  </si>
  <si>
    <t xml:space="preserve">#TomorrowDiscusswood </t>
  </si>
  <si>
    <t>#funny #cuocsongma
**edit: thêm 1 cái nữa là, nhiều người ra đường ko cần che chắn gì mà da ngta vẫn trắng như NgocChinh =)))</t>
  </si>
  <si>
    <t>2019-05-17 04:43:00</t>
  </si>
  <si>
    <t>Tú Tú</t>
  </si>
  <si>
    <t>100004609179232</t>
  </si>
  <si>
    <t xml:space="preserve">#cuocsongma #funny </t>
  </si>
  <si>
    <t xml:space="preserve">Em xin cách trị các đốm nâu và thâm mụn trên mặt
-Các đốm nâu đó em cũng không rõ nguyên do, nhưng vài chỗ là do mụn đầu đen em nặn để lại))
🗯️Em 18t ạ
</t>
  </si>
  <si>
    <t>2019-12-17 01:37:44</t>
  </si>
  <si>
    <t>Nặn mụn xong xưng vù cả mặt ntn thì biết lsao mng nhỉ 😒
Sợ thâm quá 😔😔</t>
  </si>
  <si>
    <t>2019-12-20 04:58:48</t>
  </si>
  <si>
    <t>Oanh Babie</t>
  </si>
  <si>
    <t>100005976436198</t>
  </si>
  <si>
    <t xml:space="preserve">
#KemDuong
Mng cho e xin kem dưỡng ẩm (khóa ẩm)  cho da thường với. 
E hay ngồi máy lạnh nên da có hơi khô. Trước có sử dụng kem ẩm của the body shop nhưng nó k đủ với e thì phải. 
Lỗ chân lông e to với nhiều mụn nhỏ li ti hay bên cánh mũi + dưới mặt nữa. 
Help meeeee</t>
  </si>
  <si>
    <t>2019-11-07 13:20:41</t>
  </si>
  <si>
    <t>Trần Anh Khoa</t>
  </si>
  <si>
    <t>100012771498838</t>
  </si>
  <si>
    <t xml:space="preserve">#KemDuong </t>
  </si>
  <si>
    <t>Mong ad duyệt giùm e ạ 
Mai  hết hạn gửi hoàn mà vẫn chưa biết chai tẩy trang bioderma này là auth hay fake.Mọi người coi giùm e với ạk  !!!!!!
Code P05691.Date 2/2022.Shopee hơn 100 000follow</t>
  </si>
  <si>
    <t>2019-12-22 10:11:50</t>
  </si>
  <si>
    <t>em bị mụn thịt phía dưới bầu mắt này 
Ở Hàn Quốc em đi tia 1 lần r ạ nhưng h vẫn lên lại nhưng h nó kiểu nhỏ hơn với ko bị cộm to như lúc trc nữa . người ngoài nhìn vào thì k thấy nhưng nhìn vào gương cảm thấy tự ti lắm ạ với lại sợ nó lây lan ra chỗ khác nữa 😭😭
ai có thuốc gì hay cách gì dùng lành hiệu quả rồi chỉ em vs ạ 😭😭😭</t>
  </si>
  <si>
    <t>2019-11-26 09:23:58</t>
  </si>
  <si>
    <t>100005146802618</t>
  </si>
  <si>
    <t>Các c ơi. Các c xem hộ e đây là auth hay fake ạ. E có oder của 1 chị 280k ạ 
Admin duyệt bài giúp e với ạ
#askdepchanhsalaneige20g</t>
  </si>
  <si>
    <t>2019-12-09 00:44:45</t>
  </si>
  <si>
    <t>Phạm Thu Trang</t>
  </si>
  <si>
    <t>100030126999194</t>
  </si>
  <si>
    <t xml:space="preserve">#askdepchanhsalaneige20g </t>
  </si>
  <si>
    <t>Lấy ảnh từ fb các chị bán thuốc bong da #Tiên #Tiên #Dược
Thật sự không hiểu mxh và báo đài đã đăng liên tục về tác hại rượu thuốc với các kem bong da mà vẫn có người bị lừa mua. 
Bong da chỉ đep thời gian đầu sau bong thôi nhé mn, lớp da bảo vệ ở ngoài bong hết đi rồi da non bên trong cực kỳ yếu, nắng rồi bụi bẩn vào mặt bị mụn rỗ thâm gấp X10 lần chưa bôi.
Bôi xong sưng rồi sốt, đỏ rát ngang gì lột da. Bao giờ Vn mới tẩy chay mạnh được mấy cái hãng kem trộn, rượu thuốc phèn này đây 😫
Các bà các mẹ ở quê thì không cập nhật tin tức về kem trộn nhiều, thấy rẻ thấy đep là mua lấy mua để. 
Các hệ thống bán thì cứ lúc nào cũng đăng doanh thu tiền tỉ, du lịch du thuyền... hazz</t>
  </si>
  <si>
    <t>2019-11-18 12:40:47</t>
  </si>
  <si>
    <t>Linh Khanh Ngo</t>
  </si>
  <si>
    <t>100005854123553</t>
  </si>
  <si>
    <t xml:space="preserve">#Dược #Tiên #Tiên </t>
  </si>
  <si>
    <t>#Đẹpchanhxả  e bị bớt sắc tố .htai.e đang chữa laze nên da khá nhậy cảm ạ. Các chị có thể tư vấn giúp em 1 loại cushion phù hợp với da em và tông màu che khuyết điểm tốt nhất k ạ.em cảm ơn mn ạ</t>
  </si>
  <si>
    <t>2019-11-09 01:46:00</t>
  </si>
  <si>
    <t xml:space="preserve">Lạc Lạc </t>
  </si>
  <si>
    <t>100008500445944</t>
  </si>
  <si>
    <t xml:space="preserve">#Đẹpchanhxả </t>
  </si>
  <si>
    <t>Các anh chị em bạn tư vấn giúp mình về cách trị mụn ẩn, trị thâm và cấp ẩm với ạ. Đây là ảnh da mình sau khi được làm sạch bằng SRM. 
Da mình thuộc dạng da dầu, thường hay bị mụn ẩn trên trán và bên má. 
Bình thường mìn hay đi spa tuần 2 lần để nặn mụn và được nói là do không làm sạch sâu da mặt và tuyến bã nhờn hoạt động mạnh, lỗ chân lông to nên bị mụn ẩn rất nhiều. 
Anh chị em bạn cho mình xin ý kiến ạ.
Vì một làn da khoẻ mạnh.</t>
  </si>
  <si>
    <t>2019-12-08 05:46:06</t>
  </si>
  <si>
    <t>Nguyễn Linh</t>
  </si>
  <si>
    <t>100039158617833</t>
  </si>
  <si>
    <t xml:space="preserve">
Em năm nay 18 tuổi mà da em càng lớn càng mụn 😞 mà toàn mụn ẩn. Em có sd decumar mà hông hết càng lớn càng nổi nhiều. Ai có bí quyết gì chỉ giúp em trị mụn ẩn với ạ 🥰 em cảm ơn trước ạ 💕</t>
  </si>
  <si>
    <t>2019-11-28 11:13:09</t>
  </si>
  <si>
    <t>Cẩm Không Đổi Tên</t>
  </si>
  <si>
    <t>100043871777990</t>
  </si>
  <si>
    <t xml:space="preserve"> #thammoi #help #ask #hoidap
E nên xài sp j để môi hết thâm v hồng hào lên h mọi ng ơi?!? Môi e có viền môi thâm cx khá nhìu và lâu r, cx hay bị khô. Đc mỗi lòng môi hơi hồng hồng xíu. Mọi ng trog grp giúp e vs!!!</t>
  </si>
  <si>
    <t>2019-08-22 13:18:35</t>
  </si>
  <si>
    <t>Không Có Tên</t>
  </si>
  <si>
    <t>100027739627025</t>
  </si>
  <si>
    <t xml:space="preserve">#hoidap #ask #help #thammoi  </t>
  </si>
  <si>
    <t>Mọi người giúp em làm sao để cải thiện da bị cháy nắng sau 1 khoảng thời gian dài không che chắn và làm việc ngoài trời với ạ!! 
Đây là da tay với da chân của em ạ :( 
Ad duyệt giúp em với. Em cám ơn nhiều!!!</t>
  </si>
  <si>
    <t>2019-11-20 13:26:38</t>
  </si>
  <si>
    <t>Trương Ngọc Trâm</t>
  </si>
  <si>
    <t>100011304871916</t>
  </si>
  <si>
    <t xml:space="preserve"> #ask #hair
Tóc mình trước giờ rất khô ráo, gội cũng lâu dơ ( có khi 3,4 ngày mới gội cũng không bết), cách đây tầm 3th mình có cắt tóc ngắn mà không hợp nên mình chăm dưỡng để tóc nhanh dài ra, mình có ủ dầu dừa và kem dưỡng ẩm cetaphil lên tóc kết quả là tóc mình dầu khủng khiếp, dù gội xả rất kĩ vẫn bị dầu . Thiệt sự kinh khủng luôn, tóc mình gội để khô tầm 2,3 tiếng sờ lên đã dầu không , nó rất nhanh dơ, bụi bặm , lông mềm gối dính đầy tóc, nó bết như thể cả tuần không gội vậy gần đây còn có cả gàu nữa . Mn có cách nào để tóc được sạch sẽ khô ráo hết gàu không vậy. Mình cảm ơn trước
Ảnh chống trôi, mà mình đang có ý định lamg tóc giống hình không nhuộm không biết có bị xù bông không nữa</t>
  </si>
  <si>
    <t>2019-10-23 14:52:08</t>
  </si>
  <si>
    <t>100012537137866</t>
  </si>
  <si>
    <t xml:space="preserve">#hair #ask  </t>
  </si>
  <si>
    <t>Chào mọi người... e 18t mà e chưa biết gì về skincare 🙁 . Da e bị khô và nhiều mụn ẩn vùng trán và cằm . Mắt e bị thâm nhìn kém sức sống hết sức ý .   Mọi ng tư vấn cho e mấy  loại dưỡng da phù hợp với ạ  . E đag dùng 1 loại dưỡng da ban đêm  e up ở cmt ạ .</t>
  </si>
  <si>
    <t>2019-12-20 09:37:17</t>
  </si>
  <si>
    <t>Bùi Thị Hồng Ngọc</t>
  </si>
  <si>
    <t>100037861101150</t>
  </si>
  <si>
    <t>Da e như bây giờ thì e định mua trọn bộ sản phẩm nào đó về chăm da, nhưng e k biết chọn loại nào
Da e dầu nhiều lắm mn ạ
E thấy ngta bảo dòng naruko và roche posay
Các chị cho ý kiến với
E đã ngưng dùng srm cetaphil và chuyển qua dùng nước muối sinh lý ạ
E mong ad duyệt bài giúp e
E bế tắc quá</t>
  </si>
  <si>
    <t>2019-12-08 00:37:02</t>
  </si>
  <si>
    <t>M.n ơi giúp em với nick chính em vừa bị khoá em xin sài nick phụ nha...chuyện là 1 tháng nay mặt em cứ nổi mụn lên như vậy miết thôi 
Tháng vừa rồi e hay đi tiệc nên makeup nhiều còn lại là e hk sài kem trộn hay gì luôn chỉ tẩy trang,rữa mặt zs tone thôi...mụn chỉ nổi 2 bên má và cầm giờ em cần làm gì để trị đây m.n chỉ e với
em phải làm sao để nó hết đây m.n tết tới mông rồi 😭😭😭</t>
  </si>
  <si>
    <t>2019-12-22 05:14:01</t>
  </si>
  <si>
    <t>100010641300457</t>
  </si>
  <si>
    <t>#ask
Mọi người ơi mọi người có cách dân gian nào để trị MỤN THỊT dưới mắt không ạ? Em bị di truyền từ mẹ. Mẹ em bị cả hai mắt và rất nhiều mụn, trị nhiều cách chỉ lặn bớt rồi nổi lại chứ ko khỏi hẳn. Các spa khuyên là bắn laser nhưng nó nằm tập trung phần mắt (mí dưới) nên mẹ em còn băng khoăn. Hiện tại thì đến lượt em bị nổi 1 cái ở mí dưới mắt và vài cái mờ phía dưới một tí. Mẹ sợ sau này e sẽ bị nổi nhiều giống mẹ nên muốn tìm cách trị dứt điểm những cái mụn này. (Nếu ai có trị bằng pp bắn laser rồi cho em xin ít kinh nghiệm với). Mọi người giúp em và mẹ với ạ, em chân thành cảm ơn.</t>
  </si>
  <si>
    <t>2019-09-04 18:58:21</t>
  </si>
  <si>
    <t>Như Anh</t>
  </si>
  <si>
    <t>100004416966710</t>
  </si>
  <si>
    <t>Anh chị em cho e hỏi ở bv da liễu TW bs nào giỏi về chữa mụn cho em xin tên em đi khám với ạ. Mặt e nhiều mụn toá r. Huhu.</t>
  </si>
  <si>
    <t>2019-09-24 05:01:55</t>
  </si>
  <si>
    <t>Thanh Thuý</t>
  </si>
  <si>
    <t>100025917531637</t>
  </si>
  <si>
    <t>😭 mọi người ơi ai biết cách trị thẹo thâm hay sẹo lồi chỉ em với ạ hồi nhỏ em chạy nhảy đi xe bị té , và côn trùng cắn nên giờ để lại 😞 nguyên 1 body thẹo thâm kể cả mặt ạ vì vậy e rất tự ti trong việc mang váy và mang áo crotop ...vv... em định đi bắn tia laze mà không biết có được không mọi người có cách trị thẹo thâm chỉ em với a😭😭 
Mong ad duyệt bài 💛</t>
  </si>
  <si>
    <t>2019-12-10 14:27:24</t>
  </si>
  <si>
    <t>100034074615023</t>
  </si>
  <si>
    <t>Da e bị mụn ẩn nhiều . Da dầu. Giờ có cách nào trị mụn ẩn ko ạ?? Hay có kem thuốc gì trị ko ạ. Em xin cảm ơn
Mong ad duyệt cho e bài này</t>
  </si>
  <si>
    <t>2019-11-25 05:25:27</t>
  </si>
  <si>
    <t>Hi Hu</t>
  </si>
  <si>
    <t>100040581066352</t>
  </si>
  <si>
    <t>#ask #niengrang #hopma #hopthaiduong
Chào mọi người. Không biết trong group này có ai đang niềng răng mà bị hóp má, hóp thái dương, mặt thay đổi rất nhiều không? Và có bạn nào đã tháo niềng mặt đầy lại không ạ? Thật sự là mình đang rất cần lời khuyên từ những bạn đi trc, đã và đang niềng về vấn đề mặt hóp, thái dương hóp và mặt bị thay đổi. Mình đã niềng đc hơn 1 năm. Răng đẹp lên nhưng mặt lại ko đc như xưa nữa. Thật sự rất buồn. Nếu biết trc đc thì mình thà chọn mặt hơn chọn răng. Có lẽ nhiều người nghĩ mình nên đăng bài vào trong các hội nhóm niềng răng nhưng các bạn đã niềng xong thường out nhóm hết rồi. Cảm ơn mọi người. Mong ad duyệt bài ạ
Edit: Hic thấy nhiều người nói ăn nhiều, nhai nhiều sẽ đỡ hóp nhưng mà mình nói thật với mọi người là mình lên cân rất nhiều nhưng mỡ ko lên trên mặt nổi. Còn nếu có sút cân thì ko thể nào sút 2,3 cân mà mặt hóp như đầu lâu xương chéo đc.</t>
  </si>
  <si>
    <t>2019-06-13 07:33:52</t>
  </si>
  <si>
    <t>Phạm Ngân</t>
  </si>
  <si>
    <t>100012974267734</t>
  </si>
  <si>
    <t xml:space="preserve">#hopthaiduong #hopma #niengrang #ask </t>
  </si>
  <si>
    <t>m.n ơi giúp e với. Chuyện là e về quê bạn chơi.em nằm võng tình tang  làm giấc tới sáng muỗi nó đốt hai bên từ hông xuống đùi như này. Cũng 2 tuần hơn nhưng vẫn không mất dấu. M.n có thuốc hay sản phẩm gì giúp em với ạ. Em cảm ơn</t>
  </si>
  <si>
    <t>2019-11-28 00:25:27</t>
  </si>
  <si>
    <t>Nhi Nguyen</t>
  </si>
  <si>
    <t>100042195856506</t>
  </si>
  <si>
    <t>#help
#tham #trimun #lclto
Mọi người ơi giúp em với ạ. Em năm nay 17t và hiện tại mặt em như bên dưới(chỗ màu vàng là kem nghệ)
Bình thường em da hhtd tại dạo này trời lạnh nên nhìn nó khô ráo vậy á :(((
Em nên dùng những sản phẩm nào để trị mụn thâm ạ, thêm lổ chân lông to nữa hic😧.
Mụn nổi xuống tận cổ lưng trước ngực luôn
Sẳn tiện cho em hỏi da em nên dùng kcn nào ạ? Ở ngoài mặt đen hơn vậy nữa, tự ti thật sự huhu
Lần đầu đăng bài nên câu vần không được chau chuốt mong ad duyệt ạ :(((</t>
  </si>
  <si>
    <t>2019-12-07 15:02:40</t>
  </si>
  <si>
    <t>AnhAnh Ne</t>
  </si>
  <si>
    <t>100043915230047</t>
  </si>
  <si>
    <t xml:space="preserve">#lclto #trimun #tham #help </t>
  </si>
  <si>
    <t>Cho e hỏi bột đậu đỏ ĐẮP MẶT được không ạ ? Trắng da mặt  lên không các chị em ? Nghe bảo ăn nắng lắm :((((
#ák</t>
  </si>
  <si>
    <t>2019-12-17 06:19:48</t>
  </si>
  <si>
    <t xml:space="preserve">#ák </t>
  </si>
  <si>
    <t>#ask #authfake #Mac #Macpowderkisslipstick
Em mua hai thỏi son này ở hai shop khác nhau (em xin phép che tên nhé), em chưa sài loại này bao giờ nên không phân biệt được cái nào là auth cái nào là fake, mọi người giúp em với</t>
  </si>
  <si>
    <t>2019-08-27 13:38:23</t>
  </si>
  <si>
    <t>Châu Giang</t>
  </si>
  <si>
    <t>100006133668494</t>
  </si>
  <si>
    <t xml:space="preserve">#Macpowderkisslipstick #Mac #authfake #ask </t>
  </si>
  <si>
    <t>#giamcanantoan
Chào mọi người, đây là lần đầu tiên em đăng bài trong group ạ 
Mọi người cho em hỏi thuốc giảm cân Cenly mà trên mạng bán có an toàn không ạ ? Ai đã sử dụng cho em ít review với, nếu không an toàn cả nhà có thể cho em xin công thức detox an toàn hoặc thực phẩm chức năng hỗ trợ giảm cân an toàn với ạ, hiện tại em 17t 1m65 mà nặng tận 63kg nên em cảm thấy chán bản thân kinh khủng 😢
P/s: Em không giỏi dùng từ nên có hơi lủng củng mong mọi người bỏ qua cho em ạ ❤</t>
  </si>
  <si>
    <t>2019-08-28 09:33:55</t>
  </si>
  <si>
    <t>Hải Vy</t>
  </si>
  <si>
    <t>100028625200221</t>
  </si>
  <si>
    <t xml:space="preserve">#giamcanantoan </t>
  </si>
  <si>
    <t xml:space="preserve">
#trimun
E chào m.n ạ. Da e là da dầu ạ. E bị mụn ( mụn ẩn và có cả mụn viêm) từ lâu rồi và ngu muội thì năm kia e có dính vào rượu thuốc (hồng hạnh) và da của e bị bào mỏng và yếu đi hẳn. Vì đợi da khỏe e mới tiếp tục tập tành skincare hiện tại e đang dùng sp như ảnh nhưng mặt e vẫn có nhiều mụn ẩn lắm ạ. Vùng mũi thì mụn đầu đen với sợ bã nhờn cũng nhiều ạ. M.n chỉ cách giúp e với ạ 😔😔😔
Với cho e xin cách để mày đậm nét chút với ạ. Chứ mỗi lần tẩy trang nhìn mặt chán hẳn ạ. E sử dụng dầu dừa cả năm nhưng cũng k có tiến triển. 
Ảnh thì e có kẻ mày với đánh son chứ không có làm gì khác ạ.
E cảm ơn ạ</t>
  </si>
  <si>
    <t>2019-11-08 14:37:26</t>
  </si>
  <si>
    <t>Linh Mun</t>
  </si>
  <si>
    <t>100009938407658</t>
  </si>
  <si>
    <t>Mọi người ơi, tóc mình hồi trước dày lắm, nhưng dạo gần đây phần mái cứ bị rụng suốt ntn thôi. Ai có phương pháp gì để kích thích mọc tóc ko ạ?
Mình chỉ bị rụnh mỗi phần đấy, tự ti mất thẩm mỹ dã man 😢😢
#aks #hair</t>
  </si>
  <si>
    <t>2019-06-11 04:07:33</t>
  </si>
  <si>
    <t>Chi Chi</t>
  </si>
  <si>
    <t>100015939547640</t>
  </si>
  <si>
    <t xml:space="preserve">#hair #aks </t>
  </si>
  <si>
    <t>#ask
Mấy chị tư vấn giúp em sản phẩm dưỡng mi làm dài mi với ạ
Mi em ngắn quá 😭😭😭</t>
  </si>
  <si>
    <t>2019-11-01 15:28:04</t>
  </si>
  <si>
    <t>Phan Thị Hoài Thanh</t>
  </si>
  <si>
    <t>100000519568855</t>
  </si>
  <si>
    <t xml:space="preserve">
Ai cũng biết nỗi khổ người trị mụn xong phải trị thâm :(
Đã đầu tư biết bao thứ rồi, mua đồ trị thâm toàn tuýp bé bé mà tiền thốn luôn.
Anh chị nào có kinh nghiệm trị thâm rồi có thể chia sẻ với được không ạ?</t>
  </si>
  <si>
    <t>2019-10-25 06:41:38</t>
  </si>
  <si>
    <t>Nguyễn Tín</t>
  </si>
  <si>
    <t>100041600153595</t>
  </si>
  <si>
    <t>#ask #mask
Mọi người đã sử dụng mặt nạ tro núi lửa của innisfree này cho em xin ít review với, và tiện thể cho em hỏi dòng này và 2x có gì khác nhau
Giá khoảng tầm bao nhiêu, em xem trong store thì khoảng 360k, có chỗ order 289k, em hơi hoang mang ạ
Da em da dầu, lỗ chân lông hơi to, không mụn
Em cảm ơn ạ
Cám ơn ad đã duyệt bài ạ</t>
  </si>
  <si>
    <t>2019-06-16 07:26:55</t>
  </si>
  <si>
    <t>Phương Nghi</t>
  </si>
  <si>
    <t>100028326523137</t>
  </si>
  <si>
    <t xml:space="preserve">#mask #ask </t>
  </si>
  <si>
    <t>Mong ad duyệt bài ạ. 
Em là nữ 20 tuổi. Ngày trước tóc e cũng ít rồi. Mà sao dạo gần đây tóc em ngày ràng rụng nhiều hơn thấy cả da đầu luôn ạ. E đã sài tresemme được ba tháng. Dạo đây e mới đổi sang dầu gội thái dương xanh mà chưa thấy hiệu quả ạ. Em sắp thực tập rồi nên  đang tính duỗi mà sợ tóc thế này duỗi xong rụng nhiều hơn. Mọi người có cách nào hay giúp em với ạ. 
(hình này chụp cũng ba tuần rồi ạ)</t>
  </si>
  <si>
    <t>2019-12-06 14:59:33</t>
  </si>
  <si>
    <t xml:space="preserve">
Mọi người giúp em với ạ. Em có đang bị  nổi mụn và thâm mụn. Giờ em muốn trị thâm trước mọi người có loại kem trị thâm mụn nào không ạ. Chỉ giúp em với. Em cảm ơn 😄😄😄</t>
  </si>
  <si>
    <t>2019-12-09 14:49:21</t>
  </si>
  <si>
    <t>Võ Thảo</t>
  </si>
  <si>
    <t>100040118692537</t>
  </si>
  <si>
    <t>#ask #naturie #fake #auth
Chào mọi người ạ, em nhờ mọi người xem giúp em lọ gel Naturie với ạ. Theo em so sánh thì lọ của em có những dấu hiệu của auth và có cả dấu hiệu của fake ạ.</t>
  </si>
  <si>
    <t>2019-12-13 14:29:58</t>
  </si>
  <si>
    <t>Thảo Belle</t>
  </si>
  <si>
    <t>100018539833523</t>
  </si>
  <si>
    <t xml:space="preserve">#auth #fake #naturie #ask </t>
  </si>
  <si>
    <t xml:space="preserve">
#seomun
#phauthuat
Em xin phép dùng nick ảo để đăng bài vì ngại người quen. Em thực sự tự ti về đống sẹo rỗ trên khuôn mặt do bị mụn từ cấp 2 đến giờ là 19 tuổi không biết dưỡng nên tanh bành. Em mới bắt đầu tập skincare khoảng tầm 1 năm gần đây và mụn đã đỡ hơn trước nhiều nhưng vẫn còn sẹo. Các chị đẹp có cao kiến nào chỉ bảo em với ạ, từ bé đến giờ em chưa được đẹp lần nào :( 
Tiện thể em cũng muốn nhấn mí và nâng mũi nhưng em sợ phẫu thuật nên cân nhắc với việc đi tiêm nhưng sợ ung thư, có chị nào tiêm rồi em xin một vài review với ạ.
Hình là mặt mộc em chỉ có kem chống nắng thoa 6 tiếng trước
Em cám ơn mn nhiều.</t>
  </si>
  <si>
    <t>2019-11-07 03:09:29</t>
  </si>
  <si>
    <t>Ly Tú</t>
  </si>
  <si>
    <t>100031371616385</t>
  </si>
  <si>
    <t xml:space="preserve">#phauthuat #seomun </t>
  </si>
  <si>
    <t xml:space="preserve">
  Mọi người ơi cho mình hỏi mặt của mình bị mụn gì thế ạ từ lúc skin care đủ các bước thì mình cứ bị lên mụn hoài luôn lúc trước chỉ rửa mặt với dùng kem dưỡng thì không có tí mụn nào.Giờ e phải làm thế nào đây ạ mong mọi người cho e ý kiến</t>
  </si>
  <si>
    <t>2019-11-27 03:34:42</t>
  </si>
  <si>
    <t>Mỹ Lan</t>
  </si>
  <si>
    <t>100010470373007</t>
  </si>
  <si>
    <t>Xin phép ad dùng acc clone chứ t sợ bay acc chính lắm 😢
Kem trộn hoành hành trong group mình mn ạ. Nó còn lấy bài trong group ra để pr cho kem của nó. Mới đầu t bán tín bán nghi nên kêu nó cho em cái link web Hàn thì nó đưa cái web toàn chữ Hàn thật nhưng tên miền “.at” thì là của Áo 😀. T không phải dân IT, chỉ nghi ngờ nên lên gg tra thử mới biết. Thì đúng web Hàn sẽ là miền “.kr”, trên naver không có thông tin gì về kem này thì nó kêu hãng nó mới ra hồi tháng 7,8 nên chưa hot. Mà có hãng kem Hàn nào không mở store mà lại tuyển ctv, đại lý, tổ chức soi da y chang mấy con kem trộn VN không ạ? Từ chỗ này hi vọng mn cẩn thận hơn vì mấy con kem trộn lên tầm cao mới rồi ạ.
#kemtron</t>
  </si>
  <si>
    <t>2019-10-30 18:16:39</t>
  </si>
  <si>
    <t>Ái Linh</t>
  </si>
  <si>
    <t>100004813061500</t>
  </si>
  <si>
    <t>#ask 
Hi cả nhà, mình 27t, da khô nhạy cảm và đổ dầu vùng chữ T. Trước đây mình có bị mụn khá nhiều và bị thuỷ đậu nữa nên mặt có kha khá sẹo thâm và lõm 😭. Do da nhạy cảm nên mình mới dừng ở bước làm sạch chứ chưa có dưỡng nhiều và hầu như ko makeup. Skincare routine của mình như sau: 
Tẩy trang Bioderma hồng - SRM Cerave Hydrating Cleanser với Foreo Luna Mini 2 - Toner Christian Lenart Hoa Kim Mai - Dưỡng ẩm Embryolisse - KCN Cell Laser (buổi sáng) - Son dưỡng Dior ( tối ngủ mình bôi Laneige lip mask). Tẩy da chết Rosette hồng 2 lần/ tuần. 
Mình thấy da vẫn khô và sần, có vẻ như có mụn ẩn, và vùng T đến buổi trưa là đổ dầu. Cả nhà cho mình hỏi:
1. Skincare routine và các sp mình đang dùng có cái nào bất hợp lý không ạ? Làm thế nào để bớt mụn ẩn?
2. Mn tư vấn giúp mình loại serum chống lão hoá và mờ thâm, giá phải chăng thì càng tốt ạ. Mình đang ngắm nghía em The Ordinary Buffet không biết da nhạy cảm dùng đc ko. 
Mình cảm ơn nha 🥰</t>
  </si>
  <si>
    <t>2019-09-29 00:17:13</t>
  </si>
  <si>
    <t>100041514563277</t>
  </si>
  <si>
    <t>Chào mọi người !
Hiện tại tóc em bị 2 vấn đề
1 là tóc em rụng nhiều lắm ạ, mỗi lần gội đầu rụng cả nắm luôn, nhìn xót xa vô cùng, mỗi lần vuốt tóc cũng rụng ra đôi ba sợi tóc, khắp nhà toàn tóc em rụng vương vãi ra luôn
2 là tóc em bị gàu, dù em ra tiệm gội và gội rất cẩn thận sạch sẽ, nhưng gàu vẫn quay trở lại lấm tấm trên đầu nhìn như cả tuần k chịu gội đầu luôn =(((
Cả nhà tư vấn cho em sản phẩm hoặc mẹo nào để trị 2 vấn đề trên với, em chưa có kinh nghiệm chăm sóc tóc nên giờ chỉ mới dừng lại ở việc gội và xả thôi ạ, tiện thể cho em xin ít review với sản phẩm dưới với ạ, vì ở tiệm em đang dùng loại đó, k biết đó có phải là nguyên nhân k
Em cảm ơn nhiều ạ ❤️</t>
  </si>
  <si>
    <t>2019-09-19 12:07:47</t>
  </si>
  <si>
    <t>Lim Sol</t>
  </si>
  <si>
    <t>100014580333142</t>
  </si>
  <si>
    <t>#phunmoi
mọi người ơi tư vấn dùm em với ạ. em phun môi chọn màu đỏ cam mà đến khi bong thì bong ra hồng cánh sen, 2 tháng sau em dặm lại màu cam thì bong ra đỡ hơn màu trước nhưng vẫn là màu hồng ạ. giờ em có thể dùng son kích màu để lên màu cam được ko mọi người</t>
  </si>
  <si>
    <t>2019-11-02 15:21:47</t>
  </si>
  <si>
    <t>100033246092461</t>
  </si>
  <si>
    <t>Có ai dùng em này chưa ??? Da mình là da khô dùng có oke không? Cho mình xin review với ah ??</t>
  </si>
  <si>
    <t>2019-10-01 17:06:32</t>
  </si>
  <si>
    <t>Quản Lan Anh</t>
  </si>
  <si>
    <t>100005121308326</t>
  </si>
  <si>
    <t>Mọi người giúp em tư vấn với ạ
Em bị mụn như thế này nhưng chưa có điều kiện đi bác sĩ thì nên sử dụng loại thuốc gì được ạ
Em cảm ơn</t>
  </si>
  <si>
    <t>2019-12-24 13:20:55</t>
  </si>
  <si>
    <t>Tống Anh Tài</t>
  </si>
  <si>
    <t>100016783441571</t>
  </si>
  <si>
    <t>Huhuu mọi người ơi có tips nào trị thâm nách không ạ, giúp mình với,mình rất tự ti nên không bao giờ mặc áo 2 dây :(
#thamnach</t>
  </si>
  <si>
    <t>2019-10-26 14:06:27</t>
  </si>
  <si>
    <t>Ánh Cap</t>
  </si>
  <si>
    <t>100034317352086</t>
  </si>
  <si>
    <t>Trong nhóm có người quen nên em xin dùng nick ảo ạ. 
Xin phép ad cho em một lần duyệt bài này để hỏi về vấn đề cân nặng. 
Chuyện là em năm nay 22 tuổi ạ, em là con trai ạ ( triệu vy là dv ng TQ nên e thấy dễ thương nên để thế thôi :v ), nhưng hiện tại em cao 1m7 mà nặng chỉ có 50kg thôi ạ. Ai nhìn em cũng bảo quá gầy, quá ốm. 
Mặc dù em ở nhà suốt, k đi làm ở đâu hết, cũng ngủ sớm dậy sớm và ăn uống rất nhiều hơn người bình thường, e k hút thuốc , k rượu bia luôn, cũng có sổ giun, uống sữa các thứ mà vẫn không mập lên được ạ. 
Mong các anh chị trong gr cho em xin lời khuyên để em có thể tăng cân được không ạ. 
Cám ơn ad rất nhiều ạ.
Tay bên dưới của em đấy các anh chị ạ, e k nghiện nên tay k có vết chích nha 😂</t>
  </si>
  <si>
    <t>2019-11-25 02:54:28</t>
  </si>
  <si>
    <t>Triệu Vy</t>
  </si>
  <si>
    <t>100026782159921</t>
  </si>
  <si>
    <t>#đepchanhsa 
#ask
#help 
Anh chị em cứu e với e 12 năm chưa có mụn sau đó khi thi xong đại học e đã bị mụn và e sử dụng Ngọc Sâm.Ảnh đầu tiên là ảnh cam thường khi e sử dụng xong Ngọc Sâm da láng mịn đẹp và rồi khi dùng xong e biết đó là kem trộn và bào mòn collagen và e có mua srm kose Nhật vỏ xanh biển collagen để cung cấp lại cho da.Vì da e từ xưa đến giờ chưa bao giờ bôi j cả ngoài srm và tẩy trang nên sau đợt đó e có dùng thêm xịt khoáng và toner thayer.Bây giờ e đg sử dụng srm naruko tràm trà.Và bây giờ mùa nắng nóng e bị lên mụn nó cứ ửng đỏ và loét như bị mụn viêm combo thêm mụn ẩn li ti ,thỉnh thoảng 2-3 tuần e lại đi lấy nhân mụn ẩn một lần.Da e là loại thiên dầu kinh khủng vì có hôm ngủ dậy mặt như chảo dầu vậy.Các anh chị em có thể cho e lời khuyên bây giờ em nên sử dụng thêm cái gì để trị được không ạ vì e ko hay sử dụng đồ mỹ phẩm skincare nên không nắm rõ 😭😭😭🙏🙏Bây giờ em nên sử dụng thêm kem chống nắng loại gì,thuốc trị mụn loại nào,serum hay vitamin C hay AHA hay BHA loại nào ạ huhu.Mong các cao nhân ra tay cứu em và cho em cách trị mụn và thâm mụn với ạ 😭🙏🙏</t>
  </si>
  <si>
    <t>2019-08-25 02:07:58</t>
  </si>
  <si>
    <t>Nguyen Thi Phuong Anh</t>
  </si>
  <si>
    <t>100007074643584</t>
  </si>
  <si>
    <t xml:space="preserve">#help #ask #đepchanhsa </t>
  </si>
  <si>
    <t xml:space="preserve">
#review
#tonerchodamun
Xin 500 ce review toner thần thánh dành cho da mụn ạ, e khổ tâm lắm, mặt thi thoảng cứ lên vài con mụn bọc to đùng giữa mặt 
Mong ad duyệt bài của e ạ</t>
  </si>
  <si>
    <t>2019-10-14 13:08:10</t>
  </si>
  <si>
    <t>Cherry Trang</t>
  </si>
  <si>
    <t>100022075715802</t>
  </si>
  <si>
    <t xml:space="preserve">#tonerchodamun #review </t>
  </si>
  <si>
    <t>Sắp tết rồi mà mặt mày vậy đây :((((( Ai có sp nào tốt chỉ em với ạ</t>
  </si>
  <si>
    <t>2019-12-02 13:14:30</t>
  </si>
  <si>
    <t>Huỳnh Như</t>
  </si>
  <si>
    <t>100024712503040</t>
  </si>
  <si>
    <t>Helpp mọi người giúp em với ạ
Hiện giờ da em như thế này thì phải làm sao ạ😢..do em hơi ngại nên em chụp gần</t>
  </si>
  <si>
    <t>2019-12-12 14:53:10</t>
  </si>
  <si>
    <t>Anna Anna</t>
  </si>
  <si>
    <t>100041961527731</t>
  </si>
  <si>
    <t>Em xin ít kinh nghiệm xài BHA này với mn!!!
Em mới mua chai Bha PLC 2%, mới bôi được 2 lần ( tối trc khi đi ngủ ) nhưng thực sự lúc nào cũng lo. Chuẩn bị tinh thần trc là nó sẽ bung bét hết cả cái bản mặt lên rồi hiuhiu. Mọi người cho em hỏi, bôi trong bao lâu sẽ đẩy nhân mụn, mặt em ko có mụn viêm mà toàn là mụn cám mụn ẩn thôi, ko biết lúc bung bét nó sẽ ntn nữa, em chỉ lo đúng dịp Tết thi buồn lắm, chỉ còn nước đi chơi cất đầu ở nhà thôi T_T tiện đây cho em hỏi có chị nào dùng mà bị break out ko, nếu ko hợp thì dùng bao lâu thì xảy ra triệu chứng ạ tại em bôi ko thấy châm chích nhưng mới đc 2 lần đã thấy kiểu sần sần mà khô nữa nên ko biết có dính break out ko🤧
Tiện đây cho mình hỏi nhờ loại kem dưỡng ẩm nào tốt vì nghe nói xài bha khô da lắm ( da mình vốn dĩ đã khô trc khi dùng cái này rồi )</t>
  </si>
  <si>
    <t>2019-12-12 23:59:01</t>
  </si>
  <si>
    <t>cho em xin tips trị thâm mông đi ạ :(( 
 #trithammong</t>
  </si>
  <si>
    <t>2019-10-22 12:09:12</t>
  </si>
  <si>
    <t>Thanh Thảo</t>
  </si>
  <si>
    <t>100041884237673</t>
  </si>
  <si>
    <t xml:space="preserve">#trithammong  </t>
  </si>
  <si>
    <t>Mong ad duyệt bài cho em ạ.
Các anh chị trong hội cho em xin ý kiến về vài kiểu tóc hợp với mặt tròn được không ạ. 
Chuyện là năm nay em 12, cũng sắp Tết rồi, cuối năm cũng chụp kỉ yếu nữa nên em quyết bỏ tiền ra đi làm đẹp cho tóc ạ 😅. Mặt em tròn (do khung xương rồi ạ), em đang để mái thưa, tóc của em cũng dài qua vai tầm 5 - 6 centi rồi ạ. Em chỉ muốn uốn (không nhuộm, tóc em để đen tự nhiên) kiểu nào cho không bị già ạ, và kiểu uốn cũng không cần giữ kỹ lắm vì em đang phải học tăng ca nhiều, ít có thời gian. Nếu không uốn thì em cắt layer có hợp với khuôn mặt không ạ? 
Hồi hè năm trước em có cắt ngắn, uốn cụp vào 1 xíu, nhưng mà không biết sao em lại không thích để tóc vậy (cảm giác như mặt em nó không hợp), em nuôi dài rồi cắt đi phần uốn đó. Giờ tóc em thẳng, suông. 
Mong nhận được tư vấn của các anh chị ạ. Em cảm ơn ❤
#tocuon
#mattron
Ảnh chống trôi bài</t>
  </si>
  <si>
    <t>2019-12-04 23:42:58</t>
  </si>
  <si>
    <t>Đỗ Thị Lan Anh</t>
  </si>
  <si>
    <t>100027954440119</t>
  </si>
  <si>
    <t xml:space="preserve">#mattron #tocuon </t>
  </si>
  <si>
    <t>#Ask 
Lại 1 mùa đông sắp tới. Và chị em mình chắc hẳn rất sợ mùa đông này luôn. Các chị reviews cho em xin ít loại kem dưỡng ẩm tốt được k ạ? Chứ con gái da bong tróc nhìn sợ lắm :(((
Các bước skincare của em là :
👉🏻Tẩy trang chacott (Dùng em này khá mê. Em trước dùng bio hồng. Chị nào thích tẩy trang có chút dầu thì dùng chacott ạ. Chứ 2 loại bản thân em cảm nhận đều sạch như nhau ạ)
👉🏻Srm thải độc rau củ ạ. ( Em vote dùng loại màu xanh. Cảm giác sạch ra hơn các màu khác) rửa mặt xong e hay dùng xịt khoáng cho sướng chứ công dụng em cx k rõ 😂🤭
👉🏻Toner( Em dùng của Klair ạ_Em thấy không ok lắm. Dùng nốt sau em sẽ đổi vì bản thân em thấy là dùng em nó độ cấp ẩm không nhiều ạ)
👉🏻Serum em dùng của klair loại cung cấp vitamin C ạ. Cảm nhận thấy dùng em này cực kì lành tính luôn ạ. Dành cho các bạn bắt đầu cung cấp vitamin C cho da. Em đọc thấy vậy ạ
👉🏻Kem dưỡng của innisfree trà xanh (Sáng hôm sau da căng bóng thích lắm ạ. Nhưng mà sau khi rửa mặt xong. Da em khôngaanf chết😭 Da em khô dã man luôn á. Cả da người cũng vậy. Mà em k biết phải sao )
👉🏻Dưỡng môi laneige em thấy với em không thấm lắm. Môi em vẫn nứt lẻ dã man dù em có dùng Tẩy tbc và đắp mask môi,son dưỡng @@ Các chị cho em xin ít reviews sản phẩm dưỡng môi nữa nhé. 
Thi thoảng đắp mask nữa ạ. 
Các chị tư vấn giúp em mình cần bổ sung bước nào với ạ và em đang định mua viên cấp nước innerb xem da có được ẩm hơn k hic. Mong các chị em tư vấn e nha. Ảnh em chụp da background không đẹp lắm. Cem thông cảm ạ hihi 
Em đang định đi kiểu đo da xem da mình thiếu gì,tình trạng da sao. Các chị ở Hn chỉ em vào chỗ soi da được k ạ?</t>
  </si>
  <si>
    <t>2019-11-10 08:10:10</t>
  </si>
  <si>
    <t>Nguyenn Thị Vân Anh</t>
  </si>
  <si>
    <t>100007522086359</t>
  </si>
  <si>
    <t>#Ask #Hoichanhsa 
Mọi người ơi.. Ở hội mình  biết cách nào chỉ em với,e đi bs rồi mà k có hết. 
Cái này lúc trước e có 1 tí thôi à, nhưng sau khi sinh baby thì các đốm này nó lan ra rất nhanh và còn bị ngứa, nhìn rất mất thẩm mỹ😞😞. Vì e vẫn còn cho bé ti mẹ nên e k thể uống thuốc được, mọi người biết kem nào bôi cho nó giảm bớt k ạ?? 
Em cảm ơn !!!</t>
  </si>
  <si>
    <t>2019-12-11 03:04:55</t>
  </si>
  <si>
    <t>Avy Avy</t>
  </si>
  <si>
    <t>100007178103985</t>
  </si>
  <si>
    <t xml:space="preserve">#Hoichanhsa #Ask </t>
  </si>
  <si>
    <t>#help
Mọi người ơi có cách nào giúp em với k ạ. Thật sự là em kbiet phải làm sao
.Em chỉ đắp khổ qua và chấm mụn Klenzit C thôi ạ!!
Mong ad duyệt hộ em :((</t>
  </si>
  <si>
    <t>2019-10-20 11:57:02</t>
  </si>
  <si>
    <t>Trương Thị Thu Hà</t>
  </si>
  <si>
    <t>100011001785759</t>
  </si>
  <si>
    <t>E chào mn trong nhóm ạ!!!
Đây là tình trạng môi của e , cứ 3 ngày môi e lại bong 1 lần , tình trạng này kéo dài 3 năm rồi ạ.Mới đầu e nghĩ đơn giản là bị nẻ môi nên e dùng thuốc mỡ vs Son dưỡng bôi lên để qua đêm . nhưng gần đây e có tìm hiểu thì nghi là mk bị viên môi bóng vẩy hay là bệnh lý về da gì đó .e hoang mang lắm ạ k bt trong nhóm mk có ai giống e hay bt thì chỉ giúp e vs ạ chứ môi như này e tự ti lắm.
Mong ad duyệt bài
Mong MN giúp đỡ
Bài viết còn nhiều thiếu sót mn bỏ qua cho e,e cảm ơn mn!</t>
  </si>
  <si>
    <t>2019-11-17 07:54:38</t>
  </si>
  <si>
    <t>Nguyễn Thoa</t>
  </si>
  <si>
    <t>100011496584747</t>
  </si>
  <si>
    <t>#help 
Mọi người ơi giúp em với, chuyện là thế này, lúc trước em có nhuộm 3-4 màu. Lần gần đây nhất là nhuộm về đen để nuôi tóc. Giờ muốn nhuộm lên mấy màu nâu tây, nâu khói mà thợ nhuộm bảo k thể lên màu tóc em được nữa. Cho dù tẩy cũng k lên màu được. Huhu chẳng lẽ em phải để đầu đen trọn đời sao ạ, ai có cách gì mách cho em với ạ 😥😥😥</t>
  </si>
  <si>
    <t>2019-09-12 02:02:50</t>
  </si>
  <si>
    <t>Thuý Vân Trần Thị</t>
  </si>
  <si>
    <t>100005220584369</t>
  </si>
  <si>
    <t>có ai khâu môi xong bị sưng, với cứng như mình không? được hơn 1 tháng rồi :&lt;</t>
  </si>
  <si>
    <t>2019-12-23 03:42:22</t>
  </si>
  <si>
    <t>Nguyen Uyen</t>
  </si>
  <si>
    <t>100019722160573</t>
  </si>
  <si>
    <t>Em có dùng rượu thuốc cách đây 2 năm. ms vài tháng lại đây nó nổi mụn nhiều lắm ạ. E dùng srm và tẩy trang Simple, đi nặn spa 1 lần và đang dùng Kenzit C. Hay ngứa tay rồi nặn nên nát mặt. Mn giúp em với ạ😔😔😔</t>
  </si>
  <si>
    <t>2019-11-13 06:35:20</t>
  </si>
  <si>
    <t>Ly Vũ Lê</t>
  </si>
  <si>
    <t>100015973624602</t>
  </si>
  <si>
    <t xml:space="preserve">Mong ad duyệt bài 
Mình  rất thường xuyên bị mụn trứng cá, chỉ mình sp nào trị mụn này cho bớt với ạ.
Cảm ơn.
#trimuntrungca
</t>
  </si>
  <si>
    <t>2019-11-20 08:29:08</t>
  </si>
  <si>
    <t>Xin Chào</t>
  </si>
  <si>
    <t>100010143133468</t>
  </si>
  <si>
    <t xml:space="preserve"> #trimuntrungca </t>
  </si>
  <si>
    <t>Em vừa mua thỏi devoted to chili xem qua mấy bài check và cảm thấy hoang mang :(( Về vỏ, mùi, thì ổn ạ. Còn thân son thì lúc e vừa nhận hơi bóng, tí sau thì đỡ hơn như ảnh, chụp flash vẫn hơi ánh bóng lên. Mong ad duyệt huhu :((
#check #mac #auth #fake #devotedtochili</t>
  </si>
  <si>
    <t>2019-11-12 14:14:45</t>
  </si>
  <si>
    <t>Lala Vũ</t>
  </si>
  <si>
    <t>100009025490856</t>
  </si>
  <si>
    <t xml:space="preserve">#devotedtochili #fake #auth #mac #check </t>
  </si>
  <si>
    <t>Mấy bạn cho mình hỏi có cách nào trị mụn vùng này ko ạ ?
Nó nổi hơn 3 năm rồi ấy , mặc dù ăn đồ mắt + uống siêu nhiều nước nhưng nó vẫn cứ lên mỗi ngày ạ 😞
Cực kì mất mỹ quan và thiếu tự tin luôn, lúc nào củng phải đứng sau mọi người chứ ko dám đứng trước , lúc nào củng phải kéo cổ áo cao thật cao để khỏi ai thấy í 😞
Mong các cao nhân chỉ giáo mình với ạ 😭</t>
  </si>
  <si>
    <t>2019-12-25 11:14:54</t>
  </si>
  <si>
    <t>Zyn Nguyễn</t>
  </si>
  <si>
    <t>1832478678</t>
  </si>
  <si>
    <t>Trước tiên e cảm ơn ad đã duyệt bài ạ .
Mn giúp em với ạ đây là thằng e của e 17t bị mụn như vậy 3 năm rồi đi da liễu mấy tháng cũng không thấy khá khẩm gì mà khá tốn kém😥 , giờ nó đang sài thuốc bà lão tới lọ thứ 4 rồi mà vẫn chưa thấy biểu hiện gì, stress với tự ti lắm luôn . Mn có thể tư vấn giúp e bây giờ nên làm gì ko ạ 😢
 #mụn</t>
  </si>
  <si>
    <t>2019-10-08 01:45:30</t>
  </si>
  <si>
    <t>Đỗ Thùy Chang</t>
  </si>
  <si>
    <t>100013313109938</t>
  </si>
  <si>
    <t xml:space="preserve">#mụn  </t>
  </si>
  <si>
    <t>Có ai dùng chai này xem hộ mình có phải hàng fake k vậy ạ? Mua cả tháng rồi mới để ý có cặn, shop giải thích nhà sản xuất bảo do thay đổi nhiệt độ. Mà mình check mã vạch lại k ra nên có chút lo lắng 😢 
Help me!!!!!</t>
  </si>
  <si>
    <t>2019-11-25 11:30:00</t>
  </si>
  <si>
    <t>Nhi Trần</t>
  </si>
  <si>
    <t>100013046562640</t>
  </si>
  <si>
    <t>#kcnbody #body
Vừa đọc bên Thế giới dao kéo 1 chị hỏi truyền trắng mng thi nhau nói chỉ cần chăm bôi kem chống nắng và dưỡng là đủ 😅 cơ mà có nhiều bài review kcn cho mặt mà kcn body chả có mấy. Em ghét cái sự nhớp nháp của kcn khi thoa và di chuyển rồi còn dính vào quần áo lắm các chị đẹp ạ :(( các chị đẹp review cho em loại kcn k bị bết và khô cực nhanh dành cho body với ạ 😭 Trước em mua lọ xịt gì bên Canada ý mà nó xịt bết vào lông + nhớp em tởn đến giờ 🤢
À quên cho em xin review cả kem body mau khô nữa 😅 em là 1 con người ghét sự nhớp nháp khổ lắm các c ạ 🤦‍♀️
Em cảm ơn các chị nhiều!!!</t>
  </si>
  <si>
    <t>2019-10-10 23:37:21</t>
  </si>
  <si>
    <t>Hồng Phương Nguyễn</t>
  </si>
  <si>
    <t>100011318326407</t>
  </si>
  <si>
    <t xml:space="preserve">#body #kcnbody </t>
  </si>
  <si>
    <t>Mong add duyệt bài giúp em với
Da mình khô mn mua kem dưỡng ẩm bạn nào dùng kem nào được giới thiệu mih với ak</t>
  </si>
  <si>
    <t>2019-11-22 07:29:37</t>
  </si>
  <si>
    <t>Thanh Thanh Việt</t>
  </si>
  <si>
    <t>100007437577076</t>
  </si>
  <si>
    <t>[C](https://www.facebook.com/groups/thegioidaokeo)ộng đồng làm đẹp chuyên mảng Thẩm Mĩ giúp các thím ko phải lội bài!
Cmt TGDK để dc duyệt vào ngay lập tức các thím nhé!</t>
  </si>
  <si>
    <t>2019-10-31 07:31:41</t>
  </si>
  <si>
    <t>Cuong Nguyen</t>
  </si>
  <si>
    <t>100041071890396</t>
  </si>
  <si>
    <t xml:space="preserve">
E bị mụn ẩn trên trán nhiều với 2 bên má bị thâm quá tr lun các chị có sp nào tốt giới thiệu cho e vs e còn là hs nên sp bình dân càng tốt ạ :&lt;&lt;</t>
  </si>
  <si>
    <t>2019-11-29 00:27:25</t>
  </si>
  <si>
    <t>Linh Quách</t>
  </si>
  <si>
    <t>100015501948147</t>
  </si>
  <si>
    <t>#ask #tritham
Mn cho mìh hỏi có serum nào trị thâm tốt với làm đều màu da k ạ🤧🤧 Da mìh thuộc da hỗn hợp thiên dầu. Thaks all❤️❤️❤️</t>
  </si>
  <si>
    <t>2019-11-09 04:55:33</t>
  </si>
  <si>
    <t>Minh Phương</t>
  </si>
  <si>
    <t>100011434852296</t>
  </si>
  <si>
    <t xml:space="preserve">#tritham #ask </t>
  </si>
  <si>
    <t>_help
Em đang ở tuổi 14 , dưới cằm em dạo này hay xuất hiện mụn to , đỏ, sưng ( đôi khi có mũ nữa ) ,có cả mụn không nhân nữa , nó cứ sưng to rồi xẹp sau đó để lại thâm .  cứ cục này hết thì cục khác mọc lên ,đã thế còn để lại vết thâm nữa nên nhìn dưới cằm em rất ghê ạ, theo em tìm hiểu thì ngta nói đây là mụn nội tiết ạ và nó xuất phát từ bên trong ạ ,mọi người có cách nào giúp triệt để mụn này không ạ :((( nhìn cái cằm em chán quá , da mặt em tương đối ít mụn chỉ toàn bị ngay cằm</t>
  </si>
  <si>
    <t>2019-11-27 06:36:58</t>
  </si>
  <si>
    <t xml:space="preserve">_help </t>
  </si>
  <si>
    <t>#help #check #authfake
Xin phép ad duyệt bài giúp em ạ 😭
Em mua 2 lọ serum The Odinary từ 1 shop gom order đợt sale vừa rồi và em mới nhận được. Đây là lần đầu tiên em sử dụng nên chưa có kinh nghiệm cũng không biết check như thế nào, em mong các chị trong gr check giúp em xem có chuẩn auth không ạ 😅 Khi em nhỏ thử serum ra thì rất nhanh thấm và mùi của nó em cũng không biết diễn tả sao cho rõ, em cảm ơn mọi người ạ 😘</t>
  </si>
  <si>
    <t>2019-06-23 09:47:27</t>
  </si>
  <si>
    <t>Nguyễn Thu Hà</t>
  </si>
  <si>
    <t>100006469365682</t>
  </si>
  <si>
    <t xml:space="preserve">#authfake #check #help </t>
  </si>
  <si>
    <t xml:space="preserve">Mấy chế cho em hỏi  trường hợp như em đây là bị gì vậy ạ? Nó mới xuất hiện tầm 2 tuần gần đây, lúc đầu bị nó màu nhạt, rồi đậm dần dần ạ. Em hoang mang kinh khủng, cũng tự ti nữa. Lâu nay chưa bị vậy bao giờ. Trong group ai bị vậy rồi và chữa trị sao bày giúp em với ạ. Em xin chân thành cám ơn.
Cám ơn mọi người đã dành thời gian đọc bài của em ạ.❤️
</t>
  </si>
  <si>
    <t>2019-11-22 16:59:14</t>
  </si>
  <si>
    <t>Thanh Ngọc</t>
  </si>
  <si>
    <t>100004321177314</t>
  </si>
  <si>
    <t xml:space="preserve">
#dưỡngmôi
#ask
Em chào mọi người ạ! 
Môi của em lộ nếp nhăn rất rõ, đánh son lên càng rõ hơn. Chu môi lộ rõ đà đành đây em để môi bình thường cũng vẫn vậy ạ, còn không được căng nữa. Nhìn mấy chị có môi hồng hào căng mọng mà thèm quá 😞 
Mọi người ơi, mọi người có tips gì hay ho về dưỡng môi mọi người chỉ cho em với ạ.
Em xin cảm ơn mọi người
Cảm ơn admin duyệt bài ạ 🥰❤️</t>
  </si>
  <si>
    <t>2019-12-06 13:38:01</t>
  </si>
  <si>
    <t>Anh Duong Anh</t>
  </si>
  <si>
    <t>100044523781595</t>
  </si>
  <si>
    <t xml:space="preserve">#ask #dưỡngmôi </t>
  </si>
  <si>
    <t>#Dep chanh sa
# Trị mụn và thâm
Em bị mụn 2 bên má bắt đầu từ hồi hè năm nay, do không biết phải làm sao nên đã bị dính phải kem trộn và đã ngừng sử dụng cách đây 1-2 tháng giờ em phải làm sao ạ, mong m.n giúp đỡ ạ da em.thuộc tuýt sa dầu ạ</t>
  </si>
  <si>
    <t>2019-11-19 05:48:06</t>
  </si>
  <si>
    <t>Đỗ Hải Minh</t>
  </si>
  <si>
    <t>100012610757716</t>
  </si>
  <si>
    <t xml:space="preserve">#Dep </t>
  </si>
  <si>
    <t xml:space="preserve">
Mn ơiii cho e xin ít #review về thuốc tăng vòng 1 với..... Hmmm với ai có kinh nghiệm phun môi tự nhiên chỉ e với ạ : có bị khô môi không , đánh son lên màu chuẩn không ?? Và mấy ngày thì bong ạ ??
Mong ad duyệt bài giúp ✔</t>
  </si>
  <si>
    <t>2019-06-25 02:52:41</t>
  </si>
  <si>
    <t>Thu Anh</t>
  </si>
  <si>
    <t>100026184800733</t>
  </si>
  <si>
    <t xml:space="preserve">#review  </t>
  </si>
  <si>
    <t>Không biết có ai đã lập topic về vấn đề bắp tay to chưa ạ.! 
Chuyện là người e nhỏ con nhưng bắp tay e to lắm. Hiện tại mọi thứ đều ổn ngoại trừ bắp tay như thằng đàn ông, tự ti lắm. Xin ý kiến của mọi người cách nào để nó nhỏ lại.
Lần đầu em hỏi chuyện trên này nên có gì sai sót xin bỏ qua cho em. 
Em cám ơn</t>
  </si>
  <si>
    <t>2019-12-22 13:31:24</t>
  </si>
  <si>
    <t>Pé Tủn</t>
  </si>
  <si>
    <t>100005825732291</t>
  </si>
  <si>
    <t>#review #kcn #kemchongnang
Review 1 loại kem chống nắng ngon bổ rẻ, phù hợp với da khô!</t>
  </si>
  <si>
    <t>2019-03-08 04:05:17</t>
  </si>
  <si>
    <t>Phạm Hân</t>
  </si>
  <si>
    <t>100034465697403</t>
  </si>
  <si>
    <t xml:space="preserve">#kemchongnang #kcn #review </t>
  </si>
  <si>
    <t>Da em thuộc dạng da dầu ah,vào mùa đông này lên mụn nhiều hơn nữa,em mới nặn mụn hồi chiều nhưng sợ nó thâm úa. Gần tết tới nơi mà da dẻ như này mỗi lần nhìn thật sự không muốn sống nổi nữa. Mn có tip trị mụn nào chỉ em với em mang ơn nhiều lắm😢</t>
  </si>
  <si>
    <t>2019-12-08 11:41:34</t>
  </si>
  <si>
    <t>Minh Nhi</t>
  </si>
  <si>
    <t>100038451047176</t>
  </si>
  <si>
    <t>Mọi người cứu em với ạ. Em bị bỏng bô xe máy từ hôm thứ 2, hôm nay là thứ 7 rồi mà vết bỏng không thấy đỡ, nó càng tệ hơn. Em có bôi tuýt kem Bupinol gel từ hôm bị bỏng đến giờ. Mấy hôm trước thì ko bị rát chân, nhưng hôm nay thấy có vẻ rát, ko biết vết thương này của em vấn đề gì không. Cái này chắc chắn để lại sẹo rồi, nhưng có cách nào làm giảm khả năng bị sẹo không ạ, thế này hết đường mặc váy😓</t>
  </si>
  <si>
    <t>2019-11-30 16:35:59</t>
  </si>
  <si>
    <t>Nguyen Thuy</t>
  </si>
  <si>
    <t>100006462822971</t>
  </si>
  <si>
    <t>Các chị ơi, ai có kinh nghiệm về cái lotion hada labo này không cho em ít review với. em da dầu với có mụn ẩn thì xài được không ạ? e thấy bảo dòng dành cho da dầu, cấp nước tốt,.. nếu không thì gợi ý cho em vài lotion hợp với da em với. em cảm ơn mọi người nhiều
 #lotion</t>
  </si>
  <si>
    <t>2019-06-06 10:32:00</t>
  </si>
  <si>
    <t>Nguyễn Huỳnh Mai</t>
  </si>
  <si>
    <t>100003087056108</t>
  </si>
  <si>
    <t xml:space="preserve">#lotion  </t>
  </si>
  <si>
    <t xml:space="preserve">
#ask
Mọi người cho e hỏi da mặt e như này thì cần làm j. Da e là da dầu . E dùng srm và lotion của hada labo, dou+ , kem chống nắng the saem. Em cảm thấy da như cần cấp nước và phục hôi. Nếu e kết hợp dou+ vs gel b5 của laroche posay thì có đc ko ạ . Em cảm ơn rất nhiều.</t>
  </si>
  <si>
    <t>2019-10-31 02:32:58</t>
  </si>
  <si>
    <t>Nguyen Lan Phuong</t>
  </si>
  <si>
    <t>100039416386631</t>
  </si>
  <si>
    <t xml:space="preserve">#help
Mọi ngừoi ơi, cách đây 2 ngày em có xài toner của essance thì da em có dấu hiệu là bị rát ở 2 vùng dưới mặt, và rát nhiều hơn khi đổ mồ hôi ạ, và có dấu hiệu hơi khô da và đỏ 2 má cực  :((( có ai giúp em được không chứ đau lắm ạ
</t>
  </si>
  <si>
    <t>2019-12-25 05:04:36</t>
  </si>
  <si>
    <t>100031038109652</t>
  </si>
  <si>
    <t>#Ask
#Help
#Mongadduyet
Mọi người ơi cho em hỏi đã có ai giảm cân bằng bột trà xanh chưa ạ ? Có thể giới thiệu cho em một vài loại đc không. Em đã nhịn ăn và tập thể dục nhưng không giảm được cân nào nên em rất nản. Em cảm ơn ạ.</t>
  </si>
  <si>
    <t>2019-12-25 00:22:11</t>
  </si>
  <si>
    <t>Thất Thất Thơ Thẩn</t>
  </si>
  <si>
    <t>100025366424746</t>
  </si>
  <si>
    <t xml:space="preserve">#Mongadduyet #Help #Ask </t>
  </si>
  <si>
    <t>Nhờ các chị các bạn tư vấn giúp ạ. 
Mặt em da khá mịn, lỗ chân lông bé nhưng da không đều màu, mắt thì thâm, lại nhiều đốm (như kiểu đồi mồi, chứ không phải Nám/ tàn nhang) thì làm thế nào để khắc phục ạ? Em bị cả nổi mạch máu dưới da nữa 😓
Em edit thêm: bt em tẩy da chết 2 lần/tuần. Dùng lotion sau đó bôi kem dưỡng ẩm. Vậy thôi ạ</t>
  </si>
  <si>
    <t>2019-12-05 10:41:08</t>
  </si>
  <si>
    <t>Giang Thị Kim Ngân</t>
  </si>
  <si>
    <t>100000097773991</t>
  </si>
  <si>
    <t>#ask #mayruamat #foreo
Xin chào mn , em hiện tại là sv, da nhìn sơ thì k có vấn đề gì nhưng thật chất khi nhìn gần hoặc vào ban ngày e rất tự ti vì mụn cám mụn ẩn lcl to , cũng skincare rất đầy đủ mà k hết hẳn cứ bị quanh năm suốt tháng
E định bấm bụng đầu tư con foreo luna mini ( gần 3tr) nên cũng rất xót và đắn đo , mong các chị đi trc cho e lời khuyên có thể hết mụn cám mụn ẩn đc k ạ , em xin chân thành cám ơn</t>
  </si>
  <si>
    <t>2019-11-18 14:04:05</t>
  </si>
  <si>
    <t>Thiện Nguyễn</t>
  </si>
  <si>
    <t>100018692370945</t>
  </si>
  <si>
    <t xml:space="preserve">#foreo #mayruamat #ask </t>
  </si>
  <si>
    <t>#đẹp chanh sả 
   Em xin chào mọi người ạ hiệm tại e mới 15t chắc độ tuổi nhỏ nhất nhóm nên e xưng e ạ 😅
  Do trong nhóm có nhiều người quen nên e xin được phép dùng nik ảo ạ .💜
Mong các ac bỏ bớt chút thời gian tư vấn cho da mặt e cái ạ😢
  -da em là da hỗn hợp thiên dầu, đag gặp phải các tình trạng mụn mổ, mụn bọc, và mụn đầu đen đặc biệt khá là nhiều mụn ẩn 😤 do e tin lời c họ dùng mtm là bây giờ cái mặt e nó tan nát như này ạ
#mn đi qua cho e ít ý kiến nên làm sao để kịp tết ạ 
#mong ad duyệt bài 😍
#em xin  cảm ơn trc 💜</t>
  </si>
  <si>
    <t>2019-12-06 13:12:21</t>
  </si>
  <si>
    <t>100022408906674</t>
  </si>
  <si>
    <t xml:space="preserve">#em #mong #mn #đẹp </t>
  </si>
  <si>
    <t>Cho hỏi mn có bí quyết nào hết nếp nhăn vùng cổ này được vậy mn ?
Spa hay bệnh viện gì có côg nghệ này ko nhỉ ?
#hoidap</t>
  </si>
  <si>
    <t>2019-12-25 07:57:10</t>
  </si>
  <si>
    <t>Bong Bóng</t>
  </si>
  <si>
    <t>100042232836213</t>
  </si>
  <si>
    <t xml:space="preserve">Mong ad duyệt bài.
Từ trước tới giờ e không bị mụn. Không hiểu sao hơn 1 tháng gần đây mặt e bắt đầu nổi rất nhiều mụn khiến em thực sự tự ti :( ban đầu nó chỉ mọc vài cái mụn đỏ ở má rồi mấy ngày sau cứ thế tụi nhỏ đua nhau mọc huhu. Ban đầu em có dùng set trị mụn mini some by mi. Thời gian đầu dùng thấy khá ổn. Mụn giảm hẳn nhưng khi dùng hết set nhỏ e dừng không dùng nữa và 1 tuần sau mụn lại bắt đầu nổi. E tiếp tục mua cả toner và sirum của some by mi dùng nhưng đợt sau không hiệu quả và cảm giác mụn k đỡ . Mọi người giúp em và cho em lời khuyên rằng e nên làm gì ạ. Em hoang mang quá. Sắp tết rồi e sợ lắm 😥
</t>
  </si>
  <si>
    <t>2019-11-26 13:19:50</t>
  </si>
  <si>
    <t>100037457163895</t>
  </si>
  <si>
    <t>Xin chào mọi người, mẹ em mới mua 1 bộ sản phẩm dưỡng da từ người quen, hàng xách tay từ Hàn về ạ. Mẹ em mỗi ngày đều làm theo các bước: sáng :rửa mặt -&gt; kem chống nắng -&gt; kem nền, tối : rửa mặt -&gt; serum -&gt; kem quầng mắt -&gt; dưỡng da.
Mẹ em xài được 1 tuần thì thấy da nóng rát, nổi lên rất nhiều mụn ẩn và bị tróc da. Mọi người có thể giúp em xem đây có phải hàng fake không ạ, hay là do da mẹ em bị dị ứng với thành phần của mĩ phẩm. Em cảm ơnnnnnn 😍😍😍</t>
  </si>
  <si>
    <t>2019-11-11 05:51:46</t>
  </si>
  <si>
    <t>Vương Hải Trân</t>
  </si>
  <si>
    <t>100014616579103</t>
  </si>
  <si>
    <t xml:space="preserve">
Trong 4 tuýt này loại nào hiệu quả cho da dầu mụn ạ. Có bạn nào xài r cho mình xin ít review với ạ. Có loại nào sd chung với nhau đc k ạ
#Megaduo
#klenzit_C
#epiduo
#derma</t>
  </si>
  <si>
    <t>2019-10-14 23:18:56</t>
  </si>
  <si>
    <t>Pé Trinh</t>
  </si>
  <si>
    <t>100009375678561</t>
  </si>
  <si>
    <t xml:space="preserve">#derma #epiduo #klenzit_C #Megaduo </t>
  </si>
  <si>
    <t>Mọi người ơi cho em hỏi 😢 tóc e đã nhuộm đen vậy 3 màu tóc dưới đây em sắp nhuộm có cần tẩy không ạ mong ad duyệt 💓</t>
  </si>
  <si>
    <t>2019-12-02 16:11:26</t>
  </si>
  <si>
    <t>#help #authorfake #mediheal 
Tha thiết mong ad duyệt bài giúp e 😭
Các chị ơi làm ơn đừng bơ bài viết của e
Các chị xem giúp e mask Mediheal này auth hay fake vậy ạ ? 
E vừa mới nhận hộp mask này mà hoang mang quá, chưa từng thấy mask mediheal nào mà in date ntn cả, hay do nsx thay đổi mà e ko biết ạ ? 
Mong các chị cho e câu tl chính xác để e còn sớm hoàn hàng ạ huhuuu</t>
  </si>
  <si>
    <t>2019-09-15 03:06:58</t>
  </si>
  <si>
    <t xml:space="preserve">#mediheal #authorfake #help </t>
  </si>
  <si>
    <t>Xin chào các chị . E năm nay 23t chưa lập gd , đi khám thì bs bảo bị trĩ gd 1 , e lo quá . Có chị nào trong hội bị và chưa khỏi chưa ạ mách e với. E có uông thuốc bs kê ( viện 108) nhưng k đỡ , giờ e lo quá 😪</t>
  </si>
  <si>
    <t>2019-11-02 00:19:11</t>
  </si>
  <si>
    <t>Linh Gia</t>
  </si>
  <si>
    <t>100042801062304</t>
  </si>
  <si>
    <t>#help
Em chào mấy chị trong nhóm ạ, cho em hỏi da em cứ bị đỏ hai bên má vậy là sao ạ, lúc nào cũng vậy nhìn da như bị bỏng ấy ạ :(( giờ em phải làm sao và dùng sản phẩm gì để hồi phục lại da ạ? Em xin cám ơn ❤️</t>
  </si>
  <si>
    <t>2019-12-21 18:02:58</t>
  </si>
  <si>
    <t>Hà Đỗ</t>
  </si>
  <si>
    <t>100026516121549</t>
  </si>
  <si>
    <t>Mọi người ơi giúp mình với ạ, chẳng biết vào một ngày Chủ Nhật khi mình thức dậy thì đã thấy cái mặt tè le như thế này dù mình vẫn sử dụng những loại mỹ phẩm thường xài như mọi khi và không biết nghiệp nào mà nó thế, mọi người nói giúp mình đang bị gì và trị thế nào với ạ, cảm ơn các bạn nhiều nhiều😍</t>
  </si>
  <si>
    <t>2019-12-08 09:48:57</t>
  </si>
  <si>
    <t>Kan Kiu</t>
  </si>
  <si>
    <t>100008645985512</t>
  </si>
  <si>
    <t>Mng ơi mặt bạn em bị té xe ntn có cách nào để mau hết với lại k bị sẹo k ạ, tết đến nơi rồi mà mặt nó còn bị nthe này @@ em cảm ơn mng ạ #ask #sẹo #té_xe #skin #help</t>
  </si>
  <si>
    <t>2019-12-17 05:45:06</t>
  </si>
  <si>
    <t>Ngoc Chan Nguyen</t>
  </si>
  <si>
    <t>100040792749518</t>
  </si>
  <si>
    <t xml:space="preserve">#help #skin #té_xe #sẹo #ask </t>
  </si>
  <si>
    <t>#Help 
Có ai bị giống em không ạ? :( Da tay em bị vậy tầm 1 tháng rồi mà bôi thuốc không hết. Nó vừa rát lại vừa ngứa. Ai có cách trị chỉ em với ạ. Em cảm ơn</t>
  </si>
  <si>
    <t>2019-12-24 14:51:57</t>
  </si>
  <si>
    <t>Cá Rán</t>
  </si>
  <si>
    <t>100042669854023</t>
  </si>
  <si>
    <t>Cho em xin tips làm lông mi dài ạ bạn bè chang lứa lông mi ai cx dài tầm nữa đốt ngón tay</t>
  </si>
  <si>
    <t>2019-11-16 13:56:26</t>
  </si>
  <si>
    <t>Thanh Thảoo</t>
  </si>
  <si>
    <t>100022011068071</t>
  </si>
  <si>
    <t>Cứu cánh giúp e bị mụn ẩn và sẹo thủy đậu lâu năm 😢</t>
  </si>
  <si>
    <t>2019-12-24 22:44:04</t>
  </si>
  <si>
    <t>Nguyễn Bắc</t>
  </si>
  <si>
    <t>100004983633930</t>
  </si>
  <si>
    <t>Em muốn thay đổi kiểu tóc nhưng không biết kiểu tóc nào cho phù hợp
Mong ad duyệt hộ e</t>
  </si>
  <si>
    <t>2019-10-22 14:31:08</t>
  </si>
  <si>
    <t>Phải nói thật là cái công cuộc trị mụn với lcl to lâu thật sự các chị ạ.
Ngoài contractubex ra thì còn loại nào trị thâm tốt không các chị
Ảnh 1 là mặt em hiện tại</t>
  </si>
  <si>
    <t>2019-11-30 02:13:51</t>
  </si>
  <si>
    <t>Đinh Hương Ly</t>
  </si>
  <si>
    <t>100007279783937</t>
  </si>
  <si>
    <t xml:space="preserve">
Có chị e nào cười bị nhăn mắt như e ko? E bị từ hồi đi học cơ chứ ko phải giờ da lão hoá mới bị ạ. Làm gì để cười hết nhăn ạ</t>
  </si>
  <si>
    <t>2019-12-14 01:53:02</t>
  </si>
  <si>
    <t>100007526656016</t>
  </si>
  <si>
    <t>#ask 
Ông ad duyệt ạ em đăng 2 lần rồi mà chưa đc duyệt😓
Máy chị ơi cho em hỏi có sản phẩm nào giá bình dân(em à học sinh) có thể trị mụn ẩn và mụn đậu đen đc không ạ mụn ẩn em mọc chi chít rất nhiều khiến da bị sần sùi
Skincare của em đây ạ 
Tảy trang loreal
Srm simple
Toner simple
Kem trị mun ẩn magaduo
Kem chống nắng skin aqua( dạng sữa)
Da em là da dầu ạ đặc biệt là vùng chữ T</t>
  </si>
  <si>
    <t>2019-11-16 06:23:25</t>
  </si>
  <si>
    <t>Thảo Phạm</t>
  </si>
  <si>
    <t>100016792813422</t>
  </si>
  <si>
    <t xml:space="preserve">
Mọi người ơi giúp mình với. E mình 19 tuổi da dầu và bị mụn nhiều. 
E ấy sử dụng: tẩy trang bio hồng, srm nakuro, toner melvita, chấm mụn nakuro nhưng mặt vẫn không có tiến triển gì. Mọi người tư vấn giúp e mình với ạ. 
Có nên đổi mỹ phẩm skincare khác k ạ</t>
  </si>
  <si>
    <t>2019-11-24 05:20:34</t>
  </si>
  <si>
    <t>100007033714186</t>
  </si>
  <si>
    <t>Giúp e với ạ.tình hình là sau cai sữa cho con thì v1 e teo tóp nhăn nheo nhìn rất ghê có cách nào cải thiện đc ko ạ.</t>
  </si>
  <si>
    <t>2019-12-13 14:31:33</t>
  </si>
  <si>
    <t>Gỗ Sưởng</t>
  </si>
  <si>
    <t>100044191511944</t>
  </si>
  <si>
    <t>VẠCH TRẦN BỘ MẶT CỦA CHỦ SPA TIÊM Filler GIẢ VÀ BỊA ĐẶT KHÁCH HÀNG BỊ HIV ĐỂ THOÁI THÁC TRÁCH NHIỆM</t>
  </si>
  <si>
    <t>2019-12-13 11:07:15</t>
  </si>
  <si>
    <t>#ask
Cho e hỏi e đang uống iso theo đơn của bác sĩ da liễu. Thì có nên đi nặn mụn kèm theo không ạ. Tại mụn của e đa số là mụn không viêm (mụn ẩn) e tính chỉ đi nặn mụn ẩn thôi. Tại e thấy hình như iso không có tác dụng mấy với mụn ẩn. Theo lời bác sĩ uống vào nó sẽ đẩy nhân lên khô cồi rồi tự rụng không cần nặn. Đơn thuốc của bác sĩ</t>
  </si>
  <si>
    <t>2019-10-15 10:28:40</t>
  </si>
  <si>
    <t xml:space="preserve">
#ask 
Mặt của em trắng ,mà mắt em thâm quầng do thức khuya  ,ai chỉ em nên làm gì hoặc dùng sản phẩm gì đi  ạ?Em cảm ơn❤️</t>
  </si>
  <si>
    <t>2019-12-25 12:22:58</t>
  </si>
  <si>
    <t>Ngân Kim</t>
  </si>
  <si>
    <t>100035048229639</t>
  </si>
  <si>
    <t xml:space="preserve">Mặt em tròn với hơi to thì hợp với kiểu tóc nào vậy mọi người? Em định cắt tóc ngắn không biết ổn không
</t>
  </si>
  <si>
    <t>2019-12-09 13:42:50</t>
  </si>
  <si>
    <t>Vong Tiện</t>
  </si>
  <si>
    <t>100035420763464</t>
  </si>
  <si>
    <t>#ask #niềng_răng 
Chào mọi người! Con bé em của em năm nay 16 tuổi, răng bị vẩu, giờ đang có ý định niềng mà còn nhiều thắc mắc quá nên lên đây thỉnh giáo mấy chị em có kinh nghiệm trả lời giùm em với. Mình không biết là niềng 2-3 năm đến tầm 18-19 tuổi răng có chạy nữa không, hay nên để 18 tuổi rồi niềng cho đảm bảo đẹp. Em ở Hà Nội cũng chưa biết chọn chỗ nào làm đẹp, chị em biết chỗ nào làm tốt người thật việc thật không ạ! Đạ tạ mọi người!</t>
  </si>
  <si>
    <t>2019-12-06 02:56:28</t>
  </si>
  <si>
    <t>Đinh Tuyết Mai</t>
  </si>
  <si>
    <t>100032887651349</t>
  </si>
  <si>
    <t xml:space="preserve">#niềng_răng #ask </t>
  </si>
  <si>
    <t>Mọi người tư vấn giúp em với ạ da em khô với mụn mụn mọc 2 bên cánh mũi làm em tự ti lắm ạ :((
#đepchanhsa</t>
  </si>
  <si>
    <t>2019-12-07 07:55:57</t>
  </si>
  <si>
    <t>100042656782173</t>
  </si>
  <si>
    <t>Mọi người ơi cho em xin bí kíp chăm sóc hoặc trị như thế nào với tình trạng da mụn như hiện tại của em với mọi người. Thanks mọi người nhìu</t>
  </si>
  <si>
    <t>2019-12-18 01:59:25</t>
  </si>
  <si>
    <t>Minh Hương</t>
  </si>
  <si>
    <t>100002400987826</t>
  </si>
  <si>
    <t>#ask #trangda #relumins #transino
Huhu e đăng bài nhiều lần lắm rồi mà chưa lần nào được ad duyệt cả. 
E khẩn thiết tìm loại thuốc nào mà có thể lm sáng sủa cái làn da k đều màu của e, n đen hẳn thì cũng tốt nhưng đây n đen kiểu loang loanh, đồi mồi ý. Khổ tâm dã man.
Mong ad thương ad duyệt cho e. Có gì sai sót e bổ sung sau.</t>
  </si>
  <si>
    <t>2019-11-03 12:12:53</t>
  </si>
  <si>
    <t>Lê Huyền</t>
  </si>
  <si>
    <t>100004415834387</t>
  </si>
  <si>
    <t xml:space="preserve">#transino #relumins #trangda #ask </t>
  </si>
  <si>
    <t xml:space="preserve"> #ask
Tình hình là em dùng bàn chải điện của nhật và em mới về vn được ít hôm. Em quên mất 1 vấn đề là bàn chải này chỉ sạc được từ 100-110V mà ở vn tận 220V😞. Em muốn hỏi là cứ thế trực tiếp cắm sạc được hay phải làm cách nào ạ. Cảm ơn ad duyệt bài cho em.</t>
  </si>
  <si>
    <t>2019-12-19 08:22:12</t>
  </si>
  <si>
    <t>Tuyến Nguyễn</t>
  </si>
  <si>
    <t>100009887538447</t>
  </si>
  <si>
    <t>A chi chỉ em cách trị mụn ik a</t>
  </si>
  <si>
    <t>2019-11-27 10:35:59</t>
  </si>
  <si>
    <t>Hà Minh Đức</t>
  </si>
  <si>
    <t>100037591329746</t>
  </si>
  <si>
    <t>#hoidap
Huhu, hôm nay em lên đây xin vài tips về cách ăn mặc cho người lùn ạ, em cao m47 và cân nặng chỉ vỏn vẹn 36kg :((( em năm nay lớp 12 rồi ạ. Vì lùn quá nên em cũng không biết ăn mặc thế nào cho phù hợp nên mong mọi người tư vấn hộ em với ạ. Em cảm ơn
Em sắp đi wedding bạn cũng mong mọi người tư vấn hộ em nên mặc gì cho phù hợp với dáng người ạ ;-; da em da ngắm không trắng hồng ạ :(((</t>
  </si>
  <si>
    <t>2019-11-26 14:24:50</t>
  </si>
  <si>
    <t>Thái Kiều</t>
  </si>
  <si>
    <t>100033683000861</t>
  </si>
  <si>
    <t>#xinreview 
Chuyện muôn thuở của chị em đây ạ . 
Tóc e rụng ngày càng nhiều .. mỗi lần gội chỉ cần vuốt nhẹ là 1 mớ tóc rụng luôn 😭😭 . Mỗi lần gội đầu là ko dám chải . Sấy cũng ko dám .
E đang tham khảo 3 loại dầu gội này .
Chị em nào đã từng sd qua thì cho e xin ít reviw vs ạ  . E tha thiết cần review ạ
Mong ad duyệt bài giúp e 😤</t>
  </si>
  <si>
    <t>2019-09-15 06:18:28</t>
  </si>
  <si>
    <t>Pham Thoa</t>
  </si>
  <si>
    <t>100025756841473</t>
  </si>
  <si>
    <t xml:space="preserve">#xinreview </t>
  </si>
  <si>
    <t>#Ask #Help #Nepnhan #Mat
Mọi người ơi em mới 19t thôi nhưng phần da dưới khoé mắt em có 1 đường hằn dài rõ như vậy luôn, phía dưới còn tầm 2,3 cái khác nữa mà nhỏ thôi không rõ, cười lên mới thấy, đặc biệt là lúc apply che khuyết điểm lên cakey rõ luôn, cảm giác như vùng da khoé mắt rất rất xấu hjx. Trong hình là có dùng che khuyết điểm r đó ạ, không ckđ còn ghê hơn á 🤷‍♂️
Khoé miệng em ngay chỗ rãnh cười cũng bị 2 vệt trái phải lằn dài y chang vậy, nhưng nhìn kĩ mới thấy chứ không rõ như mắt.
Như vậy là dấu hiệu của lão hoá ạ? Có cách nào khắc phục không ạ? 😓😥</t>
  </si>
  <si>
    <t>2019-11-07 03:10:43</t>
  </si>
  <si>
    <t>Nguyễn Trần Quốc Tuấn</t>
  </si>
  <si>
    <t>100004161160951</t>
  </si>
  <si>
    <t xml:space="preserve">#Mat #Nepnhan #Help #Ask </t>
  </si>
  <si>
    <t>da vừa xấu vừa đen,
Có cách nào cải thiện làn da ko mọi người ơi.
Da ngăm thiên khô.
mọi người chỉ em với.
Cảm ơn</t>
  </si>
  <si>
    <t>2019-11-14 03:53:34</t>
  </si>
  <si>
    <t>Mong Manh</t>
  </si>
  <si>
    <t>100005325528546</t>
  </si>
  <si>
    <t xml:space="preserve">
#ask
Mọi người ơi mọi người ơi
Tư vấn cho em cái này với ạ 😂
Em đang theo liệu trình trị mụn ở BV da liễu, bác sĩ kê kháng sinh và gel bôi ( Erylik ạ). Em uống được tháng rồi mà mụn vẫn ko giảm, mụn ẩn cứ thi nhau tiến triển thành mụn viêm hichic. Trước đây em từng theo liệu trình này 3 tháng, nhưng ngưng là phát mụn ngay hiuhiu. 
Cho em hỏi về cái gel erylik đấy ạ,em được biết nó có tác dụng đẩy mụn và gom cồi mụn
Lúc em bôi kiểu mùi cồn nó cứ xộc vào mũi với mắt, cay cực kì ạ. Với lại nó kiểu dạng gel, bôi xong khô thành vảy, cho nên em muốn dùng serum hay kem dưỡng cũng khó lắm ạ, em dùng tới tuýp thứ 4 rồi, nhưng kiểu nhờn thuốc hay sao ấy, giờ nó không có đẩy mụn nhanh như hồi kia nữa. 
Mọi người biết loại kem trị mụn hoặc serum trị mụn nào có tác dụng tương tự như Erylik không ạ. Chứ em thấy dùng erylik lâu dài sợ không ổn ạ 😢😢 
Trước đây em từng nhiễm corticoid do thiếu kiến thức quá ạ, da em giờ yếu dùng cái gì cũng dễ lên mụn, da em là da dầu cực nhiều luôn, lcl to nữa hic
Em cảm ơn mọi người nhiều ạ
Mong ad duyệt bài giúp em ạ</t>
  </si>
  <si>
    <t>2019-08-20 11:28:27</t>
  </si>
  <si>
    <t>100009878115976</t>
  </si>
  <si>
    <t>Chào mọi người! Đây là tóc em ạ, khoảng tầm 14,15 tuổi thì tóc em có bị rụng rất nhiều luôn ý, tới nỗi mỗi lần vuốt thôi cũng có tóc rơi xuống. Nhưng sau đấy thì mẹ em có mua hộp thuốc( em k nhớ hiệu gì) uống thử và tóc bắt đầu mọc lên lại. Hiện tại em 18 tuổi và bắt đầu rụng tóc sương sương, có ai gặp trường hợp giống em k ạ? Cho em xin cách giúp tóc mọc lại với ạ! 
    Em có để mái, ban đầu thì nó rất thẳng và đều. Nhưng 1 thời gian lại bị xoăn tít lên, phải làm sao cho nó như bình thường được ạ?
   Em cám ơn! 💚</t>
  </si>
  <si>
    <t>2019-12-14 10:51:29</t>
  </si>
  <si>
    <t>Hoàng Tú</t>
  </si>
  <si>
    <t>100013055148430</t>
  </si>
  <si>
    <t xml:space="preserve">Chào các anh chị trong grop em bị cái này khá lâu rồi , cũng tìm được đủ cách để hết nhưng không hiệu quả😞 em hay đi giày búp bê ấy ạ nhưng mà lại lộ phần đấy ra.. Do e hay ngồi đất nên vậy. Các anh chị nào cũng bị và hết rồi thì chia sẻ kinh nghiệm cho em với ạ.. Em cảm ơn 
P/s: em là nữ
</t>
  </si>
  <si>
    <t>2019-12-15 03:18:39</t>
  </si>
  <si>
    <t>Hoàng Huy</t>
  </si>
  <si>
    <t>100044338549667</t>
  </si>
  <si>
    <t>Mng ơi giúp em với, da em thuộc dạng da dầu, hơi nhạy cảm ạ. Bữa nay tự nhiên nổi nhiều mụn + nốt đỏ ạ, e chưa dám xài gì nhiều, chỉ xài srm cetaphil với nước muối sinh lý qua ngày thôi ạ. Các chị cho em tips trị mụn + trị thâm + thâm quầng mắt với ạ. Em cảm ơn mng</t>
  </si>
  <si>
    <t>2019-11-28 08:39:36</t>
  </si>
  <si>
    <t>#ask #help #rungtoc 
Các chị ơi cứu em với..!!! Số tóc này la e gom lại sau 3 ngày đấy ạ, còn hình bên cạnh là của một lần chải tóc, trước giờ em cũng rụng nhưng rất ít không đến nổi cả nắm thế này. Trước giờ e vẫn sử dụng dầu gội clear và loại ủ tóc karseell, hai ngày e gội một lần, à e không sử dụng dầu gội khác được vì bị gàu, gội được mỗi clear thôi ạ. Gội clear rất khô tóc nên e mới sử dụng ủ tóc karseell để mềm mượt hơn. Trước giờ vẫn bình thường nhưng cả tuần gần đây nó rụng kinh khủng khiếp, e cột tóc mà thấy thưa rõ ràng luôn, rụng rất nhiều, e hoang mang quá các chị ạ, có ai có tips gì chỉ giúp em với, không chắc rụng đến hết tóc mất thôi huhu. E cám ơn ạ!</t>
  </si>
  <si>
    <t>2019-06-07 05:18:58</t>
  </si>
  <si>
    <t>Tú Mẫn</t>
  </si>
  <si>
    <t>100005803080515</t>
  </si>
  <si>
    <t xml:space="preserve">#rungtoc #help #ask </t>
  </si>
  <si>
    <t>Mọi người ơi Da em dạo này xấu quá,đen,bị nám,mụn ẩn nhiều dù đã trị xong được 1 time nó lại lên :(( 
Em vẫn chăm sóc da đắp mặt dưỡng mỹ phẩm cao cấp cũng vẫn thế :(( 
Có nên đi spa điều trị theo liệu trình rồi về dưỡng giữ da được k ạ :(( 
E thấy có mấy spa nổi tiếng tái tạo da căng bóng trắng mịn nhìn k bị lộ mụn ẩn hay gì ở Da cả :(( nhìn mà thèm :(( 
Nhưng sợ được time hoặc sau này nó lão hoá hay bị sao đó :((
Mọi người đã ai trị da ở spa chưa cho e lời khuyên ak chứ e chán dùng mĩ phẩm dưỡng r :((</t>
  </si>
  <si>
    <t>2019-11-11 14:13:39</t>
  </si>
  <si>
    <t>Linh Káo</t>
  </si>
  <si>
    <t>100014467780074</t>
  </si>
  <si>
    <t>Môi em bị khô với tróc vảy lên rất nhiều. Ngày nào em cũng bóc đến chảy máu. Mn có tip gì hay giới thiệu em với ạ. Em cảm ơn
#tips</t>
  </si>
  <si>
    <t>2019-12-03 08:15:29</t>
  </si>
  <si>
    <t>Nguyễn Nương Mộng Mơ</t>
  </si>
  <si>
    <t>100013918450701</t>
  </si>
  <si>
    <t xml:space="preserve">#tips </t>
  </si>
  <si>
    <t>Mấy chị ơi em mới đi nặn mụn đc cỡ tuần, mà có cái mụn này nó sâu với bầm lắm nên nặn ra lỗ hơi to, sau 3 ngày chỉ rửa nmsl thì e bắt đầu bôi nghệ nhưng thấy nó vẫn lõm, mấy chị tư vấn em dùng gì hiệu quả với ạ, e sợ để lâu nó lõm vậy luôn thì khổ. Cám ơn mấy chị nhiều</t>
  </si>
  <si>
    <t>2019-12-08 11:43:59</t>
  </si>
  <si>
    <t>Chào admin cùng hội chị em trong group
Mình là mẹ bĩm nay 28 tuổi.
Dạo gần đây lười chăm sóc da, cảm thấy da ngày càng xuống cấp và lão hoá, đã và đang xuất hiện các nếp nhăn cùng vết thâm nám, ngoi lên group mong chị em tư vấn giúp da mình nên cải thiện bằng những loại sản phẩm nào phù hợp ạ.
Dạ mình thuộc tuyp da nhạy cảm.
Chân thành cảm ơn ạ ❤️
#dakho #laohoa #nepnhan #nam</t>
  </si>
  <si>
    <t>2019-12-04 02:22:43</t>
  </si>
  <si>
    <t>Hương Ngô</t>
  </si>
  <si>
    <t>100005861203732</t>
  </si>
  <si>
    <t xml:space="preserve">#nam #nepnhan #laohoa #dakho </t>
  </si>
  <si>
    <t>Các chị đẹp trong nhóm đã có ai thử Lăn kim/vi kim/peel da để làm căng da và thu nhỏ Lỗ chân lông chưa ạ?
#ask</t>
  </si>
  <si>
    <t>2019-10-25 08:15:12</t>
  </si>
  <si>
    <t>Nhật Dương</t>
  </si>
  <si>
    <t>100022269729699</t>
  </si>
  <si>
    <t>#srm
#naruko
#dadau
Hi, mn. Hiện tại e đang phân vân ko biết nên mua e này ko. Da e dầu có mụn ạ, trước kia e trung thành với Innis trà xanh mà giờ nghe rv e naruko này cũng ổn nên xin ý kiến mn. E innis độ ph cao quá nên rửa xong da mặt e căng nên phải dùng gấp toner. Mà e thấy công dụng của e naruko này khá phù hợp với tiêu chí e cần nhưng e lại thấy có cả mask kèm theo tẩy tbc. Ko biết là mn dùng hằng ngày hay sao ạ tại e sợ dùng e này da sẽ mỏng và yếu đi do có tẩy tbc ấy ạ.
E có dùng ST tẩy tbc 2l/ tuần ạ
E cảm ơn mn nhiều 😭
Mn recommend e vớiii</t>
  </si>
  <si>
    <t>2019-11-11 23:32:21</t>
  </si>
  <si>
    <t>Dung Dinh</t>
  </si>
  <si>
    <t>100013645742638</t>
  </si>
  <si>
    <t xml:space="preserve">#dadau #naruko #srm </t>
  </si>
  <si>
    <t>Có ai bị da như thế này không ạ? Có phải là do chân lông quá lớn không nhỉ?</t>
  </si>
  <si>
    <t>2019-11-28 11:13:47</t>
  </si>
  <si>
    <t>Sinh Vật Phù Du</t>
  </si>
  <si>
    <t>100005457377914</t>
  </si>
  <si>
    <t xml:space="preserve">
#ask
Dạ chào mọi người . 2 tuần trước em có mua cho mẹ 1 hũ dongsung mini cho mẹ dùng, tuần đầu tiên mẹ dùng không biểu hiện gì nhưng khoảng 1 tuần nay thì mẹ em có dấu hiệu ngứa và sưng, hiện mẹ đã ngưng dùng. Mấy chị trong group có ai đang dùng kem và gặp tình trạng này chưa ạ. Cho em xin 1 vài cách khắc phục với. Nhìn mẹ vậy em thấy xót quá 😔
Đây là lần đầu em đăng bài, nếu có sai sót mong mọi người bỏ qua giúp em. Em xin cảm ơn mọi người</t>
  </si>
  <si>
    <t>2019-12-02 00:22:06</t>
  </si>
  <si>
    <t>Đài Ngô</t>
  </si>
  <si>
    <t>100007977242067</t>
  </si>
  <si>
    <t>#ĐẹpChanhSã , #TưVấn
- mnn ơi e muốn xin 1 tí tư vấn từ mn là , hồi đó mặt e mụn rất nhiều nên em đi spa nặn mụn rồi xài hủ kem màu hồng của nó luôn , e thấy đa em đẹp hơn hết mụn , từ lúc e tập tành skincare làm sạch da thì thấy nó lên rất nhiều , em không biết xài hàng fake hay do cơ địa da của em ( da dầu ) skincare làm sạch nó cũng lên mụn , không xài nó cũng lên 😥 ( sản phẩm em xài là Bioderma Hồng , Srm Cetaphil , nước hoa hồng ) vì em 16t nên em cũng chỉ chú trọng làm sạch da chứ không xài sản phẩm chăm sóc , em có nên ngưng skincare và đi spa không ạ , vì em sợ kem trong spa là kem trộn , giờ e không biết làm gì tiếp theo nữa làm sạch da cũng lên mụn , rửa mặt thôi không làm sạch cũng lên mụn (toàn là mụn ẩn liti liti ) đi spa thì sơ kèm trộn tác hại lâu dài . Mnn tư vấn giúp e với ạ 😭 em cảm ơn rất nhiều</t>
  </si>
  <si>
    <t>2019-12-06 07:25:30</t>
  </si>
  <si>
    <t>Thương Trần</t>
  </si>
  <si>
    <t>100006443528889</t>
  </si>
  <si>
    <t xml:space="preserve">#TưVấn #ĐẹpChanhSã </t>
  </si>
  <si>
    <t>Mình thấy nhiều bạn bị ảnh hưởng bởi tác hại của thuốc rượu thuốc đông y. Mình từng là nạn nhân của thứ ác ôn đóa. Mình xin khuyên mọi người chân thành nên đi bác sĩ da liễu thì vẫn hơn. Chứ mình thấy mọi người lên đây  hỏi cách skincare này nọ spa này nọ thì % hợp rất ít. Mình từng bỏ rất nhiều tiền để đi spa mua mỹ phẩm skincare mấy tháng trời mà chẳng tác dụng gì( **mình ko quơ đủa cả nắm nhưng bạn nào ko tác dụng giống như mình thì tìm bác sĩ da liễu nha**) Thật lòng đó giờ mình chẳng bao giờ tin bác sĩ da liễu cả. Đến khi được 1 chị trong group tư vấn khá nhiệt tình nên  chuyển qua bác sĩ da liễu thử xem sau. Sau 1 khoảng thờu gian trong liệu trình điều trị của bác sĩ và cảm thấy da cải thiện  từng ngày mặc dù hơi lâu mới thấy hiệu quả nhà nhưng an toàn các bạn nhé. Có nhiều bạn sợ  uống thuốc thì sẽ bị nóng trong người. Bạn có thể nấu nước đậu đen uống mỗi ngày thanh lọc cơ thể hiệu quả lắm á nha. 
Mình chỉ gửi đôi lời chân thành vậy thôi xin đừng ném đá.</t>
  </si>
  <si>
    <t>2019-12-09 06:24:36</t>
  </si>
  <si>
    <t>Mi Mi</t>
  </si>
  <si>
    <t>100041511420888</t>
  </si>
  <si>
    <t>#ask #tẩytrang #HànQuốc 
Nhân dịp em muốn đổi tẩy trang, tha thiết mong ad duyệt bài ạ
Mình muốn tham khảo tẩy trang mà mọi người đang dùng. Cụ thể hơn là tẩy trang đến từ Hàn Quốc
Dạo gần đây mình rất thường xuyên đọc những topic về tẩy trang trong nhóm, hầu hết mọi người review Bioderma của pháp, Chacott của Nhật, Laroche của Pháp. Nhưng khổ nỗi mình chỉ hợp với mỹ phẩm Hàn, mà không thấy ai review tẩy trang của Hàn luôn 😭😭😭
Mong là nhờ topic này mình có thể tậu được 1 chai tẩy trang xịn xò đến từ Hàn
Cre : ảnh trên Google</t>
  </si>
  <si>
    <t>2019-09-25 08:23:49</t>
  </si>
  <si>
    <t>Hồ Nhi</t>
  </si>
  <si>
    <t>100006562742107</t>
  </si>
  <si>
    <t xml:space="preserve">#HànQuốc #tẩytrang #ask </t>
  </si>
  <si>
    <t>Vấn đề kem trộn đã quá nổi rồi nhưng đây là e thấy bạn này k biết nghe ai bán bị dụ như thế nào mà hết sữa tắm mang ghen phụ khoa ra tắm cho con. 
Bức xúc quá đi mất mà hơn nữa đứ trẻ mới mấy tháng luôn á
Sợ quá đi mất
Xl m.n vì e chụp ảnh k rõ ràng nhưng đây thực sự là kem trộn linh hương và video bạn này xoá đi oy e k chụp lại dc nữa</t>
  </si>
  <si>
    <t>2019-11-30 04:43:34</t>
  </si>
  <si>
    <t>Lương Thị Linh Trang</t>
  </si>
  <si>
    <t>100006297199495</t>
  </si>
  <si>
    <t>#trimun
Da mình bị mụn ẩn và thâm cả mụn nữa. Mình đang dùng tẩy trang bio nắp xanh, toner mamonde diếp cá, kem dương bio tím phục hồi da, kem chống nắng anessa.. 
mình bị lên mụn ẩn quá trời. Tư vấn giúp mình sản phẩm phù hợp với
Mong ad duyệt ạ</t>
  </si>
  <si>
    <t>2019-11-03 09:42:07</t>
  </si>
  <si>
    <t>Quang Quang</t>
  </si>
  <si>
    <t>100031647592062</t>
  </si>
  <si>
    <t>#đepchanhsa
Mong ad duyệt bài giúp e với ạ. Da e bị rất nhiều mụn ẩn và thâm. Em tìm hiểu trong nhóm thì thấy những loại mỹ phẩm này được các anh chị review tốt nên em rinh về hết, em cũng mới tập tành skincare thôi. Nên có anh chị nào kinh nghiệm giúp e sắp xếp các bước skincare  với những loại mĩ phẩm này để da e cải thiện hơn với ạ, em không biết làm cách nào để da hết mụn ẩn được, hồi trước chỉ hay bị mụn bọc, viêm thôi. Bây giờ e không bị mụn đó nữa mà chỉ bị mụn ẩn, mặc dù e tẩy trang và rửa mặt rất kĩ. E cũng không hề trang điểm luôn . Mọi người cứu khuôn mặt đáng thương của em với 😭😭😭 em chưa dùng bất cứ loại serum nào trong này cả, e chỉ srm-toner- chấm mụn viêm thôi. Này là e mua về để dùng theo giai đoạn chứ em k dám đắp hết lên mặt đâu ạ, tại e k ở Việt Nam nên mỗi lần ship đồ rất khó khăn, nên e rinh hết về lỡ có cái xài k hợp thì có loại khắc đổi luôn chứ mất công ship lắm ạ 😋😋😋 da e là bị mụn ẩn trước rồi nên giờ em k biết phải bắt đầu từ loại nào trc, chứ k phải e đắp hết đống đó nên bị mụn ẩn đâu ạ, mấy lọ serum này e chưa mở nắp chai nào hít, để Sài theo từng giai đoạn ạ 😛</t>
  </si>
  <si>
    <t>2019-11-29 04:07:22</t>
  </si>
  <si>
    <t>Pé Heo</t>
  </si>
  <si>
    <t>100031189170771</t>
  </si>
  <si>
    <t>#gocxinbikiptrimun
Chào mọi người,em tàu ngầm trong group mình khá lâu rồi và cảm nhận được group mình thực sự là một group chất lượng, đúng nghĩa chanh-sả🤗
Hôm nay em ngoi lên đây xin ý kiến của các anh chị về tình trạng da mụn của em, vì thực sự là em quá stress vs nó rồi 😭😭😭😭
Da em là da dầu,bị mụn nội tiết từ hồi dậy thì đến giờ.Lúc ấy ko biết chăm sóc nên để lại toàn sẹo thâm vs rỗ.
Khoảng một năm trước em có dùng thuốc bắc tái tạo da Sắc Mộc Lan, da em có hết mụn,thâm sẹo có được cải thiện.
Tuy nhiên dạo mấy tháng này em mới lên học đại học,do thức khuya nhiều, ăn uống ko lành mạnh vs cả nước ko sạch,mụn của em bùng phát trở lại ngày càng nghiêm trọng.
Giờ e chỉ dùng srm senka trắng,dầu tẩy trang kose vs nhũ tương trị mụn của nagurieti và kcn the seam hồng ạ.
Em đang phân vân có nên mua máy rửa mặt con cá wellderma ko vì kinh tế khá là hạn hẹp.
Mọi người tư vấn cho em vs chứ e bế tắc lắm rồi,ko dám vác mặt đi tìm crush luôn😞😞😞
Em xin chân thành cảm ơn ạ, bài của e hơi dài 😅
Mong ad duyệt bài giúp e ạ🥺🥺🥺🥺🥺</t>
  </si>
  <si>
    <t>2019-11-05 00:51:39</t>
  </si>
  <si>
    <t>Dương Thu Hà</t>
  </si>
  <si>
    <t>100032945512644</t>
  </si>
  <si>
    <t xml:space="preserve">#gocxinbikiptrimun </t>
  </si>
  <si>
    <t>Mọi người ơi cho e hỏi xíu da e hồi giờ ko bị nổi như vậy, mà cỡ khoảng hơn 1 tuần trở lại đay tg lạnh hơn bt thì e bị nổi cả một mặt như vậy luôn thì phải làm sao đay ạ, e chưa dùng gi hết ạ.</t>
  </si>
  <si>
    <t>2019-12-18 13:48:21</t>
  </si>
  <si>
    <t>Thu Thu</t>
  </si>
  <si>
    <t>100031296434438</t>
  </si>
  <si>
    <t>Mọi người ơi giúp  mình với ,tết đến nơi mà mặt mũi như 😭😭 .Mình đang xài sữa rữa mặt laroche-posay màu xanh.Tẩy trang bioderma.Týp chấm mụn Klenzit .Mình có nên ngưng hết không.Mình cảm ơn nhiều ạ</t>
  </si>
  <si>
    <t>2019-12-12 12:23:39</t>
  </si>
  <si>
    <t>Trọng Ỉn</t>
  </si>
  <si>
    <t>100038036421258</t>
  </si>
  <si>
    <t>Dạ đã qua 22 nồi bánh chưng rồi mà kiểu tóc em vẫn như vậy từ đó đến giờ. 
Mong mấy chị tư vấn giúp em kiểu tóc ( có ảnh để dễ hình dung với ạ ^^) hoặc chia sẽ chổ nào làm tóc đẹp ở sài gòn với ạ.Thủ đức càng tốt. Em còn sv nên chổ nào giá ổn xíu thì càng tốt. 
Và có cách nào để bớt bọng mắt và sạch mụn hơn không vì bọng mắt em to thâm nhìn rất già ạ.
Cám ơn mấy chị nhiều</t>
  </si>
  <si>
    <t>2019-12-24 14:51:20</t>
  </si>
  <si>
    <t>Dương Anh Thư</t>
  </si>
  <si>
    <t>100012122465200</t>
  </si>
  <si>
    <t>Chả là e mới làm kiểu tóc như này,nhưng tóc e nhiều nên nó xù quá,k biết các chị cho e xin vài bí quyết giữ nếp tóc kiểu này ạ.
Nó cứ xù vs đơ ra ý ạ. Mong ad duyệt bài giúp e.
 #tocuon</t>
  </si>
  <si>
    <t>2019-12-22 22:12:10</t>
  </si>
  <si>
    <t>Võ Phương Thanh</t>
  </si>
  <si>
    <t>100006973418537</t>
  </si>
  <si>
    <t xml:space="preserve">#tocuon  </t>
  </si>
  <si>
    <t>#skincare #ák #help
Chào mọi người, mình đã điều trị ở o2skin gần 1 năm rồi, da mình hiện tại đã cải thiện hơn trước nhiều nhưng vẫn phải nói là tốc độ cải thiện da quá chậm với số tiền mình bỏ ra và chủ yếu đến từ việc lăn kim nông và peel da. Mình đã sd 3 chai này gần cả năm và cảm nhận là liều lượng của nó còn quá nhẹ nên mình muốn nhờ mọi người tư vấn cho các sp khác. Mình quyết định dừng điều trị ở đây vì bs nói mình da đã đủ khoẻ rồi. 
Tình trạng da của mình hiện tại còn hơi đỏ phần má，lỗ chân lông hơi to, còn thâm đỏ và thâm đen nhẹ, mụn thì đã sạch và mình rất ít khi bị mụn mủ trở lại trừ phi cùng lúc thức khuya và ăn đồ nóng. 
Mong mọi người chỉ mình vài tips skincare để nhanh hết thâm nám cho kịp tết này, mình nên dùng gì đây?</t>
  </si>
  <si>
    <t>2019-10-19 07:36:22</t>
  </si>
  <si>
    <t>Huỳnh Tuấn</t>
  </si>
  <si>
    <t>100005556887209</t>
  </si>
  <si>
    <t xml:space="preserve">#help #ák #skincare </t>
  </si>
  <si>
    <t>#serum
Cho e xin review về serum trắng da giá tầm trung với ạ . Đắp mask giấy xong có cần rửa mặt đi ko ạ hay để vậy rồi bôi serum luôn</t>
  </si>
  <si>
    <t>2019-10-31 15:12:04</t>
  </si>
  <si>
    <t>Diên Diên</t>
  </si>
  <si>
    <t>100001195156769</t>
  </si>
  <si>
    <t xml:space="preserve">#serum </t>
  </si>
  <si>
    <t>Xin đẹp chanh sả duyệt bài giúp.                                           Chào mọi người. Trước mình tìm thấy cách trị rụng tóc cũng hay hợp lý. và có thử nấu mấy thứ như cỏ mần trầu, cỏ mực, cỏ cứt heo,cây chó đẻ,hương nhu tía,bưởi, lá ổi,chanh ,sả gừng...   lại thiếu thứ quan trọng là qủa bồ kết. Giờ muốn tìm mua trên mạng sợ vớ phải đồ bên trung hoặc chặt chém.nên có ai dùng bồ kết thì chỉ bảo giúp. Mình chỉ mua đồ trên mạng có 1lần thôi, tiện thể ai biết thì cho xin tên loại nghệ trong hình với. Cảm ơn mọi người đã quan tâm.</t>
  </si>
  <si>
    <t>2019-12-04 12:41:08</t>
  </si>
  <si>
    <t>Vỏ Quyền</t>
  </si>
  <si>
    <t>100037953289726</t>
  </si>
  <si>
    <t>Da em như vậy  sài loại nào trị mụn ạ</t>
  </si>
  <si>
    <t>2019-11-27 08:42:38</t>
  </si>
  <si>
    <t>Nguyễn Tôn Trường An</t>
  </si>
  <si>
    <t>100009413929799</t>
  </si>
  <si>
    <t>#ask #review
Mình có sdung bôi retin A 0.025 đc hơn 1 tuần. Ban đầu chỉ chấm 1-2 noits munn, sau đó thì mình cod bôi cả mặt. Có dùng cả dưỡng sau khi sdung xg. Ban ngày sdung kcn. Nhg htai bdau da khô hoan nhiều, trước nó chỉ bong nhg chỗ chấm munn, giờ là bong cả mặt,và da có htuong rát đỏ. Ảnh 1 là snags sau khi mình dùng dưỡng xg thì bdau rát, ảnh t2 là sau đó 1 lúc da lại trở về bth mặc dù vẫn bong tróc. Mình đang phân vân tính ngưng tạm 1 thgian, xin các b cho ý kiến có phải ai dùng cũnh bị nvay ko ạ? Hay mình đang bị kích ứng da?. Liệu ngưng lại 1 tgian chit cấp ẩm ko thì da vẫn bong kiểu loang lổ hay tnao ạ? Tca đều cam thường chứ mình ko có xhupj app.</t>
  </si>
  <si>
    <t>2019-10-22 13:24:24</t>
  </si>
  <si>
    <t>Thu Huyền</t>
  </si>
  <si>
    <t>100006430551894</t>
  </si>
  <si>
    <t xml:space="preserve">#review #ask </t>
  </si>
  <si>
    <t>#ask #kien3khoan #trịsẹothâm
Tình hình là bổng nhiên thấy da rát nhưng chỉ đỏ nhẹ. Qua ngày hsau ko hết thì e đi mua thuốc thoa ngta bảo bị zona ( nổi cái không nói đc ) nhưng ko đỡ thì ngày thứ 3 e mới đi bv. Bs bảo bị VIÊM DA DO TIẾP XÚC ( có thể do tiếp xúc trực tiếp axit or do e ngồi lên côn trùng có thể là kiến ba khoan r nó vỡ bụng ra làm lang axit khắp da chân e 😭 ) mới hqa còn đỏ tươi hnay đã sập như vậy. E sợ thẹo và thâm quá. Mn biết bôi thuốc gì nhanh chóng hết thâm chỉ em với 😭
Àh htrc e ko biết e lỡ ăn bò - gà - trứng rồi. Có thâm thêm thâm ko mn 😭</t>
  </si>
  <si>
    <t>2019-03-22 16:45:08</t>
  </si>
  <si>
    <t>Nguyễn Mai Thanh Thảo</t>
  </si>
  <si>
    <t>100001391445969</t>
  </si>
  <si>
    <t xml:space="preserve">#trịsẹothâm #kien3khoan #ask </t>
  </si>
  <si>
    <t>Mn ơi cho em hỏi có cách gì để chưa cái này ko ạ :(( mùa đông đến chân em cứ như vảy cá😭😭</t>
  </si>
  <si>
    <t>2019-12-08 01:45:36</t>
  </si>
  <si>
    <t>Duong Thi Ha Anh</t>
  </si>
  <si>
    <t>100009398369954</t>
  </si>
  <si>
    <t>Cái này ở quê em nhiều người dùng khỏi nên chia sẻ cho mọi người ạ
Ai hay bị dị ứng thời tiết, dị ứng cơ địa...mẩn ngứa ...hãy lấy lá cây đơn đỏ ( còn gọi là lá mặt trời_ như ảnh.) Dùng một nắm đun sôi kỹ, cho chút muối vào, múc ra một cốc nhỏ uống lúc còn ấm. Số còn lại dùng tắm vài lần sẽ khỏi. 
Nguồn sưu tầm
#chiase</t>
  </si>
  <si>
    <t>2019-09-16 01:35:30</t>
  </si>
  <si>
    <t>Bạc Hà</t>
  </si>
  <si>
    <t>100006601099203</t>
  </si>
  <si>
    <t xml:space="preserve">#chiase </t>
  </si>
  <si>
    <t>#help #munkhongdau
Trên má em có nốt mụn sưng đỏ, không có đầu, cũng không thấy nhân mụn. Em chấm duo+, bha nhưng vẫn không lên mà dần dần xẹp xuống, rồi cứ thâm thâm, sờ vào thì thấy chai cứng bên dưới da. Bây giờ nó mọc lên lại y như cũ nữa.
Mấy chị tư vấn giúp em nên xử lí sao với ạ. Em cảm ơn.
Sẵn tiện mọi người có cách nào làm giảm quầng mắt không ạ, em cũng khổ sở lắm, nhìn già ra chục tuổi :((</t>
  </si>
  <si>
    <t>2019-10-14 10:35:11</t>
  </si>
  <si>
    <t>Nguyen Nguyen</t>
  </si>
  <si>
    <t>100011232346053</t>
  </si>
  <si>
    <t xml:space="preserve">#munkhongdau #help </t>
  </si>
  <si>
    <t>#nhotuvan #hoichan #ranhieumohoi
Cả nhà ơi, tình hình là có ai bị hôi chân và biết phương pháp nào chữa hoặc giúp giảm hôi chân hiệu quả và phương pháp giúp giảm ra mồ hôi tay chân không ạ. 
Con gái mình năm nay 6 tuổi nhưng bé bị ra mồ hôi tay, chân rất nhiều. Đặc biệt mỗi khi đeo giày thì dù đông hay hè, đeo tất mỏng hay dày thì đều bị ra vô cùng nhiều mồ hôi dẫn đến chân có mùi hôi rất khó chịu. 
Mỗi chiều bé đi học về đều phải ngâm chân và rửa thật kỹ bằng lifebuoy nhưng vẫn không hết được mùi. Tối trước khi đi ngủ mình còn đun nước muối gừng quế cho bé ngâm chân nữa nhưng cũng không cải thiện được mấy. 
Mình đã thử dùng phấn rôm trẻ em rắc trong giày nhưng chắc do lượng mồ hôi chân của bé quá nhiều nên không có hiệu quả gì hết. Mình lo sau này bé lớn mà tình trạng này vẫn không cải thiện thì gay go quá. 
Mong admin duyệt bài giúp mình ạ. 
Cảm ơn admin và các bạn trong group nhiều ạ.</t>
  </si>
  <si>
    <t>2019-11-28 08:41:16</t>
  </si>
  <si>
    <t>Lê Trần</t>
  </si>
  <si>
    <t>100004228211303</t>
  </si>
  <si>
    <t xml:space="preserve">#ranhieumohoi #hoichan #nhotuvan </t>
  </si>
  <si>
    <t>#niềngrăng 
Xin chào mọi người, em ngoi lên muốn hỏi mng về việc niềng răng ạ. Răng em hiện tại giống hình và có nhất thiết phải đi niềng không ạ? Nếu không niềng thì sau này nó có tiếp tục hô ra không? Em hỏi vài đứa bạn thì nó nói nhìn răng em bình thường, không thấy hô lắm (răng em chỉ hơi đưa ra) mà mẹ em lại muốn em đi làm ngay vì sợ sau này răng bị hô nhiều hơn ảnh hưởng công việc (em 17t)
À nếu thật sự phải làm thì em tính làm niềng răng sứ, mng ai niềng răng sứ có thể cho em xin tí review được không ạ? Mỗi lần cười nó có dễ dàng thấy không :(((. Em cảm ơn mng nhiều
Mong ad duyệt bài sớm cho em, em cảm ơn</t>
  </si>
  <si>
    <t>2019-11-24 05:21:00</t>
  </si>
  <si>
    <t>Nari Đinh</t>
  </si>
  <si>
    <t>100027452867964</t>
  </si>
  <si>
    <t xml:space="preserve">#niềngrăng </t>
  </si>
  <si>
    <t xml:space="preserve">
#mụn
#ask
Mong ad duyệt giúp e ạ
Chả là em đang bị cái mụn này được vài ngày ở phần bụng. Mới ngày đầu chỉ sưng nhẹ nhưng vài ngày sau thì càng có xu hướng to. Có nhân cứng sờ vào đau.Em hỏi nhiều ngừoi thì bảo nó là mụn nhọt. Không biết chị em nào đã từng bị cho e xin ít lời khuyên và cho em hỏi nguyên nhân mọc mụn thế này ạ</t>
  </si>
  <si>
    <t>2019-05-28 10:19:38</t>
  </si>
  <si>
    <t>Ngô Thảo Vân</t>
  </si>
  <si>
    <t>100029156806444</t>
  </si>
  <si>
    <t xml:space="preserve">#ask #mụn </t>
  </si>
  <si>
    <t>#ask #taytrang #Derladie 
Dạo gần đây mình có thấy loại tẩy trang Derladie này của Hàn đang nổi nổi, đi đâu cũng gặp review hết nên tính nhờ người nhà ở bên Hàn mua xách tay về giùm, mà thế nào lại không tìm được web hãng để mua và nó bảo bên đó chả thấy loại như này . Ai giải thích hộ em với 🤔🤔
Edit 1 : của 1 bạn cmt " Cái này search Naver ra kết quả Toner, tẩy trang, srm và bán trên online trên web Bbjung chứ ko phải web hãng :v Bbjung là web bán onl như lixibox, yesstyle.."
 Edit 2 : Thiết nghĩ không biết có phải hàng công ty do cá nhân nào đó tự sx không nhỉ 🤔, giống như bên VN mình á. Nhưng hãng này do ng Hàn sx thì made in Korea 🤣
 Tự nhiên vụ này làm nhớ tới đợt cái tuýp kem thần thánh PG Collagen made in Jappan ghê, rầm rộ 1 thời gian hồi sau lòi ra là của 1 ông nào đó tự chế ra 🤣🤣 tuýp PG nhớ đâu là ông chủ tiệm hớt tóc ng Nhật j ấy sx, có bạn nào lần ra địa chỉ nhà hay nơi sx gì ấy rồi.
Edit 3 : của 1 bạn cmt cho ai đã mua yên tâm tẹo ạ 😅 " Đúng là loại này bên hàn. Ra mắt giữa tháng 8 đầu tháng 9 thôi. Bên hàn chưa ai biết cái này cả.. vì giá nó cao nhưng chất lượng chưa có review.  Tụi lấy về Việt Nam là hoàn toàn ko bill và vận chuyển bằng tàu thôi. Mà c biết rồi, hàng vận chuyển tàu hết nó giảm chất lượng sp đi nhiều khinh khủng"
Edit 4 : Nhiều bạn cmt nói là chai  Derladie này có bán ở Gmarket , thì Gmarket nó giống như mấy trang Lazada, tiki, shopee,.. bên mình. Thì mn biết rồi đấy hàng tốt, hàng đểu lẫn lộn. Chỉ cần là bạn đki bán hàng bạn có hàng hóa để bán là sp sẽ có mặt trên đó 😂😂
Còn cái trang web của hãng với mấy bài báo bên Hàn gì gì đó mà bên NPP vừa cập nhật í thì cũng chưa đủ thông tin để xác minh là hãng Derladie là sp HQ. Nói thật mấy rang web, bài báo bên mình tạo ra và viết lên mấy hồi 🤔🤔 theo như bên NPP ở VN nói thì hãng này thuộc nhà sản xuất: The Nadree Co.,LTD và chủ hãng là LAON COMMERCE CO., LTD
thêm vài ảnh cho mn tham khảo nhá
Edit lần cuối cho bài này 
 #banluan #Derladie
 Hôm bữa mình có đăng 1 bài  về nguồn gốc hãng tẩy trang Derladie này 🤔. Thật sự mình không phải là bán hàng, hay đối thủ cạnh tranh gì, chỉ đơn giản là 1 người tiêu dùng. Lúc đầu tính mua sp này để về trải nghiệm, nhưng mình trc khi mua gì phải tìm hiểu, nên mới đi đào sâu về nguồn gốc của hãng này như vậy. Sau bài viết  đó thì NPP tại VN của hãng này có ib cho mình về các loại giấy tờ và nguồn gốc của hãng. Thì mình được biết theo như bên NPP ở VN nói thì hãng này thuộc nhà sản xuất: The Nadree Co.,LTD và chủ hãng là LAON COMMERCE CO., LTD
Dưới đây là 1 số giấy tờ liên quan, vì mình không rành về mấy giấy tờ này ở bên Hàn nên chỉ để đây cho mn xem và bàn luận như nào thôi. Dưới đây là ý kiến của mình và chút hiểu biết của bạn mình bên Hàn nói cho mình biết, nếu không đúng thì các bạn cứ vào góp ý . Chứ mình không chắc chắm những gì mình nói sau đây là đúng 100%
🔥 1. website của Hãng Derladie 
  ( hình 1 ) 
Theo như những gì mà được bạn mình nói thì để mà muốn biết 1 sp có phải của HQ không thì dựa và cái web có ( ......co.kr ) ( hình 2 ) nên là web của hãng phải là Derladie.co.kr . Còn không phải vậy thì là web tự tạo ra để bán sp
🔥 2. Địa điểm bán : Theo như NPP nói thì ở bên Hàn các bạn cứ vô mấy siêu thị miễn thuế mà mua. Mình thiết nghĩ là shinsaegae duty free hay lotte duty free đồ có bán 🤔
🔥 3. Giấy lưu hành sản phẩm bên Hàn: Certificate of Free Sale ( Hình 3 )
🔥 4. Giấy Uỷ quyền phân phối và nhập khẩu sản phẩm ( Hình 4 ,5 )
🔥 5. giấy phép kinh doanh của Cty LAON COMMERCE tại Hàn ( Hình 6 )
 Ở giấy phép kinh doanh mình có tra số đăng kí kinh doanh 124-87-12555 thì nó lại ra trang web có tiếng Trung ( hình 7 ) thì bạn t kêu không phải đki ở Hàn
Ai có biết gì về mấy cái số đki kinh doanh bên Hàn này thì ý kiến bên dưới nhé , chứ mình  rành</t>
  </si>
  <si>
    <t>2019-09-21 13:11:21</t>
  </si>
  <si>
    <t>Lan Nhi</t>
  </si>
  <si>
    <t>100024602254363</t>
  </si>
  <si>
    <t xml:space="preserve">#Derladie #banluan #Derladie #taytrang #ask </t>
  </si>
  <si>
    <t xml:space="preserve">Da e sau khi ngưng sd bà lão 1th thì bị ntn ạ 
Mn cho e xin tips hồi phục da mặt sau khi dùng bà lão, các sp skincare cho da dầu giá hs với ạ 
Tiện thể cho e hỏi mùa đông da e bị khô với nứt nẻ thì dùng sp dưỡng da nào ạ? 
#ask </t>
  </si>
  <si>
    <t>2019-12-06 01:11:14</t>
  </si>
  <si>
    <t>Lê Hoàng Tú Anh</t>
  </si>
  <si>
    <t>100040370324681</t>
  </si>
  <si>
    <t>#ask #duongtoc
Em đang muốn mua dưỡng tóc nhưng k biết nên mua loại nào mn tư vấn giúp e ạ 😞 tóc e khô và cứng chứ k bị chẻ ngọn thì nên dùng loại gì ạ
Loại này ổn k ạ</t>
  </si>
  <si>
    <t>2019-06-07 05:47:23</t>
  </si>
  <si>
    <t>Nguyệt Nguyệt</t>
  </si>
  <si>
    <t>100006415660128</t>
  </si>
  <si>
    <t xml:space="preserve">#duongtoc #ask </t>
  </si>
  <si>
    <t>#transino #help
Em vừa mua kem nám này gồm viên uống, kcn, và kem đêm
Em có 1 thắc mắc là em hỏi mua kem ngày thì họ tư vấn bán cho em kcn, còn cái họ ghi kem ngày trên ảnh thì họ bảo đấy là sữa dưỡng
Còn kem ngày là dùng kcn, kcn này họ bảo là kem dưỡng có chống nắng
Vì sp ko rẻ nên e chỉ đủ đk mua 1 vài món trong bộ này
Mn ai đã sử dụng tư vấn giúp em xem nên mua những kem nào trong bộ sp này ah!
Tks All</t>
  </si>
  <si>
    <t>2019-10-30 05:44:12</t>
  </si>
  <si>
    <t>Hà Phương</t>
  </si>
  <si>
    <t>100005924352050</t>
  </si>
  <si>
    <t xml:space="preserve">#help #transino </t>
  </si>
  <si>
    <t xml:space="preserve">
#reviewnướcdiệplục
Mọi người ai uống nước diệp lục rồi cho mình xin ít review với ạ. 2 loại đều có công dụng như nhau hay sao ạ? Vị nào thì dễ uống hơn ạ? 
Cảm ơn mọi người rất rất nhiều 🥰</t>
  </si>
  <si>
    <t>2019-11-04 07:16:51</t>
  </si>
  <si>
    <t>Mi Hoang</t>
  </si>
  <si>
    <t>100004433837493</t>
  </si>
  <si>
    <t xml:space="preserve">#reviewnướcdiệplục </t>
  </si>
  <si>
    <t>Ghệ em làm nails bị như vậy bh làm sao để khỏi vậy mọi người giờ đã nghỉ làm</t>
  </si>
  <si>
    <t>2019-12-24 07:28:28</t>
  </si>
  <si>
    <t>Chuột Chuột</t>
  </si>
  <si>
    <t>100022881974416</t>
  </si>
  <si>
    <t>Da em đang bị khô như hình
Em phải dưỡng như thế nào ạ</t>
  </si>
  <si>
    <t>2019-12-23 00:46:15</t>
  </si>
  <si>
    <t>Hằng Phượng</t>
  </si>
  <si>
    <t>100007158573922</t>
  </si>
  <si>
    <t>#tuvan 
Mong ad duyệt bài giúp em ạ
Chào mn. Em cần tư vấn một số vấn đề vì đã gần Tết rồi. Thực sự em muốn cải thiện.
Thứ nhất là em bị béo vòng bụng với vòng mông ạ. Kiểu tay chân thì ốm mà mông với bụng thì to á. Vòng 2 của em tận 80 nói bậy chứ nhìn như có thai v á. Nhìn mất cân đối lắm. Với lại em cũng thuộc dạng hơi đen nữa. Xin mn tips mặc đồ với phối màu sao cho phù hợp.
Thứ 2 là mn cho em xin địa chỉ của vài shop bán quần áo đẹp với uy tín với ạ. 
Thứ 3 là mặc em tròn lắm, má cao, nọng. Nên cắt kiểu tóc như nào cho phù hợp ạ.
Thứ 4, là môi em dày và hơi thâm. Nên lựa son màu gì và cách đánh như thế nào.
Thứ 5, là mn tư vấn giúp nước hoa nào tầm giá học sinh, mùi dịu nhẹ không quá nồng thích hợp cho đi học ạ. Bởi vì cơ địa em hay ra mồ hôi nên khá là tự ti.
Con gái mà bao nhiêu cái xấu nó dồn vô người rồi nên khổ lắm mn ạ. Kiểu lúc nhỏ em không để ý gì lắm nên chưa có kinh nghiệm gì cả. Bây giờ đi học đại học r nhìn lại mới thấy mình có nhiều vấn đề. Mong mn tư vấn.</t>
  </si>
  <si>
    <t>2019-12-19 15:13:20</t>
  </si>
  <si>
    <t>Nguyễn Trần Thiên Minh</t>
  </si>
  <si>
    <t>100022269803970</t>
  </si>
  <si>
    <t>#trimuntham #tannhang
E bị mụn với tàn nhang nữa. Ai có cách nào cải thiện da giúp e với tết đến nơi r😭
E thử nhiều phương pháp mà k khá nổi, ra đường ai cũng hỏi tự ti quá ạ ( có cách nào dùng sp thiên nhiên càng tốt ạ)</t>
  </si>
  <si>
    <t>2019-12-22 05:13:05</t>
  </si>
  <si>
    <t>Quỳnh Helen</t>
  </si>
  <si>
    <t>100007539572212</t>
  </si>
  <si>
    <t xml:space="preserve">#tannhang #trimuntham </t>
  </si>
  <si>
    <t>#ask #tonersimple
Mọi người cho em hỏi chai nào là auth vậy ạ, em mua toner ở hai nơi khác nhau, vừa nhận hàng và đem ra so sánh thì hoang mang thực sự😢</t>
  </si>
  <si>
    <t>2019-11-25 08:32:09</t>
  </si>
  <si>
    <t>Jennie San</t>
  </si>
  <si>
    <t>100025940918916</t>
  </si>
  <si>
    <t xml:space="preserve">#tonersimple #ask </t>
  </si>
  <si>
    <t>Bị thâm và bị sẹo lồi như thế này thì làm sao để hết ạ. Mình bị ngã xe hồi tháng 5. Bạn nài giúp mình với</t>
  </si>
  <si>
    <t>2019-12-13 14:31:27</t>
  </si>
  <si>
    <t>100009147436644</t>
  </si>
  <si>
    <t>#review #dadaumun #kemduong #neutrogena #naturie 
Da mình là da hh thiên dầu có mụn ẩn
•dưỡng neutrogena hydro boost water gel. 
Sau khi tìm hiểu rất nhiều review của mn trong group có rất nhiều ý kiến trái chiều, người khen mướt da, ng chê bí da, bị nổi mụn ẩn,...Nghe thì thấy hoang mang nhưng mình vẫn đánh liều mua xem sao. Ngay từ lần đầu sd thì quả thật đúng là da vô cùng mướt mườn mượt và khô ráo nhanh nữa,mùi nhẹ ( mình thấy thế), tuy nhiên thì nó k thể kiềm dầu được như lời qc đâu, nhưng cấp nước mùa hè thì vẫn ok, mình ở Sg thì ko có mùa đông nên ko biết sao . Nhưng đêm mình nằm máy lạnh thì sáng mai dậy thấy da khô ráo , hôm nào ko máy lạnh sáng dậy mặt hơi bóng . Mình sd mấy lọ rồi,đủ các bản xuất xứ từ Anh, Pháp,.. các bạn phân vân vì nó có silicon thì có thể ko xài nếu bạn nào dị ứng . Còn đối vs mình silicon ko xi nhê nên hiện tại mình vẫn dùng . 
Chấm điểm : 8,5/10 
•Tiếp theo là kem dưỡng Naturie skin conditioning gel. 
Thấy nhiều ng khen là làm sáng da, làm dịu viêm mụn, cải thiện thâm mụn.Thẩm thấu nhanh, không hề gây cảm giác dính, bí. Sản phẩm không chứa cồn, hương liệu, chất tạo màu, không gây kích ứng da. Mình sd lần đầu thấy thấm lâu hơn em Neu trên. Đợi mãi mới khô, chưa thấy cảm giác gì. Ngoài cái hủ to oạch bao lợi thì mình thấy nó khó thấm , mặt cứ bóng nhẫy lên và đối vs da mình hổng có miếng tác dụng ji trơn . 
Chấm điểm: 2/10, vớt vát vì còn bôi vào tay được</t>
  </si>
  <si>
    <t>2019-10-16 01:05:13</t>
  </si>
  <si>
    <t>Stdupont Việt Nam</t>
  </si>
  <si>
    <t>100039544973937</t>
  </si>
  <si>
    <t xml:space="preserve">#naturie #neutrogena #kemduong #dadaumun #review </t>
  </si>
  <si>
    <t>1,Xin 1 phương pháp trị tàn nhang hiệu quả và da mặt nâng tone ạ.Dạo nay e thức đêm nhiều bị xuất hiện tàn nhang và da sạm 
Đã ai dùng beicos chưa ạ!!! Có giúp da sáng lên k ạ
2,e muốn hỏi về việc cắt mí, mí mắt của e bị sụp nhẹ khiến  măt to mắt nhỏ,có phải do cơ mi yếu k ạ,phải tiểu phẩu    gì ko hay chỉ cắt cắt mí xong là mắt đều nhau a
Tiện cho e xin địa chỉ cắt mí mắt uy tín giá cả phải chăng ở hanoi ạ</t>
  </si>
  <si>
    <t>2019-11-17 02:35:16</t>
  </si>
  <si>
    <t>Nguyễn Thanh Tâm</t>
  </si>
  <si>
    <t>100004288841938</t>
  </si>
  <si>
    <t>Em bị nám mảng như trong hình, mới bị chắc tầm một năm đổ lại, e có xài kcn kĩ nhưng do stress nên ngày càng đậm, bắt đầu xuất hiện ở nữa mặt còn lại rồi ạ 😭 có sản phẩm nào trị nám kh ạ...
E tham khảo trị liệu spa toàn mười mấy 20tr thôi😭😭😭
#ask
#nám</t>
  </si>
  <si>
    <t>2019-11-15 13:05:16</t>
  </si>
  <si>
    <t>Nguyễn Lâm Thúy Hằng</t>
  </si>
  <si>
    <t>100028068753362</t>
  </si>
  <si>
    <t xml:space="preserve">#nám #ask </t>
  </si>
  <si>
    <t xml:space="preserve"> #munan
Tha thiết được ad duyệt bài , tết nhất đến nơi em vã lắm ròi 😭 Đây là tình trạng da em hiện tại , sần sùi , em chẳng biết là mụn gì nhưng soi dưới ánh sáng nhìn rất khó chịu và mất thẩm mĩ, vì không viêm nên em nghĩ là mụn ẩn, ảnh em vừa chụp lắm tắm ra , da em hơi dầu 1 xíu ở mũi và trán thôi, và siêu nhạy cảmm, trước em dùng tẩy trang garnier với srm hada labo xong bị break out nổi mụn như này từ đấy lên giờ, em vẫn chưa tìm được chu trình skincare hợp lí , mong mọi người giúp em với ạ. 
Em cảm ơnn</t>
  </si>
  <si>
    <t>2019-12-23 12:21:41</t>
  </si>
  <si>
    <t>Mộc Di</t>
  </si>
  <si>
    <t>100014057404554</t>
  </si>
  <si>
    <t xml:space="preserve">#munan  </t>
  </si>
  <si>
    <t>#trimun #thammun #mun
Mọi người ơi giúp em với ạ, em 17 tuổi bị mụn dậy thì từ năm lớp 6 đến tận bây giờ
Trên mặt e bây giờ có đủ thể loại mụn:mụn sưng viêm, mụn ẩn, mụn trứng cá, và rất nhiều thâm mụn
Cách đây 6 tháng em có đi khám da lieu và có uống iso nhưng sau khi tìm hiểu thì em ngừng vì lo sợ tác dụng phụ.
Hiện tại em chỉ đang dùng sữa rửa mặt senka thôi ạ
Hy vọng các chị có thể tư vấn giúp e thoát khỏi những em mụn đáng ghét với. Em cảm ơn</t>
  </si>
  <si>
    <t>2019-12-01 11:12:33</t>
  </si>
  <si>
    <t xml:space="preserve">#mun #thammun #trimun </t>
  </si>
  <si>
    <t>mụn ntn thỳ lam tn m.n ơi e đag dùg srm celtaphin.vs thuôc bôi yoteen ạ</t>
  </si>
  <si>
    <t>2019-12-23 07:55:42</t>
  </si>
  <si>
    <t>HồNg Bi</t>
  </si>
  <si>
    <t>100006834526877</t>
  </si>
  <si>
    <t xml:space="preserve">
#eyebrowns
#ask
#help
Em là nam nên thiệt sự rất gato với những ng mà có lông mày rậm đen dày 
Đầu tiên là đẹp, menly và dễ chỉnh sửa nếu thích
Nhưng đời ko như là mơ 
Em đc ban cho 1 cặp lông mày nhạt toẹt (ko phải là ko thấy nhưng mà vẫn ko ưng mắt)
Nên em muốn hỏi là ngoài dầu dừa, dầu olive, ... (Em đều dùng cả r, ko tiến triển mấy) có 1 sản phẩm nào có chức năng kích mọc lông mày an toàn ko ạ</t>
  </si>
  <si>
    <t>2019-09-20 13:11:08</t>
  </si>
  <si>
    <t>Nhân Nguyễn</t>
  </si>
  <si>
    <t>100011975717606</t>
  </si>
  <si>
    <t xml:space="preserve">#help #ask #eyebrowns </t>
  </si>
  <si>
    <t>Chào mọi người ạ. 
Da mặt em khô và thuộc dạng da dầu đặc biệt là rất dễ dị ứng và nhạy cảm thái quá luôn ạ,  em sử dụng dưa leo đắp mặt nạ hay sữa chua đều bị ngứa,  Đi ra ngoài trời gặp gió hay nước mưa vào mặt cũng ngứa ạ,  
Vào mùa lạnh này da em khô hơn nhiều và bị mụn lẫn thâm ,
Em làm việc cả ngày nên uống nước rất ít ạ(,  (có khi cả 24 tiếng thì em chỉ uống được 500ml nước thôi vì môi trường làm việc khép kín nên ra chỗ uống nước rất xa).  mọi người ai biết sản phẩm nào giúp em cải thiện da với ạ,  sắp tết rồi mà thấy cái mặt nản lòng quá ạ 
Tiện thể cho em xin loại sản phẩm nào làm trắng da toàn thân luôn với ạ 
Cảm ơn ad và mọi người nhiều ❤</t>
  </si>
  <si>
    <t>2019-12-06 02:58:42</t>
  </si>
  <si>
    <t>Lucky Moon Lucky Moon</t>
  </si>
  <si>
    <t>100028407129261</t>
  </si>
  <si>
    <t>#nhuomtoc  #nhuomkhongtay  #tocnhuom gần tết rồi nên em muốn nhuộm tóc màu hồng. Nhưng tóc em yêu không tẩy tóc được. mn có thể cho biết màu hồng tím thì không tẩy tóc lên màu rõ không hay nhuộm xong không ra màu luôn 😢</t>
  </si>
  <si>
    <t>2019-11-21 08:47:20</t>
  </si>
  <si>
    <t>Bay Bay</t>
  </si>
  <si>
    <t>100038139563742</t>
  </si>
  <si>
    <t xml:space="preserve">#tocnhuom #nhuomkhongtay #nhuomtoc </t>
  </si>
  <si>
    <t xml:space="preserve">Mẹ Em gần 40t. Mà da bị nám như vậy. Mấy chị nào biết sử dụng gì cho nó đỡ sạm kh ạ?
#help </t>
  </si>
  <si>
    <t>2019-09-08 04:51:06</t>
  </si>
  <si>
    <t>Bích Trân</t>
  </si>
  <si>
    <t>100011096974162</t>
  </si>
  <si>
    <t>#review #hair
Chào các chị nha, nay e rảnh nên viết một bài review dầu gội đầu cho mn tham khảo. Đợt trước e bị rụng tóc sau sinh hói cả hai bên trán thấy rõ da đầu luôn nên cũng hoảng loạn Tìm sản phẩm nào tốt để hỗ trợ. Em tìm đủ các kiểu nào xịt bưởi, ủ bơ, dầu gội bồ kết các thứ nhưng ngặt nổi giá toàn 6-700k thì e thật sự ko có điều kiện với cả ko đủ kiên nhẫn với siêng ủ tóc, bôi bôi chét chét nên e tạt dô siêu thị, lựa 80 vòng rồi cũng quyết định lấy loại này để gội thử ( giá cũng chưa đến 200 mà dùng được cả tháng) . Kết quả thì mới gội được tuần đầu tóc e giảm rụng hoàn toàn và rõ rệt luôn. Chỉ sử dụng dầu gội và típ dầu xả như hình e ko dưỡng ko xịt một cái j thêm. Tóc con thì mọc lổm chổm cứ tưởng bị đứt tóc nhưng thật ra là tóc baby mới lên 😆  các chị muốn tóc nhanh dài giảm rụng thì sử dụng thử loại này nha. Riêng e thì thấy nó thiệt sự tốt, ko gây ngứa, ko sinh gàu luôn 👍🏻</t>
  </si>
  <si>
    <t>2019-10-09 06:59:34</t>
  </si>
  <si>
    <t>Duyên Mỹ</t>
  </si>
  <si>
    <t>100006496391307</t>
  </si>
  <si>
    <t xml:space="preserve">#hair #review </t>
  </si>
  <si>
    <t xml:space="preserve">
#tưvấn
#hongnhuhoa
Chào các chị em! Em muốn hỏi về việc làm hồng nhũ hoa.
Chuyện là em từ lúc dậy thì đến h nhũ hoa k hồng mà hơi thâm thâm, kể cả em chưa từng qhtd và cũng k sờ vào đấy nhiều hic.
Em muốn hỏi các c cách làm hồng nhũ hoa an toàn, tự nhiên ạ =)) Tại giờ e cx có ny rồi mà em sợ nó vạch ra thấy hai hạt đậu thâm thì tắt cả nứng =(((
Cảm ơn các c nhiều!</t>
  </si>
  <si>
    <t>2019-05-22 12:59:24</t>
  </si>
  <si>
    <t>Zin Zin</t>
  </si>
  <si>
    <t>100024599151644</t>
  </si>
  <si>
    <t xml:space="preserve">#hongnhuhoa #tưvấn </t>
  </si>
  <si>
    <t>Mn có thể chia sẽ cho minh cách tri mụn nội tiết không
 Từ ngay sinh e bé da minh hay nổi mun nhỏ li ti những minh nay thường rất ngứa 
 Help giup minh</t>
  </si>
  <si>
    <t>2019-11-28 13:37:36</t>
  </si>
  <si>
    <t>Su ChUu</t>
  </si>
  <si>
    <t>100008150762648</t>
  </si>
  <si>
    <t>Mn ai xài sản phẩm trị mụn này cho e review với ạ.
Mong ad duyệt bài. Cảm ơn mn
#mụn
Hay có loại trị mụn nào hiệu quả chỉ e với ak.</t>
  </si>
  <si>
    <t>2019-11-30 04:46:28</t>
  </si>
  <si>
    <t>Huyền Phan</t>
  </si>
  <si>
    <t>100005155966193</t>
  </si>
  <si>
    <t>#đẹpchanhxa
#help
Em chào ace trong hội ạ. Chuyện là em đang dùng serum mai thảo mộc mix saffron. Em dùng cũng đc 3 lọ mà nay đọc cmt trong hội mới biết thứ là trộn và hỏng da. Bây giờ em đang hoang mang nên em tính vứt lọ đang dùng nhưng em đang sợ khi em ngừng sd da mặt em bắt đầu có dấu hiệu tróc này nọ abc. Các chị cho em lời khuyên với ạ.
Mong ad duyệt ạ.</t>
  </si>
  <si>
    <t>2019-06-16 06:41:17</t>
  </si>
  <si>
    <t>Kiều My</t>
  </si>
  <si>
    <t>100021313372088</t>
  </si>
  <si>
    <t xml:space="preserve">#help #đẹpchanhxa </t>
  </si>
  <si>
    <t>#kemchongnang
Mình xin review 1 số loại kem chống nắng cho da khô dễ nổi mụn với !
Tốt nhất là loại nào của châu Âu ạ! 
Cảm ơn mọi người nhé!</t>
  </si>
  <si>
    <t>2019-10-22 13:07:46</t>
  </si>
  <si>
    <t>Alissa Ita</t>
  </si>
  <si>
    <t>100004827707025</t>
  </si>
  <si>
    <t xml:space="preserve">#kemchongnang </t>
  </si>
  <si>
    <t>[ Chuyện ria mép của con gái ] 
 Thật ra, khi skincare hay chăm sóc da mặt, em không quá để ý đến ria mép của mình. Khoảng thời gian trước, em có nhận thấy ria mép mình đậm màu hơn một chút nhưng rồi em quên bẵng đi mất. Mãi đến hôm nay, tự ngồi xem lại mới nhận ra nó mọc còn dài, đậm màu hơn nữa chứ. Thế có nhục không 😞 
“Ria mép thực chất là "hiện thân" của chứng tăng lông ở XX, với biểu hiện mọc nhiều lông bất thường ở mép, ngoài ra còn có ở gò má, ngực, tay chân... “ 
Em nghĩ nhiều chị em trong hội cũng gặp tình trạng tương tự như em nên hôm nay em quyết lên bài hỏi mọi người làm sao để diệt đám ria mép đáng ghét này ạ? Em search thì có thể dùng cách wax ( Chị Giang ơi cũng có 1 video rồi nhưng loại chị ấy dùng rất khó tìm) 
Mọi người giúp em với ạ ❤️ 
#riamep #tips</t>
  </si>
  <si>
    <t>2019-05-16 01:50:39</t>
  </si>
  <si>
    <t>Victoria Nguyễn</t>
  </si>
  <si>
    <t>100035130425488</t>
  </si>
  <si>
    <t xml:space="preserve">#tips #riamep </t>
  </si>
  <si>
    <t>Em định đi tắm trắng mọi người ai đã từng tắm cho em ý kiến với ạ</t>
  </si>
  <si>
    <t>2019-12-20 13:33:09</t>
  </si>
  <si>
    <t>Chi Lan</t>
  </si>
  <si>
    <t>100040773412894</t>
  </si>
  <si>
    <t>#ThịMuối 
Hê lổ~~~ Muối lại mặn rồi đây~~~
Mùa tiệc tùng sát nút rồi và đây là hai cách make up với son đỏ phù hợp quẩy các loại, quẩy nhẹ quẩy mạnh quẩy sương sương quẩy lồng lộn đều ok nha ❤️</t>
  </si>
  <si>
    <t>2019-12-06 13:24:29</t>
  </si>
  <si>
    <t xml:space="preserve">#ThịMuối </t>
  </si>
  <si>
    <t xml:space="preserve">
#help
Mình muốn nhờ chị em trong hội tư vấn giúp mình kiểu tóc xoăn xù mì nhưng mà kiểu xoăn có trật tự, theo từng lớp như của Nhã Phương trong ảnh, mình có hỏi salon hay làm cho mình thì chú ấy bảo làm kiểu này phải mua thêm chai giữ nếp tóc xoăn thì nó mới vào nếp được ko thôi nó bị xơ, như vậy thì mình thấy cũng ok, nhưng hôm trước mình có thấy vài trường hợp các bạn nói là dùng chai giữ nếp tóc xoăn cũng ko ăn thua, nó vẫn xơ và ko đẹp như lúc mới ở salon về, có bạn nào có kinh nghiệm gì tư vấn giúp mình nhé  
Mong ad duyệt bài giúp mình nhé!</t>
  </si>
  <si>
    <t>2019-08-01 04:30:13</t>
  </si>
  <si>
    <t>My Le</t>
  </si>
  <si>
    <t>100004083576368</t>
  </si>
  <si>
    <t>#helpme #trimunviem
Mấy chị ơi tư vấn giúp e với ạ
Da e từng dính kem trộn cách đây 3 năm và một phần do nội tiết nữa ạ,trước lúc dùng kem trộn e k hề có mụn, khoảng thời gian dính kem trộn e stress với do việc học thức khuya quen nên giờ mặc dù cố gắng nhưng e k thể nào ngủ sớm đc.
Em đã từng đi da liễu nhưng hết thuốc lại lên mụn, e cũng theo liệu trình spa nhưng ngưng 1 thời gian thì mụn lại lên , cứ chữa 1 thời gian mặt nhẵn xong sau đó lại nổi mụn tiếp. Thời gian trước e bị mụn nang, viêm đỏ k có nhân cứ nổi rồi lại tịt xong vài ngày nó lại nổi đúng chỗ đó. Dạo gần đây e bị thêm mụn ẩn xong sau thành mụn viêm có đầu trắng. Và giờ mặt e có vài vết sẹo rỗ rồi ạ huhuuu 
Em có dùng tẩy trang, srm, đắp mặt nạ ngũ hoa hạt, dùng bộ mĩ phẩm dưỡng của hàn, trước đó e dưỡng bộ này da cũng gọi là tạm ổn, nhưng 1 thời gian gần đây do toàn phải thức khuya đến 2 3h sáng mụn tự nhiên đẩy lên ồ ạt nên e có dừng k dưỡng nữa chỉ tẩy trang, srm, thỉnh thoảng đắp nạ 
Bây giờ e nên làm gì với cái mặt e ạ, e stress quá , mấy năm rồi mặt lúc nào cũng có mụn e ngại giao tiếp với mọi người luôn 😓
Em thấy mọi người review kem chấm mụn viêm klenzit-C ok e định mua dùng, và e cần phải làm thêm những gì xin mọi người ai từng bị giống e cho e lời khuyên với ạ</t>
  </si>
  <si>
    <t>2019-10-23 04:10:39</t>
  </si>
  <si>
    <t>Khanh Ly</t>
  </si>
  <si>
    <t>100004249486079</t>
  </si>
  <si>
    <t xml:space="preserve">#trimunviem #helpme </t>
  </si>
  <si>
    <t>#ask #review #kcn 
E đăng nhiều lần rồi mà chưa bao giờ được duyệt. Mong lần này được!
Cả nhà tư vấn cho e 1 loại kcn cho da hh thiên khô mà không lên tone với ạ. E dùng biore aqua rich thì sau 1h mặt như chảo dầu luôn, còn đóng thành cục nhỏ màu xanh trên mặt nữa. Bôi ở cánh tay thì trơn như bôi mỡ luôn ạ😂 à cả nhà tư vấn cho e serum dùng để thu nhỏ lcl lại và mờ thâm với ạ chứ lcl e to mặc dù da thiên khô ấy ạ.E năm nay mới 17t thôi ạ. E xin cảm ơn ạ</t>
  </si>
  <si>
    <t>2019-08-14 16:45:35</t>
  </si>
  <si>
    <t>100014446062741</t>
  </si>
  <si>
    <t xml:space="preserve">#kcn #review #ask </t>
  </si>
  <si>
    <t>#trimun 
Da mình bị dính thuốc rượu cách đây 1 năm và hậu quả từ đó đến giờ kh dứt . H da mình ra nhiều dầu và mụn như trong ảnh . Này mình chụp vẫn chưa thấy rỏ độ sần với cả mụn ẩn . Hiện tại mình đang xông da 1 tuần 2 lần cùng chanh với sả . Rửa mặt 2 lần 1 ngày với innisfree . Mask đất sét inisfree và naruko =(( nhưng đâu lại vào đấy . Đi khám thì chuẩn đoán là viêm tuyến bã nhờn mình đã uống thuốc nhưng đâu lại vào đấy . Cũng có đi spa lấy nhân mụn nhưng cũng kh ổn =( ( chắc cũng tại spa chuyên môn lấy nhân mụn không tốt ) 
Mình up bài lên đây mong các anh chị em share cho mình vài tips trị mụn . Mình nên và không nên làm gì . Skincare của mình hiện tại có gì bất ổn không =( 
Cảm ơn mnggg</t>
  </si>
  <si>
    <t>2019-10-31 15:14:13</t>
  </si>
  <si>
    <t>Phạm Vũ Duy</t>
  </si>
  <si>
    <t>100009883304759</t>
  </si>
  <si>
    <t xml:space="preserve">
Phương pháp khắc phục gàu mảng lớn bong trên da đầu khi tóc dơ hoặc sau khi nhuộm tóc
Em đã sử dụng nhiều cách organic nhưng không thành công sau khi gội cái dầu gội headandshoulder của Mỹ khoảng 3 lần mảng gàu tự bong ra và hết hẳn luôn! 
Nhưng tóc sẽ hơi khô nên phải ủ xã lại cho tóc mềm - đổi lại tóc sạch sẽ , nhưng phải của Mỹ nhe mấy chị gội hàng vn thì không hết được đâu ạ</t>
  </si>
  <si>
    <t>2019-08-06 13:43:17</t>
  </si>
  <si>
    <t>Nguyễn Tố Lan</t>
  </si>
  <si>
    <t>100004830276097</t>
  </si>
  <si>
    <t>cho em hỏi mọi người khi điêu khắc lông mày về khoảng bao lâu thì nó bong ạ ?  Em cảm ơn ạ ❤️</t>
  </si>
  <si>
    <t>2019-12-03 01:16:17</t>
  </si>
  <si>
    <t>Trangg Quỳnhh</t>
  </si>
  <si>
    <t>100015771817170</t>
  </si>
  <si>
    <t>#ask #redpeel
các chị ơi. da em sau khi tối hôm qua dùng red peel xong sáng dậy thì mặt em như này ạ.
red peel của so natural em dùng khoảng 5 6 lần rồi. lần nào dùng xong da cũng láng mịn và sáng ra cũng k thấy hiện tượng đẩy mụn ít đi mụn đầu đen nhưng vẫn còn.
hôm qua thấy mụn đầu đen vẫn còn hãng khuyên chỉ để 5 7p thôi mà e tham quá e để 15 20p mới đi rửa mặt.
giờ nó ra nông nỗi này thì em phải làm sao ạ? 
em vẫn skincare như thường tối hqua rửa mặt thấy hơi rát. khi apply kem dưỡng ẩm thì càng rát hơn. kem dưỡng ẩm thì e dùng nivea soft hết già nửa lọ rồi k sao hết ạ. sáng ra soi gương thì nó như này ạ.
có phải mua timeless b5 để phục hồi k ạ? hay phải làm gì ạ. 
 e bế tắc quá nên câu chữ đôi chút lủng củng mong anh chị em thông cảm và cho em lời khuyên ạ.</t>
  </si>
  <si>
    <t>2019-08-22 13:11:47</t>
  </si>
  <si>
    <t>Chinh Cu</t>
  </si>
  <si>
    <t>100005074631072</t>
  </si>
  <si>
    <t xml:space="preserve">#redpeel #ask </t>
  </si>
  <si>
    <t>Chuyện là e dự định đi triệt lông chân 🤣
Giá thì tầm 1tr4 triệt 1/2 chân đã giảm í + Bảo hành 3 năm ạ. Nhưng vấn đề ở đây e ko biết có đảm bảo hết ko rồi khi mọc lại có thưa và tơ như ngta tư vấn ko các chị đã làm cho e xin ý kiến ạ.</t>
  </si>
  <si>
    <t>2019-05-05 02:38:52</t>
  </si>
  <si>
    <t>QNhư Như</t>
  </si>
  <si>
    <t>100024604514062</t>
  </si>
  <si>
    <t>#đẹp_chanh_sả #ask #mụn Chào bạn! Cho mình hỏi mặt bị mụn, thâm nhiều năm nay có chữa dứt được không? Mình rất mất tự tin với khuôn mặt đầy mụn, lúc nào cũng không dám nhìn thẳng mặt người đối diện. Thậm chí ra đường gặp bạn bè của người yêu mình cũng ngại lắm. Lúc nào cũng có cảm giác mọi người soi mói khuôn mặt mình, dẫn đến bị stress trầm trọng. Mỗi lần nhìn người ta da mịn màng trắng trẻo mình lại cảm thấy tủi thân. Mình rất cần một phương pháp chữa mụn thâm dứt điểm nhưng đã sử dụng rất nhiều sản phẩm, bất kể hàng Việt Nam hay hàng nước ngoài. Mình cũng từng đi thẩm mỹ viện, các spa nặn mụn rồi nhưng vẫn không hết. Chân thành cám ơn!</t>
  </si>
  <si>
    <t>2019-11-08 14:52:59</t>
  </si>
  <si>
    <t>Ngoc Tâm Do</t>
  </si>
  <si>
    <t>100038809129844</t>
  </si>
  <si>
    <t xml:space="preserve">#mụn #ask #đẹp_chanh_sả </t>
  </si>
  <si>
    <t>Mong ad duyệt bài!
Các chị ơi tư vấn giúp e với.
Chuyện là vùng kín e bị nổi nhiều mụn thịt dọc 2 môi bé, đi khám bác sĩ bảo bị gai sinh dục, bác sĩ bảo nó ko ảnh hưởng gì có thể đốt bằng tia laze nhưng sẽ để lại sẹo . Giờ e ko biết nên làm thế nào, quan hệ với bạn trai a ấy bảo giống bị bệnh xã hội ý làm e stress lắm ạ. Không biết là có chị nào từng bị như e ko, giúp e đưa ra lời khuyên với. Cảm ơn các chị</t>
  </si>
  <si>
    <t>2019-11-07 04:59:20</t>
  </si>
  <si>
    <t>Trần Ngọc Trà My</t>
  </si>
  <si>
    <t>100029073420760</t>
  </si>
  <si>
    <t>Có lẽ do ngủ không đúng giờ dù hay ngủ bù nhưng quầng thâm vẫn rất đen và rõ. Mới đây mình có tìm hiểu thì biết được thành phần trong các loại mỹ phẩm dành cho mắt có caffein là chất giúp cho mắt bớt thâm, mà mình thấy bã cf vs bã trà là 2 loại có thành phần caffein rẻ và dễ tìm nhất. Tuy nhiên mình chưa có thử mà muốn up lên để hỏi ý kiến mng liệu đắp bã này lên mắt thì có thực sự hiệu quả hay ko và bao lâu thì thấy hiệu quả? Tất nhiên là mình cũng sẽ chỉnh đốn lại việc ngủ rồi</t>
  </si>
  <si>
    <t>2019-11-07 04:57:50</t>
  </si>
  <si>
    <t>Nguyễn Thị Bích Ngọc</t>
  </si>
  <si>
    <t>100006582030931</t>
  </si>
  <si>
    <t>Mọi người có tin đây là tay con gái không ạ ? Vâng, chính xác là tay e đấy. E sinh ra đã có khung xương to , tay to, chân to, e cao lớn hơn các bạn nữ khác ... 🙂 Trong khi mấy đứa con gái cùng lớp mình hạc xương mai , còn e  trừ tóc dài thì trên người không có một tý ưu điểm nào của con gái. Ngay cả ngực cũng được 1 tẹo, nhỏ hơn bth , chắc là chưa úp đủ cái bát 🙂 , không có nhưng cái gọi là đường cong quyến rủ của con gái luôn , bởi vì e hơi béo .Con gái lớp e thường nắm tay e chụp ảnh và lí do chúng nó đưa ra : tay mày giống con trai :3 . Điều này khiến e rất tự ti , luôn có xu hướng giấu tay đi. Chân to thô khiến e luôn phải mặc quần dài , k dám mặc váy . Thiết nghĩ có phải e đã đầu thai nhầm vào thân xác của con trai k ? Có ai giống em không ? Cho e lời khuyên đi 😥</t>
  </si>
  <si>
    <t>2019-09-22 04:06:15</t>
  </si>
  <si>
    <t>Lê Hấp Đường Phèn</t>
  </si>
  <si>
    <t>100038825718049</t>
  </si>
  <si>
    <t>Mẫu môi hot trend năm 2020 😂😂😂 
Ace trong group có máu giống t không
 Nguồn: fb ( không nhớ tên)
Zui zẻ hong quạo nghe mấy bồ :)))</t>
  </si>
  <si>
    <t>2019-11-29 14:26:15</t>
  </si>
  <si>
    <t>Chào mn, trong nhóm có ai từng thêu lông mày chưa ạ! Em muốn thêu vì nghĩ sẽ tự nhiên hơn phun. Mong mọi người tư vấn giúp em ạ!</t>
  </si>
  <si>
    <t>2019-11-27 05:34:18</t>
  </si>
  <si>
    <t>선미</t>
  </si>
  <si>
    <t>100031215998627</t>
  </si>
  <si>
    <t>Trong group mình đã có ai tẩy nốt ruồi chưa ạ !
E đã tẩy được 2 tuần r , nhưng bị sẹo lõm 😥 . E muốn hỏi là cần kiêng ăn với kiêng nước đến khi nào và cách khắc phục sẹo lõm . E trả trên gg thì bảo là bôi mật ong nhưng kb bây giờ đã bôi được chưa ??
Ở dưới là 2 tuýt thuốc e bôi 🙄</t>
  </si>
  <si>
    <t>2019-11-13 11:30:53</t>
  </si>
  <si>
    <t>Thúy Nở</t>
  </si>
  <si>
    <t>100016111335868</t>
  </si>
  <si>
    <t>#ask #help #luna3
Cả nhà ơi mình rơi vào tình huống éo le kinh khủng mà ko biết xử lí như nào
Mình mua luna 3 sau đó đăng nhập App Foreo bằng trực tiếp nick Facebook kích hoạt máy để sử dụng ! Sau khi cài chế độ rung vừa ý thì mình thấy tài khoản Facebook này sử dụng mail yahoo cũ từ 10 năm trước , nên vô lại Facebook bổ sung thêm gmail hiện tại và xoá mail yahoo kia khỏi tài khoản Facebook luôn ! Sau đó mình ko thể điều khiển luna đc nữa , mình có mail nhờ giúp thì đc trả lời đăng nhập tài khoản cũ xoá thiết bị ra và sử dụng tài khoản mới từ đầu 
Nhưng mà tài khoản mình đăng nhập app Fore chỉ duy nhất 1 Facebook , chỉ là mình thêm gmail và xoá mail yahoo đi . Mail yahoo thì mình quên pass từ rất lâu ko cách nào lấy lại đc 
Có bạn nào biết xử lí tình hình trên như nào ko giúp mình với ạ ! Cảm ơn rất nhiều</t>
  </si>
  <si>
    <t>2019-10-21 09:48:10</t>
  </si>
  <si>
    <t>Minh Nguyệt</t>
  </si>
  <si>
    <t>100003280146035</t>
  </si>
  <si>
    <t xml:space="preserve">#luna3 #help #ask </t>
  </si>
  <si>
    <t>ask
Có ai dùng gum này chưa ạ? Cho em xin review với. Có hiệu quả không ạ?</t>
  </si>
  <si>
    <t>2019-11-18 06:35:08</t>
  </si>
  <si>
    <t>Huong Lam</t>
  </si>
  <si>
    <t>100008343185877</t>
  </si>
  <si>
    <t xml:space="preserve">ask </t>
  </si>
  <si>
    <t>#ask #caryophy #damun 
Em vừa mới gia nhập group, để tìm biện pháp trị mụn. Em nói sơ qua tình trạng da của em nó như thế này: Nhiều dầu, mụn u sờ vào thấy cứng và tập trung ở hai vùng má. Hơn nữa, em còn bị thâm do mụn cũ để lại ạ. À, còn mụn ẩn nữa !! Huhu, mặt em như offline của Fanclub "MỤN".
Sau khi tìm hiểu tầm 1 tuần, e thấy review sản phẩm này khá ổn là : Serum Caryophy Portulaca Ampoule (Hàn Quốc)
Chị nào cho em xin thêm cái review em này với ạ ! Cả cách sử dụng nữa
Do chưa có nhiều xiền nên e muốn chọn kĩ kĩ chút
NOTE: Mấy chị bán kem trộn, thuốc bắc, thần dược gia truyền làm ơn tránh xa em raaa ! Em thử ngu 1 lần tin mấy chị r, em méo ngu lần 2 đâu</t>
  </si>
  <si>
    <t>2019-08-10 13:54:50</t>
  </si>
  <si>
    <t>Tâm Đặng</t>
  </si>
  <si>
    <t>100006055545235</t>
  </si>
  <si>
    <t xml:space="preserve">#damun #caryophy #ask </t>
  </si>
  <si>
    <t>Da mặt e như này thì k biết nên dùng loại cushion nào ạ? Da e là da hỗn hợp, dầu vùng chữ T. Mọi người có thể tư vấn giúp e được k ạ?</t>
  </si>
  <si>
    <t>2019-12-17 09:56:11</t>
  </si>
  <si>
    <t>Thao Nguyen</t>
  </si>
  <si>
    <t>100041424979442</t>
  </si>
  <si>
    <t>Mấy mẹ cho em ý kiến về skin care dùng hãng nào có cửa hàng ở việt nam chất lượng ạ? Em xài innisfree chán quá rồi mà ra mấy tiệm buôn mỹ phẩm các loại không yên tâm nguồn gốc có thật k. H thật giả lẫn lộn quá.</t>
  </si>
  <si>
    <t>2019-05-01 18:44:42</t>
  </si>
  <si>
    <t>Đỗ Nhật Quỳnh</t>
  </si>
  <si>
    <t>100005026025637</t>
  </si>
  <si>
    <t>#help #chamsocda
Mong admin duyệt giúp mình ạ. 
Mọi người tư vấn giúp tình trạng da của mình với ạ.
-Mình đang dùng BHA đc 2 để đẩy mụn ẩn thì có được dùng thêm Retinol k ạ? (Mình đang tính mua reti 0.5 của Obagi) và nên xài sáng hay tối ạ?
-Da mình sạm và không đều màu loang lổ như hình thì nên dùng Nia hay vitC để trị thâm và dùng sáng hay tối ạ?
-Da mình bị đỏ thâm chỗ sẹo lõm thì có cách nào cải thiện không ạ? (Ra nắng là nó ửng đỏ lên luôn í với lại vùng cánh mũi của mình bị lộ mạch máu nữa)
-Routine của mình hiện tại:
+Sáng: srm -&gt; toner -&gt; duo+ -&gt; kcn
+Tối: tt -&gt; srm -&gt; toner -&gt; bha -&gt; serum ha+b5 TO -&gt; gel b5</t>
  </si>
  <si>
    <t>2019-12-15 23:50:33</t>
  </si>
  <si>
    <t>Yoshi De Pierce</t>
  </si>
  <si>
    <t>100014578472742</t>
  </si>
  <si>
    <t xml:space="preserve">#chamsocda #help </t>
  </si>
  <si>
    <t>Sờ pa sờ bùng mọc lên như nấm. Ngay cả tiệm làm tóc làm nail cũng có thể tiêm filler thì ghê rồi 😤😤😤
#canhbao
#tiemfiller</t>
  </si>
  <si>
    <t>2019-12-01 00:45:08</t>
  </si>
  <si>
    <t xml:space="preserve">#tiemfiller #canhbao </t>
  </si>
  <si>
    <t>Bc sang cái tuổi băm vằm r mà ko hiểu sao cái mẹt em nó còn nổi mụn biểu tình như kiểu thời dậy thì ngày xưa ấy. Lúc đầu e ngại mụn nên thường xuyên chát kem che khuyết điểm/phấn nước để che, lại tính hay táy máy, nặn nặn, bóp bóp thế là mụn thâm, mụn đỏ đan xen nhau cả mấy tuần nay rồi. Em đã điều trị bằng cách đi làm về là tẩy trang ngay bằng l’oreal, sau đó dùng srm innisfree để làm sạch mặt, rồi chấm củ nghệ tươi vào chỗ mụn nhưng vết thâm ko hết, mụn đỏ vẫn mọc lên. Sốt ruột quá nên từ hôm qua, e chuyển sang bôi kem trị mụn vietlife skincare nano mà chưa thấy xi nhê gì. Mong 500 ce tư vấn giúp.</t>
  </si>
  <si>
    <t>2019-10-19 07:32:51</t>
  </si>
  <si>
    <t>Thiều Bảo Lâm</t>
  </si>
  <si>
    <t>100010265258285</t>
  </si>
  <si>
    <t>#ask #viemdatiepxuc 
Mọi người có ai bị viêm da tiếp xúc chưa ạ? E đi bs chẩn đoán bị viêm da tiếp xúc và bs nói nhẹ thôi chỉ cho thuốc bôi. Mà sau khi bôi hết vài ngày nó lại nổi mụn nước đỏ đỏ như hình ở chỗ khác, rất ngứa. E chỉ bị nổi trên cơ thể k nổi trên mặt ạ, e k biết như vậy có phải bị sán k mà sao nó cứ tái lại. Chị em có ai bị giống e rồi cho e xin kinh nghiệm với ạ 😞 e cám ơn mọi người nhiều.</t>
  </si>
  <si>
    <t>2019-12-07 05:13:20</t>
  </si>
  <si>
    <t xml:space="preserve"> #viemdatiepxuc #ask </t>
  </si>
  <si>
    <t>Mọi người cho mình hỏi cách nào trị mụn ở ngực  với, mình mới bị mọc mà lên quá trời tự ti lắm luôn ,toàn mặc áo cao cổ để che đi. Lưng thì t không có bị không biết tại sao luôn
P/s hình ảnh trên mạng gần giống của mình luôn 
#munngưc
#tưti</t>
  </si>
  <si>
    <t>2019-06-01 06:22:27</t>
  </si>
  <si>
    <t>100007219607186</t>
  </si>
  <si>
    <t xml:space="preserve">#tưti #munngưc </t>
  </si>
  <si>
    <t>Em bị mụn u hay nổi mụn ở mũi và trán 
Em thuộc loại da hỗn hợp thiên dầu. Em năm nay mới 16 tuổi 
2tính dùng 2sản phẩm dưới mọi người cho em biết có hiệu quả ko vs ạ huuhu
Tiện cho em xin loại srm nào phù hợp vs da hỗn hợp vs ạ em 
Em cảm ơn.</t>
  </si>
  <si>
    <t>2019-12-17 14:05:15</t>
  </si>
  <si>
    <t>Trần Quyền</t>
  </si>
  <si>
    <t>100036858039230</t>
  </si>
  <si>
    <t>#chamsocdatoigian
Có bạn nào từng nghe phương pháp chăm sóc da tối giản chưa?
Mình đang thử được tầm 4 tháng rồi, kết quả là da khá lên 1 chút và tiết kiệm được mớ tiền. Phương pháp này giúp hạn chế số lượng skincare hàng ngày chị em mình đắp lên mặt, chỉ là vừa đủ và hợp với từng loại da. Trước mình mua cũng hơi vô tội vạ, sáng 1 loại tối là 1 loại khác. Giờ thì ngoài SRM, TBC thì mình cực thích bộ 3 này.
Có ai dùng phương pháp này chưa? Chia sẻ thêm tip cho mình với</t>
  </si>
  <si>
    <t>2019-11-22 16:52:12</t>
  </si>
  <si>
    <t>100012030525831</t>
  </si>
  <si>
    <t xml:space="preserve">#chamsocdatoigian </t>
  </si>
  <si>
    <t>#đepchanhsa
#ask
#suaruamat
Mọi người ơi cho em hỏi thông tin về sản phẩm này ạ, sữa rửa mặt dạng bọt của Acness ạ, mọi người có ai dùng rồi ko ạ cho em xin review</t>
  </si>
  <si>
    <t>2019-08-07 05:53:40</t>
  </si>
  <si>
    <t>100032185570040</t>
  </si>
  <si>
    <t xml:space="preserve">#suaruamat #ask #đepchanhsa </t>
  </si>
  <si>
    <t>#dakho #mun #ngua
Ad duyệt bài giúp e với ạ. Em khs k được duyệt bài nữa thật sự e đang rất cần mn tư vấn ạ.
Em 19t da em thuộc loại da khô. Cách đây tầm 2 tháng e bắt đầu skincare. Tình trạng da của e khi đó là có ít mụn ẩn trên trán. Quy trình skincare của em là :
- tt senka
- srm hada labo
- toner klairs
- serum rich moist klairs
- lotion hada labo
- cream hada labo
Và đây là tình trạng da hiện tại của em. Hai bên má em bị sưng đỏ, ngứa rát 1 khoảng đấy ạ. Em bị như này khoảng 3 tuần trước. Sau khi e mua thêm serum klairs về dùng thì đỡ được khoảng 1 tuần và giờ lại như thế ạ. E sợ bị break out nên đang ngưng tất cả lại k dùng gì nữa chỉ rửa mặt nước sạch. Mọi người xem giúp em có phải e bị dị ứng do sản phẩm nào k ạ hay da em bị thế nào ạ. Em cảm ơn mn rất nhiều.</t>
  </si>
  <si>
    <t>2019-11-30 15:13:58</t>
  </si>
  <si>
    <t>Đỗ Trà</t>
  </si>
  <si>
    <t>100042158551757</t>
  </si>
  <si>
    <t xml:space="preserve">#ngua #mun #dakho </t>
  </si>
  <si>
    <t>#Help #TonerFresh
Mng ơi.. có ai dùng toner này mà da bị nóng rát như e ko ah?? 
K biết có bị dị ứng không, nhưng e rửa mặt xong rồi dùng toner cảm thấy da nóng và rát một chút, nhưng da rất đẹp, lỗ chân lông se khít và mịn màng hẳn lên luôn.. e k biết do sản phẩm như vậy hay do e dị ứng ạ?</t>
  </si>
  <si>
    <t>2019-08-11 15:55:38</t>
  </si>
  <si>
    <t>Jessie Diep</t>
  </si>
  <si>
    <t>100011056059419</t>
  </si>
  <si>
    <t xml:space="preserve">#TonerFresh #Help </t>
  </si>
  <si>
    <t>Các chị ơi cho em xin cách để giảm cân nhanh đi được không.. khoảng 1 2 tuần mà giảm ngay 5 7kg ấy. Và cách để bắp chân thon gọn lại. Nếu mình ốm lại thì đùi và chân có ốm lại theo không các chị. :(((
Tại vì em chỉ cần gấp để thi thôi chứ không có ý định lâu dài áp dụng cách ép cân đâu mấy chị 😞</t>
  </si>
  <si>
    <t>2019-05-05 12:22:07</t>
  </si>
  <si>
    <t>Nguyễn Thị Kim Ngân</t>
  </si>
  <si>
    <t>100033109390483</t>
  </si>
  <si>
    <t>Ai có thể giúp em với được không ạ, em stress quá huhu. 
Mặt em thuộc da dầu ạ, nhiều ở vùng mũi và chán ạ, sáng dậy là mặt bóng loáng luôn ý ạ
Em là sinh viên năm nhất mới lên Hà Nội ạ. Không hiểu sao mặt em dạo này lên nhiều quá, toàn mụn trắng thôi ạ, và ở mũi có mụn ẩn. Và e tí táy nặn và giờ bi thâm, giờ thấy hối hận quá ạ. Em chưa skin care bao giờ chỉ về rửa mỗi mặt thôi ạ.
Em trước đã sử dụng rượu thuốc và đã ngừng được 1 năm nay ạ 
Mọi người có thể tư vấn cho em sản phẩm và cách skin care được không ạ.
Em cám ơn ạ 😭😭😭😭</t>
  </si>
  <si>
    <t>2019-11-19 03:43:07</t>
  </si>
  <si>
    <t>#review #daugoi_naturalworld
Nay đi làm được ship chai dầu gội tới nên quyết định review luôn. Xài hết 1 chai rồi giờ mua chai nữa nè. Tóc em trước đây duỗi uốn khá nhiều rồi bị chẻ ngọn, bị rụng đầy ra. Có 1 thời gian tưởng bị bệnh vì tóc rụng cả nắm đen xì, mà hóa ra là tại duỗi tóc người ta làm gãy tóc. Mà tóc em mọc cực chậm, cả năm mà dài ra có 1 đoạn thôi, lại còn khô xơ chẻ ngọn. Má em nói cái răng cái tóc là gốc con người mà em ko được răng cũng chả được tóc 😂. Trước đây xài dầu gội dove rồi pantine này kia thấy cũng bình thường ko cải thiện gì hết. Nên em quyết định đầu tư chơi hàng xách tay luôn. Ban đầu em xài chai OGX màu tím thì đúng là tóc đỡ rụng thật, mùi ngọt mà mỗi tội bị khô phải kèm dầu xả. Tuần gội 3-4 lần là lần nào cũng phải kèm dầu xả, có khi bận quá ko kịp xài dầu xả là y như rằng tóc khô queo. Nên thôi em chia tay ogx dù có công dụng thật. Xong đổi qua em natural world này, lúc mua là em đánh liều mua luôn vì tìm ko thấy review. Ai dè xài tốt thật mấy chị ạ. Đúng là ko thơm bằng ogx nhưng bù lại gội xong ko khô dù ko kèm dầu xả. Xài kiên trì hết 1 chai 500ml thì thấy đuôi tóc ko còn chẻ ngọn nữa (em xài kết hợp gội xả của hiệu này luôn), tóc đỡ rụng hơn và quan trọng là tóc e nhìn bóng khỏe hơn. Vẫn chưa thấy giúp dài tóc nhanh nhưng việc đỡ rụng và bóng khỏe là em mừng rồi. Em đang định mua thêm chai dầu dưỡng tóc của hiệu này, để khi nào có xài em sẽ review thêm cho các chị tham khảo. (Hình đuôi tóc em cách đây gần 1 tuần) 
Cảm ơn ad đã duyệt bài</t>
  </si>
  <si>
    <t>2019-05-19 03:38:36</t>
  </si>
  <si>
    <t>Như Quỳnh</t>
  </si>
  <si>
    <t>100006191173124</t>
  </si>
  <si>
    <t xml:space="preserve">#daugoi_naturalworld #review </t>
  </si>
  <si>
    <t>👉Mấy chị cho e hỏi môi e khô thì dùng cách nào cho hết khô,mặt e dạo này nổi mụn rất nhiều làm sao cho hết mụn ạ,e nên đi phẫu thuật thẩm mỹ cắt nhỏ hai cánh mũi k ạ(mấy cô hàng xóm bảo mũi e to lỗ mũi rộng thì ảnh hưởng đến sắc đẹp vx tiền tài lắm tiền vô thì ít ra thì nhiều) e thấy cũng đúng ạ..Mấy chị cho e lời khuyên với ạ✔❤</t>
  </si>
  <si>
    <t>2019-12-09 08:42:42</t>
  </si>
  <si>
    <t>Võ Lê Thanh My</t>
  </si>
  <si>
    <t>100024719708611</t>
  </si>
  <si>
    <t>Mn ở đây có ai mắc chứng bulimia  ( ăn vô độ rồi ói) như em k? E từng  ám ảnh về cân nặng nhưng khi giảm dc thì e bị mắc bệnh này, làm sao để thoát ra đây mong mn chia sẻ kinh nghiệm với ạ, e k đi khám bsi được e k có tgian với k có phương tiện để đi, nói với ba mẹ thì gd kêu ra tiệm thuốc tây để mua thuốc uốn, nhưng vẫn vậy thôi họ chỉ cho e thuốc chống ói. Năm nay năm học cuối cấp 12 rồi e k muốn bị vậy nửa e bị trễ kinh 2 tháng mấy rồi có cách nào khắc phục nó k vậy mn?.</t>
  </si>
  <si>
    <t>2019-12-06 23:49:02</t>
  </si>
  <si>
    <t>Mai Đoàn Anh Thư</t>
  </si>
  <si>
    <t>100009510994980</t>
  </si>
  <si>
    <t>#Gochoi 
Tóc e rụng nhiều quá e đã thử xịt mọc tóc và giàu gội bưởi của thái lan và dầu gội bông bưởi nhưng k ăn thua mn có cách nào giúp em k ạ? 😭😭</t>
  </si>
  <si>
    <t>2019-10-25 15:46:43</t>
  </si>
  <si>
    <t xml:space="preserve">#Gochoi </t>
  </si>
  <si>
    <t>Mọi người ơi cho em hỏi, da em là da dầu e bị mụn gần 10 năm rồi. Mặt em có rất nhiều rỗ, sẹo và thâm, cho em hỏi có cách nào khắc phục không ạ. Em cảm ơn ạ</t>
  </si>
  <si>
    <t>2019-11-26 14:23:44</t>
  </si>
  <si>
    <t>Rùa Xinh</t>
  </si>
  <si>
    <t>100016993383651</t>
  </si>
  <si>
    <t>Chào mọi người.
Da em mới trị mụn xong, da đang yếu, và khô.
Hiện tại e k dùng gì hết, sữa rữa mặt cũng k luôn.
M.n có kinh nghiệm, giúp e tìm loại dưỡng ẩm nào ok với ạ. 
Và loại kem nào dưỡng trắng da luôn  ạ.
Em cảm ơn.</t>
  </si>
  <si>
    <t>2019-12-22 09:39:00</t>
  </si>
  <si>
    <t>Hồ Thu Hường</t>
  </si>
  <si>
    <t>100005998932202</t>
  </si>
  <si>
    <t xml:space="preserve">Mọi người ơi, da em thuộc dạng hỗn hợp thiên dầu tí, có vài khuyết điểm như thâm và lcl khá to, vài nốt sẹo lòm nữa á😭😭. Em muốn lựa chọn 1 loại sản phẩm có thể make up sơ sài khi em cần đi dự các tiệc quan trọng á. Em nên dùng kem lót, kem nền, cushion, hay loại nào ạ, mấy chị tư vấn giúp em kèm tên sản phẩm nhe, à em tính mame up đơn giản kiểu như dùng son làm phấn mắt phấn má luôn á. Em cám ơn ạ
#makeup
</t>
  </si>
  <si>
    <t>2019-12-13 00:03:16</t>
  </si>
  <si>
    <t>Khanh Anh</t>
  </si>
  <si>
    <t>100026181281761</t>
  </si>
  <si>
    <t xml:space="preserve">Mọi người cho em hỏi mặt em hơi dài và gầy thì để kiểu này có hợp k ạ 
Sẵn tiện mọi người cho em hỏi kiểu tóc trong ảnh là kiểu gì vậy ạ và gợi ý cho em vài kiểu hợp với mặt em được k ạ 
Em cảm ơn ạ 
#Toc </t>
  </si>
  <si>
    <t>2019-12-01 02:56:36</t>
  </si>
  <si>
    <t>Đặng Trang</t>
  </si>
  <si>
    <t>100022241330922</t>
  </si>
  <si>
    <t xml:space="preserve">#Toc </t>
  </si>
  <si>
    <t>Mọi người cho mình hỏi da mình thuộc dạng dễ bị mụn nhưng hiện tại thì cũng đã đỡ nhiều rồi chỉ còn thâm . Mình đang muốn da nó phục hồi thì mình nên xài loại nào ok hơn ạh ???? Cần lắm những review của mấy bạn da dễ lên mụn</t>
  </si>
  <si>
    <t>2019-11-02 09:31:46</t>
  </si>
  <si>
    <t>Đặng Quang Thái</t>
  </si>
  <si>
    <t>100009132033316</t>
  </si>
  <si>
    <t>Tình trạng da của mình rất tệ bề mặt thô ráp nhiều mụn ẩn mụn đầu đen thỉnh thoảng còn lên rất nhiều  mụn nội tiết khắp vùng cằm 😓
Có cách nào khắc phục được k, mình có đang sử dụng viên uống mụn và chống nắng của murad, vitamin C , E và dầu cá của amway thấy cũng cải thiện nhưng rất chậm. Mỹ phẩm thì mình dùng bộ trị mụn cũng của murad nhưng da khá khô vào mùa đông bị tróc vẩy.</t>
  </si>
  <si>
    <t>2019-11-10 08:08:30</t>
  </si>
  <si>
    <t>Trần Thị Hoàn</t>
  </si>
  <si>
    <t>100004935844597</t>
  </si>
  <si>
    <t xml:space="preserve">
#help
#vungnhaycam
Mong ad duyệt giúp em 😭😭😭
Vùng kín như thế này gọi là bị gì ạ, nguyên nhân làm sao bị và khắc phục thế nào vậy mọi người ơi😭😭
Đó giờ em không thấy vấn đề gì nhưng giờ mới phát hiện hình như không bình thường mới tá hoả lên mà không biết hỏi ai luôn
Hình minh họa hơi ghê một chút ạ 😭
Edit: Em không ngờ được duyệt nhanh vậy nên khi mở fb thì khá choáng vì tương tác nhiều quá 😅 Cám ơn ad đã duyệt bài nhanh chóng để em bớt lo, cám ơn các anh chị đã cho lời khuyên nhiều nhiều ❤</t>
  </si>
  <si>
    <t>2019-10-28 15:02:13</t>
  </si>
  <si>
    <t xml:space="preserve">#vungnhaycam #help </t>
  </si>
  <si>
    <t>#ask #help 
Hello mng!!
Cho mình hỏi mình mới đặt timeless b5 ở Bossthoitrang84(sonauth) nhưng hoang mang là 
mới để ý thấy dòng contains trên mạng &lt;hình bên trái&gt; là water, hyaluronic acid, vitamin b5 
Còn &lt;hình bên phải&gt; mình đặt của shop sonauth-bossthoitrang nhưng dòng contains bị đảo ngược là vitaminb5,hyaluronic acid 
Có phải fake không ạ? Hay là hãng đổi vỏ ạ?</t>
  </si>
  <si>
    <t>2019-08-18 09:01:09</t>
  </si>
  <si>
    <t>Nguyễn Phương Mai</t>
  </si>
  <si>
    <t>100013252080210</t>
  </si>
  <si>
    <t>Hi mọi người mình sn97. Đó giờ mình chưa từng nhuộm tóc vì mình thích tóc đen. Nhưng năm nay mình muốn thay đổi 1 tí mình muốn nhuộm nâu tây . Có ai nhuộm màu này rồi cho mình biết màu có dễ bay k ạ? Và khi mọc tóc đen ra thì 2 màu tóc có bị chọi nhau k? ( vì tóc mình di truyền là loại tóc quăn xù nên năm nào cũng đi duỗi mình sợ nhuộm rồi tóc ra vừa quăn vừa đen thì bị chọi) . Hoặc có ai nhuộm màu nào rồi cảm thấy đẹp có thể share với mình đc k ạ? . Màu nào trầm trầm tí nha mọi người . Sẵn cho mình xin vài tips dưỡng tóc khi nhuộm để k bị khô và xơ nhiều với! Mình nghe nói nhuộm rồi gội đầu ra sẽ bị rít rít không biết đúng không. Mong bài mình được duyệt và được mọi người cho ý kiến. Mình xin cảm ơn!</t>
  </si>
  <si>
    <t>2019-12-23 03:36:18</t>
  </si>
  <si>
    <t>Phương Trang</t>
  </si>
  <si>
    <t>100041007169728</t>
  </si>
  <si>
    <t>Chào mọi người,
Em năm nay 19 tuổi, nhỏ giờ e chưa sài qua bất cứ loại mỹ phẩm nào. Chỉ sài sữa rửa mặt của X-men. Nhưng sao mặt rất nhiều mụn và thâm mụn :(( Da em là loại da dầu mụn ạ.
Xưa giờ không để ý bề ngoài lắm, sắp tết rồi mới thấy da dẻ mình kinh quá. Mọi người có thể giúp em trị mụn và thâm không ạ :((
Thực sự ra đường rất tự ti 😪
Xin cảm ơn mọi người rất nhiều.</t>
  </si>
  <si>
    <t>2019-12-18 13:47:40</t>
  </si>
  <si>
    <t>Vương Sa Vệ</t>
  </si>
  <si>
    <t>100003068217237</t>
  </si>
  <si>
    <t>#xinreview  
chị em nào đã xài vaseline Thái này chưa ạ? có trắng sáng tí nào ko mn ơi 😋</t>
  </si>
  <si>
    <t>2019-09-27 15:40:03</t>
  </si>
  <si>
    <t>Quỳnh</t>
  </si>
  <si>
    <t>100001623745067</t>
  </si>
  <si>
    <t>Mọi người cho e lời khuyên với ạ
Da e thuộc dạnh cực kì nhiều dầu ,tự nhiên mùa  đông da khô bong cả vẩy 
Em sử dụng srm lachoposay càng khô hơn .Giờ e đang hết srm e muốn đổi sang loại khác nhưng ko biết chọn loạii dành cho da dầu hay cho da khô bâyh ạ.Mọi người giúp e với</t>
  </si>
  <si>
    <t>2019-11-10 08:10:53</t>
  </si>
  <si>
    <t>Va Nguyễn</t>
  </si>
  <si>
    <t>100018823416388</t>
  </si>
  <si>
    <t>Mọi người cho em hỏi . Hôm trước em bị mụn mủ ở tay rồi em nặng ra nhưng toàn nước , hôm sau em tưởng lành không thấy dấu hiệu gì , vài hôm sau em thấy nó lại lên mủ trắng và lây thêm chổ khác . Mụn này có cảm giác đau rát và nhức . Giúp em với ạ</t>
  </si>
  <si>
    <t>2019-12-17 05:46:32</t>
  </si>
  <si>
    <t>Phương Văn</t>
  </si>
  <si>
    <t>100043875649260</t>
  </si>
  <si>
    <t>Ac cho e hỏi da liễu nào tốt uy tín vậy ạ ??
Em cảm ơn ❤️</t>
  </si>
  <si>
    <t>2019-12-09 14:39:47</t>
  </si>
  <si>
    <t>Hồng Như</t>
  </si>
  <si>
    <t>100012050774815</t>
  </si>
  <si>
    <t>Cho em hỏi da mặt khô mỏng thấy mạch máu thj lm s đây mn</t>
  </si>
  <si>
    <t>2019-11-26 14:22:51</t>
  </si>
  <si>
    <t>Nga Nga</t>
  </si>
  <si>
    <t>100009423044649</t>
  </si>
  <si>
    <t xml:space="preserve">
#muntham
Tại trog gr có người quen nên em xin dùg acc clone . Em xin tips trị thâm vs ạ sẵn cho em hỏi bị dính rượu thuốc thì phục hồi ntn ạ ?</t>
  </si>
  <si>
    <t>2019-11-29 12:47:29</t>
  </si>
  <si>
    <t>Hoàng Nguyễn</t>
  </si>
  <si>
    <t>100011715291007</t>
  </si>
  <si>
    <t xml:space="preserve">#muntham </t>
  </si>
  <si>
    <t>#đepchanhsa
#ask
#khẩncấp. 
Đây là bộ skin e đang dùng trong 1 tháng qua
1 tháng trước da mặt e hầu như k có mụn mà dùng sau 1 tháng thành ra ntn. E stress quá mọi người ơi. 
Nói sơ qua các bước skin của e, e tẩy trang speedy, xong lau nc muối sinh lí,srm nuno, hada, serum, acream, trị sẹo rỗ scar. 1 tuần e xông 2 lần, 15-30 lấy đá cho khăn tay cho lên mặt trườm, xong đắp mặt nạ đất set vedet kia.Thường e sẽ tẩy trang, srm rồi mới sông
Giờ nhìn mặt em n sần như kiểu lcl nào cx có mụn ấy. Đặt biệt chỗ thái dương và chán nhìn sợ lắm ý mn. Kb e đã làm sai bước nào k mà sao giờ cái mặt e n thành ra vậy mn ơi</t>
  </si>
  <si>
    <t>2019-07-29 06:15:15</t>
  </si>
  <si>
    <t>Mai Thanh</t>
  </si>
  <si>
    <t>100005070765890</t>
  </si>
  <si>
    <t xml:space="preserve">#khẩncấp #ask #đepchanhsa </t>
  </si>
  <si>
    <t xml:space="preserve">Có nên dùng bột đậu đỏ để làm trắng body không ạ?, chị nào đã làm rồi cho em xin ít review ạ
#review #tips </t>
  </si>
  <si>
    <t>2019-09-29 05:01:17</t>
  </si>
  <si>
    <t>Huynh Nhat Lan</t>
  </si>
  <si>
    <t>100038674488064</t>
  </si>
  <si>
    <t xml:space="preserve">#tips #review </t>
  </si>
  <si>
    <t>#ask #thâmmôibẩmsinh 
Có cách nào trị thâm môi bẩm sinh không mọi người ơi 
Em không dùng son , chỉ dùng son dưỡng và mặt nạ ngủ Laniege thôi , môi thâm nhìn chán lắm ạ 
Không biết làm sao để cải thiện :((((( Có nên đi phun môi hay khử thâm không ạ
Mọi người giúp em với ạ</t>
  </si>
  <si>
    <t>2019-11-09 01:46:24</t>
  </si>
  <si>
    <t>Thuy Thuy</t>
  </si>
  <si>
    <t>100033827401038</t>
  </si>
  <si>
    <t xml:space="preserve">#thâmmôibẩmsinh #ask </t>
  </si>
  <si>
    <t>Em bị dị ứng mủ xoài xong ngứa điên cả lên không kìm chế dc bản thân nên bh đã thấy hậu quả 😞 cần lắm các cao nhân cho e ý kiến nên dùng trị thâm hay sẹo hay kem gì ạ 😭😭😭sắp đến Tết rôiiiiiii 😭😭😭</t>
  </si>
  <si>
    <t>2019-11-26 14:28:46</t>
  </si>
  <si>
    <t>Thuỳ Linh</t>
  </si>
  <si>
    <t>100008022094867</t>
  </si>
  <si>
    <t xml:space="preserve"> #goctuvan
Có chị nào dùng qua miếng dán ngực tai thỏ này chưa em bầu dùng áo ngực hơi bị khó chịu mà ngực em thì cững thuộc dạng lép chứ ko to dùng loại này thì có ổn không vậy ạ e chỉ cần che nhũ hoa ổn thôi 😂</t>
  </si>
  <si>
    <t>2019-09-08 03:27:27</t>
  </si>
  <si>
    <t>Ly Khánh Trương</t>
  </si>
  <si>
    <t>100025950634694</t>
  </si>
  <si>
    <t xml:space="preserve">#goctuvan  </t>
  </si>
  <si>
    <t>#tăngcân 
Mình cao 1m58, nặng 40kg
Thử nhiều cách rồi mà vẫn k lên kí, có lên cũng chỉ mập bụng :)))) tay chân trơ xương, nhờ mn chỉ dùm mình 1 vài tuýp ăn ún để tăng cân tự nhiên, không dùng thuốc nha</t>
  </si>
  <si>
    <t>2019-12-15 10:38:27</t>
  </si>
  <si>
    <t>Thu Trúc</t>
  </si>
  <si>
    <t>100040557648914</t>
  </si>
  <si>
    <t xml:space="preserve">#tăngcân </t>
  </si>
  <si>
    <t>Mọi người ơi mọi người ơi cho em xin tí review về xoá tàn nhàn ạ, em thanks mọi người nhiều ☺️</t>
  </si>
  <si>
    <t>2019-12-22 09:29:23</t>
  </si>
  <si>
    <t>Lạc Thiên Nhi</t>
  </si>
  <si>
    <t>100009920297255</t>
  </si>
  <si>
    <t>#Help Vì là vấn đề nhạy cảm nên em xin phép dùng nick ảo ạ. 
 Chả là lần trước em có nghịch ngu nên đã cắt ngắn lông ở vùng kín, giờ nó dài ra cứng hơn mà ngứa nữa ạ. Không biết giờ em nên làm gì ạ, chứ em khó chịu quá mà không dám cắt, cũng không dám cạo, sợ nó cứng hơn, hic. 
Có triệt lông mà em thấy có nhiều giá quá, em đang là sinh viên nên cũng ngại vấn đề triệt. Mong các chị chỉ giúp em, em cảm ơn ạ</t>
  </si>
  <si>
    <t>2019-11-22 17:05:15</t>
  </si>
  <si>
    <t>Thi Hà</t>
  </si>
  <si>
    <t>100040819753448</t>
  </si>
  <si>
    <t>Anh chị ơi. Em chuẩn bị đi chụp ảnh cưới mà mắt e cận 3 độ rồi loại 1 độ đều 2 mắt. Liệu có kính áp tròng nào phù hợp với mắt em không ạ. Không đeo kính mắt em cứ lờ đờ dại lắm ý. Help Me !!!!
Mong Ad duyệt bài cho em ạ. huhu!!
#kinhaptrongcan #lens</t>
  </si>
  <si>
    <t>2019-12-12 01:35:24</t>
  </si>
  <si>
    <t>Cao Hong Trang</t>
  </si>
  <si>
    <t>100006879284060</t>
  </si>
  <si>
    <t xml:space="preserve">#lens #kinhaptrongcan </t>
  </si>
  <si>
    <t>#đẹp_chanh_sả #nám #ask
cả nhà ơi!. ngoài laser ra thì có phương pháp trị  nám nào nữa  không vậy?. mình xem #review laser nhưng kết quả đem lại  không khả quan mấy, điều trị xong nám lại "đâu vào đấy", có khi lại   nặng hơn. Mới đây nhất, trên các trang báo chia sẻ chóng mặt sự việc 1 chị   , sau khi thực hiện dịch vụ bắn nám 1 lần duy nhất, da mặt cô chi   chít vết thâm mình thấy hoang mang .   nhà mình ai có cách điều trị an toàn chia sẻ giúp mình với.</t>
  </si>
  <si>
    <t>2019-10-18 11:18:39</t>
  </si>
  <si>
    <t>Thu Thắm</t>
  </si>
  <si>
    <t>100041958168660</t>
  </si>
  <si>
    <t xml:space="preserve">#review #ask #nám #đẹp_chanh_sả </t>
  </si>
  <si>
    <t xml:space="preserve">
#review
#bodymist
Mình đang phân vân giữa 2 mùi này k biết bạn nào xài rồi cho mình xin review với ạ. Nghe nói One in a million thì giống hoa lài mà mình cực thích mùi đấy. Ad duyệt bài giúp mình với ạ</t>
  </si>
  <si>
    <t>2019-05-06 13:29:37</t>
  </si>
  <si>
    <t xml:space="preserve">#bodymist #review </t>
  </si>
  <si>
    <t>#ask #dior 
 Nhờ Mọi người check hộ mình thỏi son dưỡng dior này với ạ. Có ai dùng loại này mà bị dị ứng như mình không? Vì mình nghĩ son dưỡng thì k thể dị ứng được mà dính fake cũng xác suất nhỏ. Vì thỏi này cị mình mua store dior gửi người mang hộ về cho mình. Nên mình nghĩ chắc họ không đổi đồ đâu. Cảm ơn mng</t>
  </si>
  <si>
    <t>2019-12-06 14:58:53</t>
  </si>
  <si>
    <t>Sương Mai</t>
  </si>
  <si>
    <t>100039643486967</t>
  </si>
  <si>
    <t xml:space="preserve">#dior #ask </t>
  </si>
  <si>
    <t xml:space="preserve">
#dưỡngẩm
Mọi người ơi tư vấn giúp em với ạ. Da em thuộc hỗn hợp thiên dầu , bị dầu vùng chữ T khô 2 bên má , em đang muốn tìm một loại kem dưỡng ẩm, em đang dùng Neutrogena nhưng hôm qua vô tình đọc được bài review của 1 chị trong gr , xong đọc cmt của mấy chị ở dưới nữa bảo dùng kem này bị mụn ẩn, k hợp da dầu lắm , bản thân em tự cảm nhận thì cũng thấy đúng vì dùng em cũng có bị mụn ẩn và 2 ,3 cái mụn bọc ở vùng chữ T nên e tạm ngưng luôn ( được cái thích chất kem của hãng này dễ sợ , bôi vào là thấm ngay không bết dính) . Có ai biết kem dưỡng ẩm nào tốt không ạ? Chỉ cho em với 
Mong Ad duyệt bài của em ạ ♥️
Khổ nổi xài bị mụn ẩn vs lâu lâu lên vài cái mụn to mà chỉ bị ở vùg chữ T , vùng má thì k bị gì hết 😭</t>
  </si>
  <si>
    <t>2019-10-21 05:34:05</t>
  </si>
  <si>
    <t>100041342450628</t>
  </si>
  <si>
    <t xml:space="preserve">#dưỡngẩm  </t>
  </si>
  <si>
    <t>Có ai như t không? Tắm bằng cà phê và lần đầu cũng như lần cuối, nó lở loét như t bị ghẻ vậy. Hơn 1 tuần rồi mà chưa hết. T khổ quá mà Help me 😓</t>
  </si>
  <si>
    <t>2019-12-16 15:05:50</t>
  </si>
  <si>
    <t>Dương Thanh Ngân</t>
  </si>
  <si>
    <t>100022022153483</t>
  </si>
  <si>
    <t>#ask#vichy
Da mình là da dầu mụn nhạy cảm, mình dùng sữa rửa mặt vichy và vichy 89 thấy rất ưng. Mình đang phân vân có nên mua kem dưỡng này của vichy không. Bạn nào đã/đang dùng có thể review cho mình 1 chút được không ạ?</t>
  </si>
  <si>
    <t>2019-10-19 16:39:02</t>
  </si>
  <si>
    <t>Mai Dịu</t>
  </si>
  <si>
    <t>100001911113161</t>
  </si>
  <si>
    <t xml:space="preserve">#vichy #ask  </t>
  </si>
  <si>
    <t>Mong AD duyệt bài cho em
Chuyện là em mới bị té xe. Bị tróc mảng da chân như vậy. Em muốn hỏi là nó lành rồi có để lại sẹo không ạ😞
Em cảm ơn mọi người ạ</t>
  </si>
  <si>
    <t>2019-12-06 05:36:54</t>
  </si>
  <si>
    <t>Thanh Tâm</t>
  </si>
  <si>
    <t>100026942272448</t>
  </si>
  <si>
    <t xml:space="preserve">Xin chào mọi người ạ!
Da em đột nhiên dạo này bị khô kinh khủng, sờ lên da không thấy mịn màng mà thấy thô ráp hơn trước. 
Da em là kiểu da hỗn hợp thiên khô. Mùa đông phần má rất khô, mùa hè thì đỡ hơn tí nhưng không thật sự mềm như những vùng khác. Riêng hai bên cánh mũi thì thường có vảy da khô. 
Em muốn dùng kem dưỡng ẩm mọi người tư vấn giúp em với ạ!
Em đang phân vân 3 loại này mọi người cho e xin tí review đi ạ.
#ask </t>
  </si>
  <si>
    <t>2019-08-17 09:34:33</t>
  </si>
  <si>
    <t>Dương Hoàng Trang</t>
  </si>
  <si>
    <t>100004251877542</t>
  </si>
  <si>
    <t>#chiase #niengrang #skincare 
Quả thật không bao giờ hối hận vì niềng răng các mày ạ. 
Sau khi niềng răng thì mình đã lãi ra được quả môi trái tim và càng ngày càng có xu hướng trái tim hơn.  Còn mũi đã cao lên. Thỉnh thoảng còn bị hỏi có đi làm mũi hay tiêm môi không.  Cho nên niềng xong răng đẹp là không mất công làm mũi làm môi nữa. 
Bây giờ còn quả lông mày và da.  500 anh em cho tui xin địa chỉ làm mày đẹp và uy tín tại Hà Nội với ạ.  Thêm nữa là các tip skincare cho da hỗn hợp thiên dầu. Tui bị dầu nhiều ở vùng chữ T và cằm mà đang không biết sử dụng mỹ phẩm nào hay đi tư vấn ở đâu cho hợp lý. Ai đã trị mụn thành công cho tui xin review nha nha :* :*
Yêu thương.</t>
  </si>
  <si>
    <t>2019-09-16 05:36:03</t>
  </si>
  <si>
    <t>Đoàn Thị Thu Uyên</t>
  </si>
  <si>
    <t>100007556341716</t>
  </si>
  <si>
    <t xml:space="preserve">#skincare #niengrang #chiase </t>
  </si>
  <si>
    <t xml:space="preserve">
#munliti
Mặt e tự dưng nổi nhiều mụn liti và mụn ẩn.Hầu như lôc chân lông nào cũng có.E định đi nặn mụn thử có bớt không.Nhưng không biết là nên đi spa cho người ta lấy nhân mụn trước Hay là đi khám đa liễu trc ạ😢
Mọi người tư vấn hộ e vs ạ
Mặt e khá giống nv ạ.Nổi khắp mặt luôn ạ.nhunge toàn liti và mụn ẩn.</t>
  </si>
  <si>
    <t>2019-11-06 07:47:12</t>
  </si>
  <si>
    <t>Sumy Lê</t>
  </si>
  <si>
    <t>100012219604044</t>
  </si>
  <si>
    <t xml:space="preserve">#munliti </t>
  </si>
  <si>
    <t>#mụncơmphẳng #mụncócphẳng
M.n ở đây có ai từng bị mụn cóc phẳng hay còn gọi là mụn cơm phẳng k ạ? Nếu có thì làm sao để hết ạ? E bị ở mặt mà cạy nữa nên giờ lan ra nhiều quá. Huhu</t>
  </si>
  <si>
    <t>2019-05-13 10:37:33</t>
  </si>
  <si>
    <t>Dương Nhi</t>
  </si>
  <si>
    <t>100002741933316</t>
  </si>
  <si>
    <t xml:space="preserve">#mụncócphẳng #mụncơmphẳng </t>
  </si>
  <si>
    <t>Các chị thông thái cho em hỏi có ai bị gan mà lại lên mụn nhọt nhiều ko ạ? Xưa giờ người em hay trên mặt đều láng và rất rất ít mụn, hầu như em ăn đồ cay nóng nhiều đều ko thấy lên mụn luôn, với em xưa giờ ko hề skincare hay mỹ phẩm gì cả nhưng da mặt cũng coi là láng lắm. cách đây 1 2 tháng gì đấy em có dùng thuốc tây để chữa bệnh thì gan em có vấn đề hay sao mà cả người và mặt lẫn trong miệng lưỡi đều nổi nhọt lên rất nhiều, mụn toàn mọc ngay chỗ hiểm thôi :((. Các chế có ai bị cái vụ gan nóng gan độc này chưa chia sẻ cho em xin ít kinh nghiệm với ạ. Thks ad duyệt bài ạ</t>
  </si>
  <si>
    <t>2019-12-18 02:18:56</t>
  </si>
  <si>
    <t>Linh Uyen</t>
  </si>
  <si>
    <t>100042740872354</t>
  </si>
  <si>
    <t xml:space="preserve">
#hair
#chamsoctoc
Chào mọi người hiện tại gội đầu xong tóc e rụng rất nhiều và cả khi chải. Tóc e do ảnh hưởng của nhuộm nhiều lần nên giờ rất khô và xơ, các chị em có ai đã sử dụng dịch vụ tóc và dầu gội nào để cải thiện không ạ. Mong AD quyệt, em cám ơn mng ạ 💕</t>
  </si>
  <si>
    <t>2019-09-03 07:58:14</t>
  </si>
  <si>
    <t>Ng Hoang Linh</t>
  </si>
  <si>
    <t>100009286014739</t>
  </si>
  <si>
    <t xml:space="preserve">#chamsoctoc #hair </t>
  </si>
  <si>
    <t>Nhà mình có ai biết sản phẩm nào thu lỗ chân lông tốt k ạ. Chứ cái da mặt e cũng dk xem là tạm tạm k đến nỗi nào mà cái mũi e lỗ chân lông vs mụn xấu k ngửi nổi ý ạ (E chụp camera ip 8+) Hơi 1 tí là ửng đỏ như cà chua ý mn 😤😤😤
E cũng thử mấy dòng se lỗ chân lông của estee, Whoo, Kiehls... mà k ăn thua ạ
E skincare :
+ Tẩy TBC Bioderma 4 ngày/ lần
+ Tẩy trang Bioderma hồng (Tối)
+ SRM sủi bọt của some by me + máy rm (tối)
+ Toner estee lauder
+ Serum ANR của estee lauder
+ Kem dưỡng estee lauder
+ Kem chống nắng Cell fusion C (Ngày) 
 #Đepchanhsa
#Help</t>
  </si>
  <si>
    <t>2019-11-18 06:34:38</t>
  </si>
  <si>
    <t>Trang Trang</t>
  </si>
  <si>
    <t>100004214347256</t>
  </si>
  <si>
    <t xml:space="preserve">#Help #Đepchanhsa </t>
  </si>
  <si>
    <t>Mng giúp em với em bị lcl to với bị rỗ ạ . Em dùng đủ thứ rồi vẫn không khỏi ạ . Mng tư vấn giúp em với ạ 
Mong ad duyệt ạ 
#trimun</t>
  </si>
  <si>
    <t>2019-12-15 05:57:44</t>
  </si>
  <si>
    <t>Xuân Mai</t>
  </si>
  <si>
    <t>100017408798225</t>
  </si>
  <si>
    <t>Da em da dầu mụn ẩn nhìu lắm em từng sử dụng thuốc bong da nhưng chỉ hết và đẹp 1 thời gian thoi giờ thì lại lên mụn lại ạ em đang phân vân hk pk có nên dùng 2loại này hk caryophy em dùng cho tối niacinamide em dùng buổi sáng ạ mấy chị nào dùng 2loại này rồi cho em xin ý kiến vs ạ 😊</t>
  </si>
  <si>
    <t>2019-10-07 07:27:48</t>
  </si>
  <si>
    <t>100038706518220</t>
  </si>
  <si>
    <t>Mong mn bỏ ra ít phút giúp đỡ ạ. Mụn này em chữa bao nhiêu cũng kh hết, em từng bị dính kem trộn. Hiện g em dng xài sữa rửa mặt cetaphil, tối xài megadou sáng xài serum klairs
Mong ad duyệt bài ạ lần n rùi huhu :(((
 #help</t>
  </si>
  <si>
    <t>2019-12-06 13:36:32</t>
  </si>
  <si>
    <t>Trương Tam Nhu</t>
  </si>
  <si>
    <t>100029846889667</t>
  </si>
  <si>
    <t>Mọi người ơi.cho em xin review chai toner của hàn này với ạ. E thấy giá rẻ mà dung tích khủng ko biết dùng tốt ko. Có sử dụng dc cho da mụn ko ạ.</t>
  </si>
  <si>
    <t>2019-10-22 05:10:51</t>
  </si>
  <si>
    <t>Ngọc Hà</t>
  </si>
  <si>
    <t>100024566856389</t>
  </si>
  <si>
    <t>Chào mọi người, em ngoi lên mong mọi người tư vấn giúp em vấn đề này. Em bị mụn ở mặt là đã đau đầu lắm rồi, rồi đầu năm ở lưng, trước ngực, cổ, cánh tay rồi cả sau gáy cũng nổi cả mụn rồi còn thâm nữa ạ. 
Với cả vì em còn đang là học sinh nên học hành lấn át làm em không có thời gian để đi da liễu, ba mẹ em cũng rất bận nên không có thời gian chở em đi nữa. 
Mọi người tư vấn giúp em xem giờ phải làm sao đây ạ :(</t>
  </si>
  <si>
    <t>2019-12-19 13:58:29</t>
  </si>
  <si>
    <t>Phạm Trang</t>
  </si>
  <si>
    <t>100030987137111</t>
  </si>
  <si>
    <t>#trimun#tritham#lochanlong#
Chào mn ah. Đây là da mặt em hiện tại. Em rầu ghê luôn. Có chị nào biết cách chữa mụn, thâm, lcl chỉ e với ah. Hiện tại e đang dùng srm của innis, toner trị mụn hadalabo, kcn cell fusionc, kem dưỡng muji, neutrogena, tẩy trang biodema nắp hồng vs mrm foreo ah. Mn xem giùm e có sản phẩm nào k phù hợp hay có cách nào nhanh hết k ah. Sắp Tết rồi 😥😥</t>
  </si>
  <si>
    <t>2019-12-23 12:23:46</t>
  </si>
  <si>
    <t>Tâm Sự</t>
  </si>
  <si>
    <t>100003528199122</t>
  </si>
  <si>
    <t xml:space="preserve">#lochanlong #tritham #trimun </t>
  </si>
  <si>
    <t>#help 
Mn ơi do da mình sau khi tái tạo nên yếu thì mình nên dùng serum gì phục hồi da tốt nhất ? Da minh là da dầu</t>
  </si>
  <si>
    <t>2019-08-16 11:14:47</t>
  </si>
  <si>
    <t>Milkky Peachy</t>
  </si>
  <si>
    <t>100008939683207</t>
  </si>
  <si>
    <t xml:space="preserve">
#Goctuvan
Hiện tại e đang xài dưỡng thể Vaseline 10x chỉ thấy da mịn ra chứ k trắng. Mọi ng có ai biết loại dưỡng thể hay kem body nào giúp trắng da thì cho e xin review ạk</t>
  </si>
  <si>
    <t>2019-10-25 01:59:50</t>
  </si>
  <si>
    <t>100024651377956</t>
  </si>
  <si>
    <t xml:space="preserve">#Goctuvan </t>
  </si>
  <si>
    <t>em tính tết này nhuộm kiểu này ai biết kiểu này là nhuộm kiểu gì k ạ ? cái này nhuộm tại nhà dc k ạ hay bắt buộc phải ra tiệm ạ tại kinh tế hoi eo hẹp =)) ai đã từng nhuộm kiểu này chưa ạ ?</t>
  </si>
  <si>
    <t>2019-12-14 04:50:18</t>
  </si>
  <si>
    <t>Rosejk Mask</t>
  </si>
  <si>
    <t>100028793857953</t>
  </si>
  <si>
    <t>Mấy chế ơi...cho mình hỏi truyền cái này có an toàn ko nhỉ? 
Sinh xong 2 đứa dạ sạm hẳn và e dưỡng và cả tẩy tbc cũng ko khả quan lắm. 😭😭😭😭 
Có c nào biết chỉ e chổ truyền an toàn và thuốc chuẩn hàng với. E đội ơn 😔
Add duyệt cho e ăn cái Tết quành troáng zới 😅</t>
  </si>
  <si>
    <t>2019-12-20 05:41:21</t>
  </si>
  <si>
    <t>Vĩnh An</t>
  </si>
  <si>
    <t>100005164051624</t>
  </si>
  <si>
    <t xml:space="preserve">
#help
Mình tham khảo trên mạng bảo là xay rau diếp cá uống ngăn ngừa mụn và đẹp da , nên minh đã thử lúc đầu khó uống thật mình phải bóp mũi lại để uống vì mùi rất tanh, dần quen và bị riềng
Thì có người bảo rau này uống nhiều quá không tốt gây loãng máu hư máu làm e hoang mang quá 
Ai có thông tin gì share giúp e với 
Hiện tại thì e đã ngưng uống rồi ý</t>
  </si>
  <si>
    <t>2019-05-06 15:42:54</t>
  </si>
  <si>
    <t>Thủy Tiên Huỳnh</t>
  </si>
  <si>
    <t>100008545455585</t>
  </si>
  <si>
    <t>#ask 
Hi các chị em, mình đang gặp vấn đề da, rất mong được mng góp ý 😢
Chuyện là trước đây lâu lâu mình hay bị ngứa mặt, gãi thì nó ra như vết muỗi chích ấy rồi lai lặn đi. Nhưng dạo gần đây thì mình bị ngứa liên tục, mặt thì nổi sần sần lên ko còn đc mịn như trước nữa 😭😭😭 Lúc đầu mình nghĩ do srm nên đổi qa xài cetaphil (vì nghe nói dòng này an toàn cho mọi loại da), nhưng tới h mình vẫn bị ngứa. Mà ngoài srm mình k dùng bất kì thứ gì cả 😞
Tiện thể mép miệng càng ngày nó càng hiện rõ cái mình khoan đỏ ấy, đó là gì thế mng???môi đã ko đc trái tim còn bị cái vết đó xấu kinh khủng 😭
Có ai bị giống mình ko? Hoặc có ai biết mình bị gì ko giúp mình với. Cảm ơn các ce rất nhiều 😘
— From cô gái mù skincare with love —</t>
  </si>
  <si>
    <t>2019-10-14 11:08:46</t>
  </si>
  <si>
    <t>Bùi Dạ Thảo</t>
  </si>
  <si>
    <t>100004146336151</t>
  </si>
  <si>
    <t>#hair #helpme
Tóc em sơ lắm luôn mọi người ạ 😞 không biết dùng gì cho bớt sơ với bớt rụng đây</t>
  </si>
  <si>
    <t>2019-12-25 14:16:12</t>
  </si>
  <si>
    <t>Mỹ Uyên Nguyễn Phạm</t>
  </si>
  <si>
    <t>100017382139328</t>
  </si>
  <si>
    <t xml:space="preserve">#helpme #hair </t>
  </si>
  <si>
    <t>Dạ chào mọi người ạ !  Em năm nay 16 tuổi , em bắt đầu bị mụn từ cuối năm lớp 10 chữa loanh quanh mãi đến tháng 5 năm 2019 thì hết mụn . H em lại lên mụn lại :((( stress kinh khủng luôn ý ạ ! Kiểu như ác mộng lặp lại ý huhu 😞 H em đi hành lang cũng không giám nhìn thẳng mặt ai ! Da em da hơi dầu , bị mụn li li có cả những nốt mụn mãi k hết chân ,xong nó thâm lại mà dưới vẫn còn chân mụn nên thâm rất lâu . Nốt mụn kia vừa kịp đóng vảy thì lại nốt mụn khác lên 😢 em có đang dùng :
- tẩy trang lapocheposay 
- toner meishoku
- serum lựu innisfee ( ngưng được 1 tuần ) 
- serum detox blance
- sữa rửa mặt ciracle 
- mặt nạ ngủ brct ( đã ngưng được 2 tuần ) 
Thỉnh thoảng em có nhận chụp mẫu ảnh nên h bị mụn ảnh hưởng đến công việc kinh khủng ạ :(( với cả em gặp ai cũng tự ti ! Mong mọi người giúp đỡ ! Em cảm ơn nhiều ạ !</t>
  </si>
  <si>
    <t>2019-11-14 14:22:09</t>
  </si>
  <si>
    <t>Pham Thi Kim Anh</t>
  </si>
  <si>
    <t>100041074483864</t>
  </si>
  <si>
    <t>#ask #trietlong #trietlongtay 
Nhóm mình có ai triệt lông tay chưa ạ! Nhìn thì lông tay của em hơi mất thẩm mỹ chút nhưng mọi người ai cũng cản vì bảo lông tay phong thuỷ tốt! Cơ địa của e là ng lắm lông! Lông chỗ nào cũng nhiều! 😅 e triệt 3 vùng r còn lông tay nữa muốn nữa không vì triệt cũng hơi bị đau ví! 1 phần sợ triệt tay k dc như vùng khác í!</t>
  </si>
  <si>
    <t>2019-10-29 05:41:19</t>
  </si>
  <si>
    <t xml:space="preserve">#trietlongtay #trietlong #ask </t>
  </si>
  <si>
    <t>#đepchanhxa #PRP 
Mọi người cho e hỏi có ai làm 👉🏻Công nghệ cấy PRP( cấy máu tự thân - Huyết tương giàu tiểu cầu) chưa??? 
E da dầu mụn ẩn có rỗ nhẹ bên má. 
Cho e xin rw ạ!!</t>
  </si>
  <si>
    <t>2019-12-18 12:14:11</t>
  </si>
  <si>
    <t>Thư Bùi</t>
  </si>
  <si>
    <t>100008586760283</t>
  </si>
  <si>
    <t xml:space="preserve">#PRP #đepchanhxa </t>
  </si>
  <si>
    <t>#ask  #môi
Xin chào tất cả mọi người .  Chắc mọi người cũng biết dưỡng môi này . Trước đây em đã dùng hết 1 hũ và không có vấn đề . Nhưng lần này em dùng thì môi lại lên ít chấm trắng ở lòng môi và khi bong ra thì tróc cả da. Bị được khoảng 1 tuần và em mua dùng được nửa tháng. Hiện tại lòng môi đã bong hết da và RẤT khô , căng và tức ạ và lên rất nhiều mụn li ạ . Da cực mỏng nên cười rất khổ ạ 😭😭😭😭 Tình trạng em xin được up ở cmt . Rất mong mọi người chỉ giúp em có phải bị tại dưỡng môi này không ạ 😭😭😭😭😭 please!!!
Mong admin duyệt cho em ạ</t>
  </si>
  <si>
    <t>2019-10-06 03:38:20</t>
  </si>
  <si>
    <t>Huyền Híp</t>
  </si>
  <si>
    <t>100004344041357</t>
  </si>
  <si>
    <t xml:space="preserve">#môi  #ask </t>
  </si>
  <si>
    <t>#đepchanhsa
#ask
#chamsoctoc
Xin chào mọi người!!
Hiện tại em vừa cắt tóc mà ngắn quá, hối hận quá mọi người, mọi người có cách nào giúp tóc nhanh dài, giúp em vs ah, 
Sẵn tiện mọi người xem mặt em có hợp để tóc dài ko ạ</t>
  </si>
  <si>
    <t>2019-09-01 07:19:14</t>
  </si>
  <si>
    <t>Nguyễn Thị Ngọc Huyền</t>
  </si>
  <si>
    <t>100024384500179</t>
  </si>
  <si>
    <t xml:space="preserve">#chamsoctoc #ask #đepchanhsa </t>
  </si>
  <si>
    <t>Chào các anh chị và mọi người trong group, em năm nay lớp 10 ( da dầu) và tình trạng da hiện tại của em đang rất nặng, nên cần sự giúp đỡ của mọi ng ạ. Em chưa biết skincare nhiều vì nghe mọi ng nói tuổi này chưa được xài mỹ phẩm nhiều nên em đang sử dụng sữa rữa mặt atomy ban đêm và ban ngày em chỉ xài nước muối sinh lý thôi, lâu lâu em có xông hơi, dạo này đi học về mệt quá có hôm em không rửa mặt luôn với lại em đi học có hay ra  nắng 1 tí ....
Em có đi lấy nhân mụn được 1, 2 lần
Mọi ng có thể cho em hỏi mặt em nên xài sản phẩm nào hợp k ạ. Em cảm ơn ❤️
Em mong ad duyệt vì em có nhiều bạn bè trong group  nên dùng nick clone ạ.</t>
  </si>
  <si>
    <t>2019-11-26 06:38:10</t>
  </si>
  <si>
    <t>Do hôm nay đẹp trời với cả kỉ niệm còn tầm chục ngày nữa mình đi đẻ nên mình sẽ review về mỹ phẩm skii, mình nghĩ là sẽ có khá nhiều người quan tâm. Mình 24 tuổi mình xin phép được xưng hô như vậy nhe, mình đã sử dụng skii trong khoảng thời gian da nhạy cảm nhất ( thời gian mang thai). Mình sẽ chia thời gian sử dụng skii làm 2 giai đoạn sử dụng: giai đoạn 1 là tháng 4-5-6, giai đoạn 2 là 7-8-9 của thai kì. Vào giai đoạn 1 mình chỉ sử dụng mỗi nước hoa hồng và nước thần ( do mình được tặng) và sử dụng essence và cream của murad, kết quả là da cũng vẫn bình thường, ko xấu đi cũng ko đẹp lên, được cái mình cảm thấy da mình có căng ra, sáng ngủ dậy là đẹp nhất, đến chiều đến tối thì da trở về trạng thái bình thường, ko có thay đổi gì rõ rệt. Qua đến giai đoạn 2 mới đúng là thời kì khủng hoảng, mình đã rước trọn bộ skii fullsize bao gồm sữa rửa mặt, nước hoa hồng, nước thần, serum 2 loại, 1 loại chống lão hoá 1 loại nâng cơ, kem mặt, kem mắt, kem lót trang điểm, cc cream chống nắng và cách sử sụng của mình mỗi tối như sau: sau khi dùng dầu tẩy trang của biore và sửa rữa mặt, mình thấm nước hoa hồng và chạy máy panasonic st86 cho thiệt sạch, tiếp đến là mình sử dụng nước thần theo phương pháp lotion mask ( bạn nào chưa biết phương pháp này thì tra google nha), kết quả là da mình đỏ ửng lên, lỗ chân lông căng và nở to hết mức có thể, mẹ mình còn nói nhìn như da bị rổ, sau đó mình bôi serum nâng cơ và serum chống lão hoá, cuối cùng là kem dưỡng ẩm và kem mắt. Một thời gian và kết quả là mặt mình nổi 1 dề mụn, tất cả đều là mụn đầu trắng có mủ. Quá kinh khủng mình đã ngưng ngay 2 loại serum, chỉ dùng nước hoa hồng, nước thần và kem dưỡng, đồng thời dùng mario để chấm mụn, sau khi cồi mụn khô mình lại quay trở loại chu trình skincare như cũ, nhưng lần này mình chỉ sử dụng duy nhất 1 loại serum lỏng, bôi tất cả đều thiệt mỏng, da vẫn bị lỗ chân lông căng to và đỏ, nhìn như bị rỗ trông rất ghê, nhưng sáng hôm sau thì hết và cảm thấy lỗ chân lông được thu nhỏ lại. Mụn không xuất hiện ồ ạt như lần trước nữa nhưng thỉnh thoảng 1,2 cái mụn đầu trắng có mủ vẫn nổi lên, rất nhỏ soi kĩ mới thấy, da tuy không trắng nhưng nhìn da rất khoẻ, mọng nước, trộm vía mình được mọi người khen là bà bầu đẹp. Nói chung là lời khuyên mình dành cho các bạn muốn sử dụng skii là nên mua mini size dùng thử, và dùng ít thôi, từng bước 1, ví dụ thời gian đầu thì 2-3 sản phẩm trong chu trình skincare, tiếp đến mới thêm khi mà da đã quen, và bôi lớp mỏng thôi, không phải mỹ phẩm dưỡng da bôi nhiều là đẹp đâu. Sử dụng 1 lúc quá nhiều sản phẩm có thể khiến da bị bội thực, nhất là những sản phẩm kén da như skii, muốn sử dụng trước mắt phải làm quen dần dần. Cảm ơn mọi người đã đọc, có gì sai mọi người đóng góp ý kiến nhé.
#review #skii</t>
  </si>
  <si>
    <t>2019-10-25 08:17:49</t>
  </si>
  <si>
    <t>Anh Thư</t>
  </si>
  <si>
    <t>100000566051441</t>
  </si>
  <si>
    <t xml:space="preserve">#skii #review </t>
  </si>
  <si>
    <t>#Rangmieng #rangsu
Mọi người ơi giúp e với ,tình hình là răng e bị sâu mà còn chân nên đã làm cầu răng sứ phía trong hàm. Nhưng hiện tại e cảm thấy phía chân răng bọc sứ bị hôi .Nhiều khi khiến hơi thở nghe mùi khó chịu nữa ạ ,e mới chỉ làm dc hơn 1 năm thôi. Giờ e nên làm sao ạ? 😢😢</t>
  </si>
  <si>
    <t>2019-05-12 09:52:41</t>
  </si>
  <si>
    <t>100035259344189</t>
  </si>
  <si>
    <t xml:space="preserve">#rangsu #Rangmieng </t>
  </si>
  <si>
    <t>Góc xin ý kiến:
Mắt mình 2 mí rồi nhưng bị sụp mí quá mắt lúc nào cũng kiểu buồn buồn. Mình đang phân vân giữa nhấn mí và cắt mí( cắt là bóc mỡ nghĩ cũng hơi ghê ghê) 😅
Nàng nào có kinh nghiệm thì chỉ mình với 😉
#catmi
#nhanmi</t>
  </si>
  <si>
    <t>2019-12-18 11:55:48</t>
  </si>
  <si>
    <t>Yến Chi</t>
  </si>
  <si>
    <t>100009316193372</t>
  </si>
  <si>
    <t xml:space="preserve">#nhanmi #catmi  </t>
  </si>
  <si>
    <t>#lclto #dacăngbóng da em tương đối ít khuyết điểm nhưng vấn đề là lcl 2 bên to và thâm do mụn để lại cả năm k hết . C/e nào có sản phẩm nào dươngx  da vừa có tdung se khít lcl và làm da câng bóng chỉ e vs. Giờ quá nhiều loại mp e nghĩ chọn mà đau đầu😛</t>
  </si>
  <si>
    <t>2019-11-16 06:20:11</t>
  </si>
  <si>
    <t>Trà Thu Vũ</t>
  </si>
  <si>
    <t>100004383732702</t>
  </si>
  <si>
    <t xml:space="preserve">#dacăngbóng #lclto </t>
  </si>
  <si>
    <t>Dcs #bổmắt&amp;rụngtóc
Mọi người đã ai dùng qua sp này cho em xin ít review được không ạ
Cho em hỏi sp này có công dụng gì có bổ mắt và ngừa rụng tóc không ạ 
#mongadduyẹtbài</t>
  </si>
  <si>
    <t>2019-06-08 09:43:50</t>
  </si>
  <si>
    <t>Trang Kelvin</t>
  </si>
  <si>
    <t>100037415899803</t>
  </si>
  <si>
    <t xml:space="preserve">#mongadduyẹtbài #bổmắt </t>
  </si>
  <si>
    <t>Mặc dù m vệ sinh rất kĩ và có dùng toner labo labo,  máy rữa mặt,  redpeel,  mặt nạ đất sét lush vẫn ko hiệu quả.... Các chị em giúp mình với,  thanks all. ♥</t>
  </si>
  <si>
    <t>2019-12-21 15:10:54</t>
  </si>
  <si>
    <t>#ask
XIN CÁC ANH CHỊ GIÚP ĐỠ Ạ, MONG ĐƯỢC CÁC ANH CHỊ ADMIN DUYỆT Ạ.
Em là một tành viên nằm vùng đã lâu trong DCS, nay e muốn nhờ các anh chị giúp đỡ e với ạ.
Chuyện là cách đây 4, 5 năm trước, mẹ em đã từng sử dụng kem OneToday của Công ty mỹ phẩm Đăng Dương. Thời đó kem trộn còn ở trên đỉnh cao hoành hành, kể cả em lúc đó cũng sài kem trộn nữa nên hai mẹ con chả biết gì độc hại để mà can nhau, chỉ cần nghe người ta bày cách trộn là về sử dụng thôi ạ. Thời gian gần đây, do được tiếp xúc nhiều với mấy anh chị trong gr mà em cũng đã biết cách phân biệt hàng tốt hàng xấu nên e mới chăm sóc bản thân từ từ tốt hơn. Nhưng mẹ em thì không ạ, mẹ vẫn còn "trung thành" với kem OneToday đấy, e đã cố giải thích cho mẹ rằng kem đó có corticoid không tốt cho da tý nào, nhưng mẹ e vẫn không nghe và không chịu, mẹ bảo nếu nó hàng lởm thì da tao hư lâu rồi chứ không cần mày nói. Thời gian gần đây, e thấy mẹ có sử dụng  Kem Phục Hồi Da Mặt Dr.Belmeur của  The Face Shop í ạ, do cái kem kia bị hết mà mẹ chưa kịp đi mua, nhưng mà mẹ chỉ thoa lần đầu tiên Dr.Belmeur là da mẹ liền bị kích ứng ặng chỗ thoa ngay, thế là mẹ vứt xó Dr.Belmeur và quay lại với kem kia. Nay e muốn nhờ các anh chị trên gr chỉ cho e cách giải thích với mẹ và CÁC LOẠI MĨ PHẦM PHỤC HỒI DA DO BỊ NHIỄM CORTICOID với ạ, em xin chân thành cảm ơn các anh chị nhiều ạ.</t>
  </si>
  <si>
    <t>2019-08-01 03:36:27</t>
  </si>
  <si>
    <t>Zô Zô</t>
  </si>
  <si>
    <t>100036905440436</t>
  </si>
  <si>
    <t>#cầucứu #cắttrĩ 
Chào các chị em e còn nhỏ mới 19 tuổi thôi mà đã bị trĩ e từng có đi khám bác sĩ hẹn cắt mà e không đi vì e sợ giờ thì càng ngày càng sưng không đi được. Chị em nào từng cắt trĩ bệnh viện nào và cắt từ phương pháp pph chưa e thấy trên gg nói cắt trĩ bằng phương pháp đó ít đau ít chảy máu và có thể về nhà liền. Chị em nào từng đi cắt cho e hỏi bệnh viện nào uy tín để e điều trị ạ và chi phí bao nhiêu ạ e cần gấp để e đi cắt trong tuần này lun ạ. 
Bệnh này e rất mệt mỏi lúc nào cũng suy nghĩ hết buồn ai hỏi kêu bị trĩ e cảm thấy quê lắm :((</t>
  </si>
  <si>
    <t>2019-05-22 05:02:32</t>
  </si>
  <si>
    <t>Nguyễn Yến VI</t>
  </si>
  <si>
    <t>100006138220952</t>
  </si>
  <si>
    <t xml:space="preserve">#cắttrĩ #cầucứu </t>
  </si>
  <si>
    <t>Mình bị lỗ chân lông với da dầu, mọi người có sản phẩm nào kiềm hãm dầu với làm lỗ chân lông nhỏ lại không ạ :((</t>
  </si>
  <si>
    <t>2019-11-27 15:55:58</t>
  </si>
  <si>
    <t>Dinh Thien Tam</t>
  </si>
  <si>
    <t>100029980998027</t>
  </si>
  <si>
    <t xml:space="preserve">
Mọi người cho e hỏi là mẹ e dùng kem trộn này được hơn 1 năm r ạ,  nhưng mà 1 tuần sài có 1 lần tí xíu,  vậy thì bây giờ ngưng da có bị gì không ạ?  Và làm thế nào để da phục hồi lại như ban đầu ạ ,( da mẹ e bắt đầu có nám nhỏ nhỏ r ạ)
Edit : mẹ e sài cái này mà e k biết,  nếu r biết e đã k cho mẹ e sài,  e đăng lên để xin cách chữa trị ,mong mọi người giúp đỡ e ạ</t>
  </si>
  <si>
    <t>2019-08-18 12:20:20</t>
  </si>
  <si>
    <t>100021573160717</t>
  </si>
  <si>
    <t>#ask #help
Các chị cho em hỏi là có keo nào vuốt tóc vào nếp mà không quá cứng tóc không ạ?
   Vì tóc em là dạng xoăn xù mì tự nhiên từ bé đến lớn luôn, trước giờ em toàn đi duỗi nhưng em quá mệt mỏi với vấn đề đó rồi, nên em quyết định là để tóc tự nhiên luôn ạ.
   Nhưng xịt keo hoặc vuốt keo để vào được nếp thì tóc sẽ trở nên cứng lắm. Với lại tóc em nhiều cực, nếu tóc ít mà xù em cũng chịu. Huhu
  Ảnh em lấy trên gg ạ.</t>
  </si>
  <si>
    <t>2019-07-29 05:08:34</t>
  </si>
  <si>
    <t>Đoàn Trung Thuỳ Dy</t>
  </si>
  <si>
    <t>100013362496161</t>
  </si>
  <si>
    <t>#Help #bodymist 
Mong mọi người gợi ý giúp em một vài hương body mist dùng được cả đông lẫn hè hoặc hè ạ. 
Chuyện là hôm em đi học Anh, có dùng Pink Cashmere mà cuối tuần đó lại khá oi và nóng, bạn bè bảo là mùi này không hợp với hè, nồng quá, đến độ học được 15' là em phải chạy về tắm ngay luôn. Đó là lần đầu tiên em mua body mist mà tởn tới già, coi như rút kinh nghiệm lần sau. Em cũng muốn mua trực tiếp lắm nhưng chỗ này không nơi nào bán cả, đành chọn mặt gửi vàng nhờ sự tư vấn của mọi người ạ. 
Cre ảnh: Google.</t>
  </si>
  <si>
    <t>2019-11-18 12:02:50</t>
  </si>
  <si>
    <t>Huệ Nhi</t>
  </si>
  <si>
    <t>100031942426429</t>
  </si>
  <si>
    <t xml:space="preserve">#bodymist #Help </t>
  </si>
  <si>
    <t xml:space="preserve">
#nhuomtoc
#ask
Đã có ai nhuộm tóc mà không cần tẩy chưa ạ? cho mình xin chút review màu tóc nhuộm không cần tẩy. Mình tra trên mạng thì ra 2 màu này thấy thích nhưng sợ không tẩy thì nó không ăn màu như thế.</t>
  </si>
  <si>
    <t>2019-10-18 07:27:47</t>
  </si>
  <si>
    <t>Lê Thảo</t>
  </si>
  <si>
    <t>100000948560123</t>
  </si>
  <si>
    <t xml:space="preserve">#ask #nhuomtoc </t>
  </si>
  <si>
    <t>#datham #obagi
Xin chào mọi người, mình muốn hỏi về sản phẩm vit C của Obagi và muốn nhờ mọi người tư vấn ạ. Khá ít bài về obagi trong group.
Đợt trước có nhắc mình là fan vichy và shiseido nhưng giờ vichy mình thấy mình lờn rồi. Không hiệu quả. Có vài bạn trong group khuyên nên dùng obagi nhưng mình không rõ quy trình nên muốn được tư vấn kỹ hơn. Mong được giúp đỡ. 
Da mình là da dầu. Lỗ chân lông to. Sẫm màu. Xài gì cũng không trắng trừ kem trộn :)))) da cực tối màu. Mắt thì thâm bầm. (Mình có xài sp dưỡng nha nhưng vẫn vậy)
Mình đang suy nghĩ dùng vit c khoảng 15 hay 20 nhưng không biết có cần xài nước hoa hồng trước. Bôi xong có cần kem dưỡng ẩm để khóa ẩm không. Phải là nước hoa hồng và kem obagi hay có thể dùng hãng khác. Vì obagi siêu mắc :((((( có apply vùng mắt luôn được không. Nên dùng Vit C Fx hay Rx hay là professional  vì trên các web mỗi nơi tư vấn mỗi kiểu.
Tóm lại là vướng mắc routine và dòng. Mong được hỗ trợ ạ.
Ảnh chống trôi</t>
  </si>
  <si>
    <t>2019-10-07 03:58:09</t>
  </si>
  <si>
    <t>Nhất Đạo Khinh Phong</t>
  </si>
  <si>
    <t>100000981255440</t>
  </si>
  <si>
    <t xml:space="preserve">#obagi #datham </t>
  </si>
  <si>
    <t>Chân e bị như thế này là do lúc trước có sử dụng thuốc trị mụn cóc Axit gì gì á
Nhưng do k hiểu biết nên e để nó loan ra vùng thịt bình thường và kết quả bị ăn da như thế này
Ai đó cho e lời khuyên nên lgi với ạ. Đề cũng kha khá lâu rồi mà lâu lâu nó ngứa lắm ạ với cả nó cứ thay da suốt :((
E có nên lấy độc trị độc nhỏ tiếp cho nó ăn mất phần da thối đó k ạ?</t>
  </si>
  <si>
    <t>2019-11-22 16:53:22</t>
  </si>
  <si>
    <t>Nguyễn Bảo Ngọc</t>
  </si>
  <si>
    <t>100014892093291</t>
  </si>
  <si>
    <t>Chào mọi người trong nhóm,t có thằng cu em của bị rỗ khá là nặng luôn nhưng không biết chỗ nào điều tri uy tín. Vì ngày trước t có dẫn nó tới điều trị lăn kim kết hợp với cấy máu tự thân tại 1 chỗ khá uy tín ở Sài Gòn và ngta nói phương pháp này sẽ hiệu quả đối với những vết rỗ nặng. Nhưng sau khi điều trị những vết rỗ trên mặt của nó không đầy lên mà lại còn sâu hơn nữa. Nên bây giờ t không biết phải làm sao nữa. Muốn trị da cho thằng em nhưng lại khiến da nó nặng hơn nên t cũng áy náy lắm.</t>
  </si>
  <si>
    <t>2019-12-08 08:42:23</t>
  </si>
  <si>
    <t>Khải Quang</t>
  </si>
  <si>
    <t>100042983179280</t>
  </si>
  <si>
    <t>Huhu đây là mặt e hiện tại. Anh chị cho e hỏi các sản phẩm trị thâm tốt để em có 1 cái Tết ngon lành với ạ. Trước e đã dùng hiruscar, melano cc và hiện tại e đang dùng red c.  Da e hỗn hợp thiên dầu. Mong các anh chị em giúp em với.
Mong ad duyệt giúp em
#thammun</t>
  </si>
  <si>
    <t>2019-12-24 22:39:09</t>
  </si>
  <si>
    <t>Bé Shin's</t>
  </si>
  <si>
    <t>100005634370041</t>
  </si>
  <si>
    <t xml:space="preserve">#thammun </t>
  </si>
  <si>
    <t>Mọi người ơi , tình hình là em cũng hoang mang vì nghe thông tin đeo kính áp tròng nhiều thì giác mạc mỏng đi và không mổ cận được. Em đã đeo kính áp tròng từ năm học 11 và chỉ đeo luân phiên với kính cận bình thường thôi, lúc nào ở nhà thì e chỉ đeo kính cận. Có ai có kinh nghiệm dùng kính áp tròng và mổ cận được bình thường không ạ? Em xin cảm ơn mọi người rất nhiều!</t>
  </si>
  <si>
    <t>2019-12-07 07:58:12</t>
  </si>
  <si>
    <t>Lam Nguyễn</t>
  </si>
  <si>
    <t>100022817963338</t>
  </si>
  <si>
    <t>#ask_skin_benh
Tình hình lang mới đi da liễu khám và bị sốt phát ban,mặc dù khỏi sốt 2 ngày rồi nhưng dường như nó h ms phát ban nguyên người may cái mặt nó đỡ hơn xíu,mình stress quá,da nhìn ngoài ghê lắm ạ,ai đã từng bị cho xin tips gì đc k ạ?ngoài uống thuốc ạ.cảm ơn mọi người</t>
  </si>
  <si>
    <t>2019-12-24 13:17:45</t>
  </si>
  <si>
    <t>San Nguyen</t>
  </si>
  <si>
    <t>100041079790308</t>
  </si>
  <si>
    <t xml:space="preserve">#ask_skin_benh </t>
  </si>
  <si>
    <t>Chào mọi người em vừa hết thuỷ đậu do em làm vỡ mun và h như vậy ,mọi ng có ai biết sài gì đễ k hết thâm và k bị sẹo k ak
Em cảm ơn ạ</t>
  </si>
  <si>
    <t>2019-12-12 14:16:00</t>
  </si>
  <si>
    <t xml:space="preserve"> #đẹp_chanh_sa #help #review
Help me ! Có ai bị tình trạng da mặt trắng hơn da cổ không ạ. Em skincare da mặt cũng được gần 1 năm rồi còn cổ hôm nào thích thì tẩy trang qua xong lau sơ sơ toner,dưỡng thì lâu lâu rảnh bôi 1 tí. Dạo gần đây em mới để ý da mặt sáng hơn cổ gần 1 tông 🙄. Kb làm sao để dưỡng cho cổ nó bắt kịp với mặt bây giờ ạ</t>
  </si>
  <si>
    <t>2019-12-15 03:18:30</t>
  </si>
  <si>
    <t>Nguyễn Ánh Tuyết</t>
  </si>
  <si>
    <t>100012069008196</t>
  </si>
  <si>
    <t xml:space="preserve">#review #help #đẹp_chanh_sa  </t>
  </si>
  <si>
    <t>#helpme #mụnẩn
Mong ad duyệt bài giúp em. Em gửi bài nhiều lần mà chưa được duyệt ạ
Trong ảnh là da em hieejn tại ạ. Da em là da nhiều dầu, mụn ẩn và k đều màu da. Em từng dùng phải kem trộn lên da rất nhiều mụn ẩn sần sùi hết mặt ạ 😩😩😩😩, mong mọi người cho em review cho e một số sp dùng hiệu quả ạ 😭😭😭😭
Mn tư vấn giúp e bộ này có dùng đc k và e chưa có đồ skincare gì cả mn tư vấn giúp e vs ạ</t>
  </si>
  <si>
    <t>2019-09-29 10:31:19</t>
  </si>
  <si>
    <t>Hoàng Ánh Ngọc</t>
  </si>
  <si>
    <t>100008036832993</t>
  </si>
  <si>
    <t xml:space="preserve">#mụnẩn #helpme </t>
  </si>
  <si>
    <t>#munnoitiet #thuoc
Chào mọi người ạ. Hiện là em bị mụn nội tiết 3 năm nay rồi và sau khoảng thời gian chữa trị mặt em đã hết mụn viêm chỉ còn mụn ẩn thôi, ngoài ra em cũng có đi lấy mụn định kì và em muốn uống thêm thuốc để cân bằng nội tiết. Em đang phân vân giữa Liv 52 và Blackmores hoa anh thảo. Các chị ai đã từng sử dụng qua thuốc này cho em xin review 1 ít với ạ. Em cảm ơn nhiều ạ ❤️</t>
  </si>
  <si>
    <t>2019-11-03 14:55:55</t>
  </si>
  <si>
    <t xml:space="preserve">#thuoc #munnoitiet </t>
  </si>
  <si>
    <t>#ask #theordinary #laticacid #munan
Em có mua chai TO này trên shopee hôm 10/10 vừa rồi ( mua shop chính hãng ạ, em check kĩ rùi ) , em dùng tầm 10 ngày nay thì thấy da có vẻ mềm hơn nhưng lại bị nổi mụn ẩn rất nhiều, kiểu nó sần sần dưới da ạ, có hôm có cả mụn đầu trắng ( nhưng xẹp trong 1 ngày luôn dù em ko bôi thêm gì ) . Em có hỏi shop thì shop kêu em đi nặn mụn và dùng B5 để phục hồi. 
Cho em hỏi ở gr mình có ai đã dùng và bị như em chưa ạ cho em xin lời khuyên với ? Tối em rửa mặt, toner xong chỉ dùng mỗi serum này rồi đi ngủ. Sáng em chỉ dùng kcn the saem hồng rồi che chắn kĩ xong đi học
Mong ad duyệt bài giúp em ❤ em cám ơn ạ</t>
  </si>
  <si>
    <t>2019-10-22 10:15:52</t>
  </si>
  <si>
    <t>Thiên Nhi</t>
  </si>
  <si>
    <t>100006553510866</t>
  </si>
  <si>
    <t xml:space="preserve">#munan #laticacid #theordinary #ask </t>
  </si>
  <si>
    <t>#ask #tóc
Em chào mọi người ạ. Em lên đây muốn hỏi mọi người có cách nào trị rụng tóc hiệu quả không ạ? Tóc em vốn đã mỏng, nay còn bị rụng chải đầu rụng, gội đầu rụng, vuốt nhẹ 1 cái cũng rụng, mới 17t đã rụng nhiều vậy, chắc không lâu nữa em hói luôn quá 😭😭😭😭
Em thấy chân tóc của em rất yếu hay sao ý, em nhìn ở gốc thấy nang tóc chỉ có 1 tẹo thôi, có cách nào làm n chắc chắn hơn không ạ?
Với cả cho em hỏi mấy cái thuốc qikhair hay maxhair gì trên thị trường của mình có tác dụng không ạ? Em cảm ơn mọi người! 
Cảm ơn ad đã duyệt bài cho em ạ ❤</t>
  </si>
  <si>
    <t>2019-11-03 15:08:23</t>
  </si>
  <si>
    <t>Nguyễn Nhi</t>
  </si>
  <si>
    <t>100035006889535</t>
  </si>
  <si>
    <t xml:space="preserve">#tóc #ask </t>
  </si>
  <si>
    <t xml:space="preserve">  #ask  #dearKlairs  #Klairs
Em tìm hiểu thì thấy hãng Klairs có thành phần lành tính nên em dự định mua những món này cho skincare routine của em ( em có tham khảo trên video Teenage Skincare Tips của kênh Wishtrend TV trên youtube nữa ). Da em có ít vấn đề, mà em đang còn nhỏ ( 16 17 tuổi ấy ạ ) thì những sp này có phù hợp với em không ạ? Mong mn chỉnh sửa giúp ;; em cảm ơn.</t>
  </si>
  <si>
    <t>2019-07-23 01:32:26</t>
  </si>
  <si>
    <t>Nhi Nhii</t>
  </si>
  <si>
    <t>100025059245427</t>
  </si>
  <si>
    <t xml:space="preserve">#Klairs #dearKlairs #ask  </t>
  </si>
  <si>
    <t>Sắp tới em chụp kỷ yếu mà phân vân không biết đeo lens màu gì để chụp ảnh đẹp, em thấy bạn em đeo lens trông mắt cứ bị sâu sâu, rồi mắt cứ trợn trợn lên ý 
Và mn cho em hỏi lun là làm kiểu tóc gì để trông đỡ bị già ạ, tóc em như hình đây ạ 
Mn tư vấn cho em vớiiiiiii
Em cảm ơn ạ</t>
  </si>
  <si>
    <t>2019-11-22 07:32:39</t>
  </si>
  <si>
    <t>Vương Minh Hiếu</t>
  </si>
  <si>
    <t>100005048589154</t>
  </si>
  <si>
    <t>#help
#tưvan
Hiện tại da e đang bị mụn ẩn ko rõ nguyên nhân
E có đang dùng tẩy trang byphasse và những sp 👎đây ạ.
Mn cho e ý kiến về những sp e đang dùng có phải là nguyên nhân gây ra mụn ko ạ.
Tks ☘☘☘</t>
  </si>
  <si>
    <t>2019-12-03 08:00:37</t>
  </si>
  <si>
    <t>Ly Nguyen</t>
  </si>
  <si>
    <t>100020483807753</t>
  </si>
  <si>
    <t>Mọi người cho em hỏi loại kem chống nắng nào cho da khô với ạ, nếu có nâng tone nhẹ thì càng tốt 
Em cảm ơn ạ</t>
  </si>
  <si>
    <t>2019-11-27 05:33:10</t>
  </si>
  <si>
    <t>Khoảng Lặng</t>
  </si>
  <si>
    <t>100004753067970</t>
  </si>
  <si>
    <t xml:space="preserve"> #daugoi #daucap
Tóc em chất tóc xù, chẻ ngọn tóc, xơ, chỉ cần gội qua 1 lượt chưa bỏ dầu xả thì tóc rất rít sờ cảm giác như sờ vào đuôi còn bò ấy :))) , ít gầu, không yếu lắm, và có nhuộm, ép, dập xù
Các anh chị cho e hỏi dùng loại dầu gội nào ( hoặc dầu cặp) tốt nhất cho tóc mà k bị bay màu nhanh ạ, em cám ơn 🙆‍♀️</t>
  </si>
  <si>
    <t>2019-12-12 12:26:32</t>
  </si>
  <si>
    <t>Phương Mai</t>
  </si>
  <si>
    <t>100009747423809</t>
  </si>
  <si>
    <t xml:space="preserve">#daucap #daugoi  </t>
  </si>
  <si>
    <t xml:space="preserve">Hello mọi người. Monng ad duyệt bài❤️❤️
Hiện tại chân em đang bị thẹo thâm như thế này. Bị kín chân luôn ạ. E tính giã nghệ tươi đắp full chân. Nhưng mà sợ rửa k ra. Mọi người biết cách nào rửa ra hoặc pha thêm gì đó để k bị vàng k ạ. E sẽ thử cách đắp nghệ này và review cho mn k thành công nữa em bắn laser luôn. Hiccc
P/s đây là ảnh e mượn bạn trong hội. Chân e full HD luôn ạ
</t>
  </si>
  <si>
    <t>2019-12-03 23:47:01</t>
  </si>
  <si>
    <t>Trần Trần</t>
  </si>
  <si>
    <t>100010777753171</t>
  </si>
  <si>
    <t xml:space="preserve">Nhà mình đã ai dùng collagen này rồi cho em xin ít review vs ạ !
Hiện tại e đang uống collagen refa16 của nhật và chưa dc khả quan lắm nên e định đổi sang loại này 
Mấy c dùng r cho e xin ít reveiw  Em cảm ơn !
❤️❤️❤️
#Collagen 
</t>
  </si>
  <si>
    <t>2019-10-28 16:31:11</t>
  </si>
  <si>
    <t>Hoàng Nguyên Lê</t>
  </si>
  <si>
    <t>100012433296660</t>
  </si>
  <si>
    <t xml:space="preserve">#Collagen </t>
  </si>
  <si>
    <t>Mn ơi cho e hỏi , tóc e tóc tơ ,e mới làm tóc được 2 tuần,tóc e rất khó vào nếp &amp; nhanh duỗi ,làm xong tóc bị khô sơ hơn 😭😭😭. Các chị đẹp có bí kíp j hay dùng sản phẩm nào giữ nếp lâu , tóc suôn mượt chỉ e với ạ . Help meeee!
Đây là tóc e lúc mới làm ,còn bh nhìn mà chán á😩. E cảm ơn ạ !</t>
  </si>
  <si>
    <t>2019-11-26 15:24:51</t>
  </si>
  <si>
    <t>Phạm Thị Thu Hương</t>
  </si>
  <si>
    <t>100026055488988</t>
  </si>
  <si>
    <t xml:space="preserve">
#trimun
#tritham
Mong ad duyệt bài giúp e với ạ !!!
Tết sắp đến đít rồi mà e vẫn bị nổi mụn mủ và thâm đầy mặt như thế này . Một năm trước e trót dại dính phải kem trộn Misswhite cộng với cả chế độ ăn uống ngủ nghỉ k điều độ nên mặt tanh bành vừa bị mụn nội tiết vừa dính kem trộn 😓😓
Sau hơn 3 tháng sử dụng combo tẩy trang loreal , srm laroche , toner some by me , chấm mụn duo+ , dưỡng ẩm some by me và 2 lần dùng red peel thì mặt e vẫn còn như thế này 
Giờ vừa mụn , vừa thâm , vừa lỗ chân lông to và cả mụn ẩn , mụn đầu đen thế này thì e nên dùng thêm và bỏ dùng sp gì ạ 
Với lại e muốn thay đổi kiểu tóc thì nên để kiểu gì cho hợp đây ạ . 19 tuổi mà mặt già như trái cà chẳng khác nào 29 tuổi đến nơi luôn rồi 😭😭
Mong mọi người giúp e ạ !!!
E cảm ơn mọi người nhiều ❤️❤️</t>
  </si>
  <si>
    <t>2019-12-25 08:58:12</t>
  </si>
  <si>
    <t>Mai Xuân</t>
  </si>
  <si>
    <t>100022593559691</t>
  </si>
  <si>
    <t>Chào các ce #đẹp_chanh_sả 
E cai kem trộn đc 6 tháng r da e đang bị vấn đề #mụn_ẩn ( ngày nào nặn cũng có, khá cứng và nhiều) và #da_đổ_nhiều_dầu lắm luôn , #không_đều_màu
Sang đầu năm sau là e đẻ r nên muốn tìm thêm kiến thức skin care và sản phẩm nào phụ hợp để đẻ r dùng 
Mong các ce thiện lành cứu vớt cái mặt này 
( mong ad duyệt bài để e doi quà sinh nhật thg ck chứ sắp sinh nhật mà khg biết đòi j😂)</t>
  </si>
  <si>
    <t>2019-12-19 08:21:56</t>
  </si>
  <si>
    <t>Un Nguyễn</t>
  </si>
  <si>
    <t>100026686594017</t>
  </si>
  <si>
    <t xml:space="preserve">#không_đều_màu #da_đổ_nhiều_dầu #mụn_ẩn #đẹp_chanh_sả </t>
  </si>
  <si>
    <t>Dạ e chào anh chị. E xin lấy nick clone để hỏi ạ . Da e là da hỗn hợp dầu. E bị mụn 6 năm rồi. Trị đủ thứ từ mỹ phẩm để thuốc đến chế độ ăn. E bắt đầu bị mụn nặng từ khi lên SG đi học. Đến giờ là 3 năm rồi ạ. E bị đủ các loại mụn từ mụn đầu đen, mụn ẩn đến mụn viêm, mụn bọc. Có anh chị nào đã sử dụng Isotretinoin thì cho e xin ít kinh nghiệm với ạ. Em cảm ơn anh chị nhiều</t>
  </si>
  <si>
    <t>2019-12-10 11:47:19</t>
  </si>
  <si>
    <t>100024869670046</t>
  </si>
  <si>
    <t>#help
Em mới đi nặn mụn về , đau quá , đây là lần đầu tiên em đi nặn mụn . Các anh chị chia sẽ cho em những gì cần tránh sau khi nặn mụn với ạ .
huhu , em đau quá</t>
  </si>
  <si>
    <t>2019-10-12 16:00:37</t>
  </si>
  <si>
    <t>Lê Thị Anh Thư</t>
  </si>
  <si>
    <t>100009672940561</t>
  </si>
  <si>
    <t>Mọi người tư vấn giup em có coi có loại nào trị rạn da tốt hiệu quả không ạ 😢 E bị rạn do tăng cân ạ e bị rạn nhiều vùng trên vai phía sau cánh tay trên đùi  phía sau chân 😥 Tay e rạn muốn hết cái tay luôn e thấy càng lúc càng nhiều 😞 E đã sử dụng nhiều loại nhưng không thấy hiệu quả. Kem có tinh dầu ..vvv😭</t>
  </si>
  <si>
    <t>2019-12-19 23:25:00</t>
  </si>
  <si>
    <t>Quyên Quyên</t>
  </si>
  <si>
    <t>100042336700182</t>
  </si>
  <si>
    <t>#help 
Cac anh chị giúp em với ạ ..không hiểu sao mấy nay da em bị rộp đỏ và rát lên như vậy ..Có phải là do thời tiết hanh khô nên da bị vậy ko ạ..hiện tại em đang bôi kem dưỡng neoplant mua bên da liễu ạ</t>
  </si>
  <si>
    <t>2019-12-13 12:02:46</t>
  </si>
  <si>
    <t>Khả Ngân</t>
  </si>
  <si>
    <t>100028230300966</t>
  </si>
  <si>
    <t>Có thể tự chữa khỏi mắt cận được không ạ ?😁😁
Chào mọi người, em sắp 21, hiện tại mắt phải của em 0.5 và mắt trái 0.75 diops, ra đường hay lên giảng đường nhìn bảng chữ nhỏ phải đeo kính. Hồi nhỏ tới lúc hết Cấp 3 mắt em 10/10, ngồi học em thường ngồi thẳng lưng và mắt cách máy vi tính, sách vở đúng khoảng cách an toàn cho mắt ( cái này là thói quen do ông em hình thành cho em từ xưa), chế độ ăn uống và sinh hoạt của em cũng tạm ổn. Gia đình em cũng không ai bị cận. 😌😌
Tuy nhiên, sau 3 tháng từ khi lên đại học và dùng điện thoại, em không dí sát mặt, cũng dùng trong điều kiện đủ ánh sáng, thế nhưng mắt vẫn cận. Hai năm đầu tiên chỉ khi đi học em mới phải dùng kính, còn 1 tháng trở lại đây, ra đường em phải mang do nếu khoảng cách &gt; 4m em bắt đầu thấy mọi thứ mờ mờ, kể cả biển hiệu chữ lớn. 😭😭
Em thực sự là không muốn đeo kính chút nào, rườm rà, che khuất tầm nhìn, không chạy nhảy, vận động thoải mái được, nhiều khi ngã dễ làm kính đâm vào mắt/ mặt, làm mất thẩm mĩ trên khuôn mặt,.....( Cả người em được khuôn mặt là tạm ổn nhất, thế mà giờ phải gắn bó với cặp kính, nhìn tối cả khuôn mặt) 😥😥
Em nghe nói vẫn có người làm cho mắt giảm độ cận được, vậy anh chị, bạn nào biết hoặc đã tự chữa mắt cận thành công mà không cần đến đi mổ mắt thì chỉ cho em với ạ, em đang sinh viên và gia đình cũng nghèo nên việc đi bắn laser với em hiện tại là điều không thể.🙁😕
Edit: Hiện tại thì mình đeo kính khi dùng laptop, điện thoại để bảo vệ mắt, như vậy có đúng k ạ ?😘😘
Mn cho em xin chỗ khám mắt uy tín, giá cả hợp lí ở tp HCM với ạ 😇
Mong ad duyệt bài giúp em, em cảm ơn nhiều ạ ! 😍</t>
  </si>
  <si>
    <t>2019-12-23 00:46:10</t>
  </si>
  <si>
    <t>Lien Nguyen</t>
  </si>
  <si>
    <t>100015922846819</t>
  </si>
  <si>
    <t>Mấy bạn cho mình xin tips trị mụn với ạ. Đợt e xài mtm giờ da dẻ chán, sắp Tết rồi mà stress quá 😢😢😢 E đã ngưng tất cả mỹ phẩm rồi
Mong ad duyệt bài</t>
  </si>
  <si>
    <t>2019-12-01 02:58:10</t>
  </si>
  <si>
    <t>Trang Thùy</t>
  </si>
  <si>
    <t>100028466663947</t>
  </si>
  <si>
    <t>#đẹp_chanh_sả
#Rụng_tóc. 
Ad và mọi người tư vấn giúp em 😭😭
Chẳng là ngày xưa tóc em nổi tiếng là vừa dày vừa đẹp mà bây giờ nó rụng hơn nửa đầu. Và bắt đầu tình trạng hói rồi ạ. 
Mỗi lần em chải đầu hay gội đầu thì rụng cả nắm to ấy. 
Với lại đầu em bị nhiều gầu nên ngày nào cũng phải gội, đã rụng tóc rồi lại càng rụng hơn. 
Nên em mong mọi người tư vấn cho em tio mọc tóc với bớt gầu. Chứ em sợ mới 20 tuổi đầu đã bị hói rồi ạ. 
Em dùng nhiều loại đặc trị gàu lắm rồi mà không đỡ một chút nào luôn. Đầu em giờ nó thưa đến nỗi buông tóc ra nhìn thấy mảng da đầu ạ.</t>
  </si>
  <si>
    <t>2019-11-11 12:38:08</t>
  </si>
  <si>
    <t>Nguyễn Phượng</t>
  </si>
  <si>
    <t>100010643912933</t>
  </si>
  <si>
    <t xml:space="preserve">#Rụng_tóc #đẹp_chanh_sả </t>
  </si>
  <si>
    <t>Cần lắm 1 sp giảm nám cho mẹ
Cả nhà chỉ giúp em với ạ</t>
  </si>
  <si>
    <t>2019-11-28 13:42:00</t>
  </si>
  <si>
    <t>Xuong Rong Khong Gai</t>
  </si>
  <si>
    <t>100003141622768</t>
  </si>
  <si>
    <t>Mong ad duyệt bài cho e với ạ 😭😭😭
E chào các chị đẹp mong các chị tư vấn cho e với ạ
Da e trc kia sài dính trị mụn Cổ mộc lan e ngừng dk 1 thời gian cách đây 2 tháng lại dính detoxblac xong da e bị thâm sạm mụn ẩn mụn đầu đen nhiều
 ..xong e mới biet skincare từ lúc vào nhóm này
Hiện tại e đg chăm sóc da như này ak. Các chị xem có ổn ko 
E dùng tẩy trang bioderma hồng
Kem trống nắng của nga
E dùng bộ sản phẩm fraijour trừ tẩy trang
Red peed xong e đắp mask trà xanh 
Mask thải độc bì heo hàn quốc 
Serum derladie được tầm 15 ngày mà cải thiện dk 1 chút nhưng da mặt vẫn bị đen hơn body .. 😢😢😢</t>
  </si>
  <si>
    <t>2019-11-20 05:28:32</t>
  </si>
  <si>
    <t>Tâm Tâm</t>
  </si>
  <si>
    <t>100007730956343</t>
  </si>
  <si>
    <t>#kemnen #foudation #mongnhe #dathuong #itkhuyetdiem
Mng cho e xin recommend về kem nền mỏng nhẹ dành cho da ít khuyết điểm với ạ. E thường dùng cushion nhưng thấy nó nhanh hết quá. e cảm ơn ạ ❤</t>
  </si>
  <si>
    <t>2019-06-15 08:53:11</t>
  </si>
  <si>
    <t>Hồng Quỳnh</t>
  </si>
  <si>
    <t>100002875519110</t>
  </si>
  <si>
    <t xml:space="preserve">#itkhuyetdiem #dathuong #mongnhe #foudation #kemnen </t>
  </si>
  <si>
    <t>#tamsu
[Góc tâm sự] 
Hôm nay rảnh rỗi nên em có lượn lờ vào một quán bán mĩ phẩm gần nhà. Trời ơi, vào liếc qua một cái là thấy cả 1 nùi kem trộn với mĩ phẩm fake. Chả là quán đấy là đại lý phân phối của magic skin, vậy cho nên điều dĩ nhiên là tất cả những sản phẩm của magic skin sẽ được tâng lên tận mây xanh. Mà có một điều hơi thiếu công bằng là mấy bà bán kem trộn da đều đẹp vcl :(( (hoặc ít nhất là mấy bà ở chỗ em). Vậy cho nên càng có bằng chứng để các bà ý pr cho mấy cái kem trộn kia kiểu như là “chị dùng nên da mặt chị mới đẹp vậy đấy” rồi là “nếu bị gì thì mặt chị đã bị rồi”. Và tiếp sau đó, bản năng muốn đẹp của những người phụ nữ sẽ trỗi dậy và tin răm rắp lời của những người bán hàng dởm kia. Quay trở lại vấn đề chính ngày hôm nay, lúc em đến thì thấy có 2 chỉ gái cũng khá trẻ, nhìn cũng không đến nỗi là không biết dùng mạng xã hội. Vậy mà thay vì bỏ ra 5-10 phút tìm kiếm thông tin về các sản phẩm dưỡng và các bước chăm sóc da thì các chị ấy lại đi tin lời của mấy bà bán kem trộn là (em sẽ trích nguyên văn lời của người bán hàng luôn): “da em mụn nên ban ngày đi ngoài đường về thì chỉ cần rửa mặt thôi rồi dùng kem dưỡng da này (1 sp magic skin) không cần tẩy trang hay gì”. Trời đất ơi thật không thể hiểu nổi, trong khi người ta khuyến cáo rằng mọi người nên tẩy trang hằng ngày ngay cả khi không dùng các sản phẩm dưỡng da thì 1 sản phẩm trị mụn chỉ cần bôi lên mặt là xong mà không cần làm sạch hay gì. Rồi không chỉ magic skin mà hàng loạt các sản phẩm hàng giả hoặc có hại cho sức khoẻ mọi người đều được bày bán trong quán này. Detox blanc - kem trộn được pr bởi cả tá hotgirl trên mạng còn được bày trong 1 tủ riêng có đèn trông như là trưng bày 1 sản phẩm nổi tiếng. Máy rửa mặt foreo thì được bán chỉ với giá 70.000 đồng. Những loại mặt nạ giấy chỉ từ 5000- 10000 đồng được quảng cáo với hàng tá công dụng trên trời dưới đất cùng rất nhiều sản phẩm của các hãng mĩ phẩm Hàn với giá siêu rẻ. Mạng xã hội ngày càng phát triển, nhưng có những con người thà tin vào những lời ong bướm của người bán hàng mà bỏ qua những lời cảnh báo của người khác, đến khi khuôn mặt bị hỏng và dù có tốn hàng triệu đồng cũng chưa chắc đã phục hồi được thì lúc bấy giờ mới ân hận. Nhìn những người phụ nữ ở quê muốn chăm chút cho bản thân một tí thì lại vướng ngay vào mấy mụ kem trộn mà thấy thật buồn. Mà không chỉ thiệt hại về sức khoẻ kèm theo đó còn cả 1 đống tiền đổ vào cùng. Vì vậy nên mỗi chúng ta đều phải trang bị cho mình lượng kiến thức vừa đủ để có thể bảo vệ bản thân và những người xung quanh khỏi những thứ độc hại đó ngay từ bây giờ. Và em cũng mong rằng mọi người trong hội sẽ luôn đồng lòng để diệt trừ những đứa thất đức bán kem trộn ngoài kia. Em cảm ơn vì mn đã đọc những dòng này của em ạ.</t>
  </si>
  <si>
    <t>2019-08-13 12:06:24</t>
  </si>
  <si>
    <t>Quỳnh Trang Vũ</t>
  </si>
  <si>
    <t>100006345570029</t>
  </si>
  <si>
    <t xml:space="preserve">#tamsu </t>
  </si>
  <si>
    <t>Mọi người ơi cho em hỏi sản phẩm này mọi người dùng thử qua cảm nhận thế nào ạ! 
Em đang định đặt một lọ xanh lá để dùng,em 16t</t>
  </si>
  <si>
    <t>2019-12-15 01:15:45</t>
  </si>
  <si>
    <t>Dương Ánh</t>
  </si>
  <si>
    <t>100042501093639</t>
  </si>
  <si>
    <t>#ask
Mn ơi cho e hỏi có loại nào dùng cho body trắng lên k ạ. Da e thuộc loại da lì khó trắng. Muốn trắng tí để dễ mặc đồ. Hic</t>
  </si>
  <si>
    <t>2019-11-17 07:59:56</t>
  </si>
  <si>
    <t>Nhi Trương</t>
  </si>
  <si>
    <t>100027243011007</t>
  </si>
  <si>
    <t>Tay mình vào mùa lạnh thì bị như thế này . Có bạn nào bị giống mình và sử dụng sản phẩm nào hết ko ạ ? Chỉ giúp mình với 😭😭😭 nhìn rất ghê và rát phần thịt bị bong ra ạ . Mong add duyệt bài</t>
  </si>
  <si>
    <t>2019-12-09 05:11:25</t>
  </si>
  <si>
    <t>Trân Trân</t>
  </si>
  <si>
    <t>100006272376308</t>
  </si>
  <si>
    <t>Em nay 16t, em từng dính #SẮC #HỒNG #TRỊ #MỤN , xong nó mịn da 1 thgian rồi nó lên nhiều, em đi gia liễu khám và nặn mụn(bs có kê thuốc uống ) rồi bị rỗ , em có đi spa trị thâm mà không đỡ lắm, nhìn tụi bạn cỡ lứa em , ai nấy cũng da vẻ láng mịn thấy ham, nhìn mình lại thấy chán. 
Vừa rồi #SOME #BY #MI có sale, em lướt hội cũng thấy review về sp này khá nhiều nên em mới quyết định mua về dùng. Các chị cho em ý kiến với ạ, em không biết nên sài gì trước hết ạ
Da em da dầu,mụn thâm,sẹo rỗ... tiện cho em xin cách khắc phục hết quầng thâm mắt với ạ</t>
  </si>
  <si>
    <t>2019-10-22 12:01:38</t>
  </si>
  <si>
    <t>Võ Hoàng Ánh</t>
  </si>
  <si>
    <t>100010807574613</t>
  </si>
  <si>
    <t xml:space="preserve">#MI #BY #SOME #MỤN #TRỊ #HỒNG #SẮC </t>
  </si>
  <si>
    <t>Mắt em bị nổi 2 mục ở hai bên như thế này cũng tầm năm mấy rồi, cho em hỏi mấy chị có phương pháp nào trị được không ạ 😭 Em cám ơn nhiều ạ 😍</t>
  </si>
  <si>
    <t>2019-12-19 11:26:05</t>
  </si>
  <si>
    <t>Võ Ngọc Huyền</t>
  </si>
  <si>
    <t>100010227242878</t>
  </si>
  <si>
    <t>#help #trịmụn #thâmmụn 
Đây là tình trạng da mặt của em sẹo rỗ, mụn mủ, mụn đầu đen đủ hết ạ. Mọi người cho em xin cách khắc phục với ạ. Em cảm ơn nhiều ạ. Em nay 18 mùa khoai sọ ạ</t>
  </si>
  <si>
    <t>2019-12-10 02:38:33</t>
  </si>
  <si>
    <t>Mạc Phương Thảo</t>
  </si>
  <si>
    <t>100015058179815</t>
  </si>
  <si>
    <t xml:space="preserve">#thâmmụn #trịmụn #help </t>
  </si>
  <si>
    <t>#Help
Help mình với ạ. 
Mấy bữa nay môi mình đang bị fail lắm ạ. Trc đó mình có dùng son Black Rouge nhưng môi vẫn bthg, tầm 3 ngày trc mình hứng nên có sử dụng dưỡng Vaseline trc khi đi ngủ, ko biết có phải bị dị ứng nó ko hay mình bị di ứng do gì mà môi mình tự nhiên nó thâm, khô như trong hình mà sần lắm sờ rõ sần lắm cả nhà ơi nhất là ở viền môi. 2ce sd 2 lọ Vaselline khác nhau mà đứa e vẫn bth và môi thì hồng hào lắm nhưng mình lại bị như  vậy. Ko biết có phải mình dị ứng Vaselline hay là lọ của mình mua phải fake ạ. Vaselline mình mua ở Hasaki chứ ko phải mua hàng chợ hay trên mạng ạ. Hiện tại mình đã ngưng ko sd nữa r ạ
Mng có tip nào trị tình trạng này của mình thì cho mình tham khảo với ạ
Thank cả nhà đã đọc tin ạ ❤</t>
  </si>
  <si>
    <t>2019-11-16 23:40:02</t>
  </si>
  <si>
    <t>Kim Oanh</t>
  </si>
  <si>
    <t>100009950987694</t>
  </si>
  <si>
    <t>Chuyên mục ngựa ngựa đón Tết 
Mọi người cho em hỏi với cái mặt như này và một mái tóc dày gấp 3-4 lần người khác thì nên làm tóc thế nào đi chơi Tết cho xinh ạ ?</t>
  </si>
  <si>
    <t>2019-12-22 22:10:39</t>
  </si>
  <si>
    <t xml:space="preserve">Chào mọi người 
E bị mụn trứng cá 
E đi khám lần 1 bs kê cho thuốc như hình 1 e uống thấy đỡ mụn . E đi khám da liễu lần 2 e
bảo bác sĩ kê cho e loại nhẹ hơn đỡ ảnh hưởng sk sinh sản bác sĩ kê mấy loại như cũ bỏ bonpile thêm xavakamit để trị mụn e lên google chả thấy tác dụng trị mụn gì mà toàn tăng cường hệ miễn dịch 
Bác sĩ kê đơn cho e ra ngoài mua thuốc 
E phân vân quá 
Ai dùng loại này chưa cho e rv với 
Mong ad duyệt bài giúp e e cám ơn ạ 
</t>
  </si>
  <si>
    <t>2019-12-03 09:56:45</t>
  </si>
  <si>
    <t>Các chị cho em hỏi bệnh viên da liễu trị sẹo tốt ko ạh ?? 
Em có vết sẹo phỏng bị thâm tầm 20 ngày 
Đang xài contractubex nhưng em nghĩ ko mờ nhiều nên dự định đi BV Da Liễu . Thấy nhiều chị nói bắn laser gì đó ah 
Cám ơn mọi người</t>
  </si>
  <si>
    <t>2019-12-21 13:17:57</t>
  </si>
  <si>
    <t>Thuy Ha Nguyen</t>
  </si>
  <si>
    <t>100007864054396</t>
  </si>
  <si>
    <t>#help 
Mình năm nay 27 tuổi rồi , lúc trước da mình hầu như chỉ bị mụn cám chứ không hề bị mụn ẩn hay mụn viêm . Đó giờ mình không có dùng mỹ phẩm dưỡng mà từ lúc bị giun đũa chó xong chữa hết rồi thì da bắt đầu tệ hẳn, có tập skin care các kiểu mà da cũng chỉ lên chút ít thôi . Dạo này hông hiểu sao  hay bị nổi mụn trên trán với cổ  ma mình có vệ sinh sạch thì đâu đc mấy ngày lại nổi nữa . Mn có kinh nghiệm cho mình xin tên ít sp trị mụn vs chữa vết thâm ah .  
Da mình thuộc diện dầu vùng chữ T .
Mình hiện đang dùng 
Tẩy trang chacott
Lotion labolabo ( lâu lâu hay bị lên mụn nhọt nhỏ có khi không ) 
Ttb rosette Aha 
Dưỡng mắt TO
TO acid 2% + b5
Xit khoáng 
Dưỡng ẩm thì đang test có mấy loại dị ứng 😞 
Mong ad duyệt bài ah mình cảm ơn :3 .</t>
  </si>
  <si>
    <t>2019-11-30 12:40:20</t>
  </si>
  <si>
    <t>Bé Đen</t>
  </si>
  <si>
    <t>100008626742512</t>
  </si>
  <si>
    <t>#cắtmí
Các chị em cho em hỏi giữa cắt mí và nhấn mí thì nên chọn cái nào a? Em muốn làm kiểu mí tự nhiên thôi.
Vì mắt em 1 bên 2 mí 1 bên rất nhiều nếp mí, nhìn mắt kiểu bên to bên nhỏ làm em khá tự ti, trước cả 2 bên của em đều bình thường 2 mí. Nhưng khoảng gần 4 năm nay một bên mí bị như vậy.
Em cảm ơn nhiều ạ !!!</t>
  </si>
  <si>
    <t>2019-08-01 04:21:34</t>
  </si>
  <si>
    <t>Khánh Quỳnh</t>
  </si>
  <si>
    <t>100005411864393</t>
  </si>
  <si>
    <t xml:space="preserve">#cắtmí </t>
  </si>
  <si>
    <t>Da em bị như vậy 2 bên má em nên dùng sản phẩm nào để trị mụn thâm ạ? Mụn mủ kia là do qua em uống cà phê với trà để thức học bài thôi :((( tết tới nơi r
#skincare #review #ask</t>
  </si>
  <si>
    <t>2019-12-12 08:04:45</t>
  </si>
  <si>
    <t>Ngọc Phạn</t>
  </si>
  <si>
    <t>100012681185084</t>
  </si>
  <si>
    <t xml:space="preserve">#ask #review #skincare </t>
  </si>
  <si>
    <t xml:space="preserve"> #megaduo #klenzitC
em da dầu do lúc trước dùng kem trộn và rượu thuốc da càng mỏng và độ nhảy cảm kinh khủng. em có cả mụn nội tiết . 
mn ai đã dùng 2 tuýp kem này rồi cho em cin ít review với ạ 😞
em ở nhật mới đặt hai tuýp này ở vn gửi sang 😐
em nghe bảo kh đc kết hợp hai kem này cùng một lúc . cả với salycilic acid nữa ạ 
#lần đầu đăng bài mong ad duyệt em cảm ơn ạ</t>
  </si>
  <si>
    <t>2019-10-24 12:15:33</t>
  </si>
  <si>
    <t>Đoàn Thị Như Quỳnh</t>
  </si>
  <si>
    <t>100009666341912</t>
  </si>
  <si>
    <t xml:space="preserve">#lần #klenzitC #megaduo  </t>
  </si>
  <si>
    <t xml:space="preserve">Mong ad duyệt bài dùm e với ạ
Chào mng! Mình núp ở trong gr cũng lâu rùi nhưg đây là lần đầu tiên đăng lên đây xin ý kiến mng với huhuuu
Da mình thuộc dạng nhảy cảm, nhưg bình thường thi thoảng mới nổi 1,2 cục mụn thui... mà ko hiểu sao dạo này mụn đua nhau nổi lên chi chít ở má với trán như thế này... Mng có sản phẩm nào trị mụn kiểu như thế này ko ạ, chứ cứ kiểu này ra đường tự ti quá mng ơi, mng giúp mình với
</t>
  </si>
  <si>
    <t>2019-12-07 08:02:12</t>
  </si>
  <si>
    <t>100003982357942</t>
  </si>
  <si>
    <t>#ask
Mọi người ơi cho em hỏi rằng nên làm như thế nào và dùng sản phẩm nào để phục hồi tóc hư tổn do tẩy nhuộm quá nhiều thế ạ
Tóc em do nhuộm tẩy mà không chăm sóc nên thành ra giờ nó khô sơ và rối lắm ạ , em k biết nên ra salon phục hồi hay là dùng những sản phẩm phục hồi để tóc trở về như cũ ạ
Mọi người giúp em với , em cảm ơn mọi người ạ</t>
  </si>
  <si>
    <t>2019-12-10 23:43:49</t>
  </si>
  <si>
    <t>Thuy Van</t>
  </si>
  <si>
    <t>100043875227501</t>
  </si>
  <si>
    <t xml:space="preserve">
#ask
#chamsoctoc
Chào mọi người, em 17t, em vừa trải qua một vụ rụng tóc kinh hoàng, nguyên nhân là do em bị áp lực, ăn uống mất cân bằng. Từ một đứa có mái tóc dày, khoẻ mà bây giờ em trở thành hói luôn rồi mọi người ạ 😭 nếu nhìn thẳng vào mặt thì bật rõ da đầu, những chỏm trắng luôn đấy ạ, tóc trở nên mỏng hơn rất nhiều và có phần yếu đi. Em muốn hỏi mọi người cách chăm sóc tóc cũng như những sản phẩm kích mọc tóc, giúp tóc khoẻ hơn. Cảm ơn mọi người 
Mong ad duyệt bài ạ 🙏</t>
  </si>
  <si>
    <t>2019-09-01 10:30:12</t>
  </si>
  <si>
    <t>Nguyễn Huỳnh Đan Thùy</t>
  </si>
  <si>
    <t>100008542323310</t>
  </si>
  <si>
    <t xml:space="preserve">#chamsoctoc #ask </t>
  </si>
  <si>
    <t>Em xin tips trị mụn trán với ạ. Trước em không bị mấy mà dạo này lên nhiều quá :((. Toàn mụn li ti ấy ạ</t>
  </si>
  <si>
    <t>2019-12-25 12:23:45</t>
  </si>
  <si>
    <t>Hong Hanh</t>
  </si>
  <si>
    <t>100028880802549</t>
  </si>
  <si>
    <t>Da mặt em gần đây do đặc thù công việc phải thức đêm và ngày đi làm nên thiếu ngủ, cộng với việc lạ nước nên da mặt lên mụn kinh khủng ạ. Trước đó em đã điều trị hai liệu trình tại một spa nhưng không có dấu hiệu giảm nên em đã ngừng. Mọi người có thể cho em tham khảo giá khám chữa tại viện da liễu hoặc các tuýp giảm không ạ 😞 chứ em làm PB mà da mặt như này thật sự rất khó khăn ạ 😢</t>
  </si>
  <si>
    <t>2019-12-22 05:12:29</t>
  </si>
  <si>
    <t>Nguyễn Hữu Hải</t>
  </si>
  <si>
    <t>100025444475021</t>
  </si>
  <si>
    <t xml:space="preserve">
#hoidap 
Mình vừa được tặng 1 cây son này, ck mình mua 850k, do xưa giờ chưa từng dùng nên mọi người cho mình hỏi là auth hay fake ạ?</t>
  </si>
  <si>
    <t>2019-11-26 06:04:13</t>
  </si>
  <si>
    <t>100004517100109</t>
  </si>
  <si>
    <t>Ai dùng kcn cell fusion C rồi e xin review với? 
E đang thử dùng loại laser thấy bôi xong ráo mặt nhưng cảm giác vẫn hơi bóng quá. Muốn thừ e màu hồng kia có tone up thì lớp finish có đẹp hơn ko ạ? Có nâng tone nhiều ko?</t>
  </si>
  <si>
    <t>2019-05-04 10:33:10</t>
  </si>
  <si>
    <t>Mỹ Linh Phạm</t>
  </si>
  <si>
    <t>100006470430995</t>
  </si>
  <si>
    <t xml:space="preserve">Hiện e có khá nhiều son rồi nhưng e muốn đổi màu son sang nâu hồng, hồng đất, ... Mn đang yêu thích son nào thì giới thiệu cho e với. E hoang mang vì nhiều son quá không biết chọn loại nào :((
Mong ad duyệt cho e ❤️
#review #lipstick </t>
  </si>
  <si>
    <t>2019-06-08 04:28:24</t>
  </si>
  <si>
    <t>Vũ Thảo Linh</t>
  </si>
  <si>
    <t>100005820487973</t>
  </si>
  <si>
    <t xml:space="preserve"> #lipstick #review </t>
  </si>
  <si>
    <t>#skincare #buoisang 
Cả nhà có ai buổi sáng thường rất lười mà chỉ đánh răng, rửa mặt, thoa miếng son rồi ra đường không? Hồi xưa em cũng vậy đó, ỷ y trường gần nhà nên còn không xài kem chống nắng, được một thời gian thì mụn anh mụn em thi nhau trổ khắp mặt, đã vậy buổi tối còn rửa mặt qua loa nữa, sau khi bị bác sĩ da liễu trị cho 1 trận thì về nhà mới tìm tòi nghiên cứu và đầu tư hơn vào các sản phẩm dưỡng da sáng và tối. Hôm nay em sẽ giới thiệu sơ về chi trình dưỡng da buổi sáng của em nhé.
-Rửa mặt. Sản phẩm srm em đang dùng là srm than bùn tự nhiên của Okame, em lựa chọn sản phẩm này vì thành phần peat tự nhiên loại bỏ nhờn và dầu sau khi ngủ dậy rất tốt, da đủ độ ẩm và sáng hơn
- Dưỡng ẩm. Vichy Water Gel: bình thường sau khi sữa mặt thì da thường khá căng, sau bước hoa hồng thì em hay sử dụng gel dưỡng ẩm để da mềm mịn hơn, dễ hấp thu các bước dưỡng tiếp theo
- Exage White Pure White Milk: dạng sữa màu trắng đục, hương thơm nhẹ nhàng mùi nước hoa, sản phẩm dưỡng trắng này rất tuyệt, độ hiệu quả nhiều hơn cả em kỳ vọng, cho những bạn chưa biết thì Albion là hãng mỹ phẩm cao cấp của Nhật, độ trắng rất hồng hào chứ không phải là kiểu trắng bệch như một số sản phẩm dưỡng khác
- Kem chống nắng Skinceuticals: sản phẩm có kết cấu lỏng, khi apply lên mặt thì thấm rất nhanh, không bị nâng tone mà màu tệp hẳn vào da, điểm cộng lớn nhất không chứa nước hoa, em là một người cực kỳ dị ứng với mùi kem chống nắng vì sau khi thoa xong thường em sẽ mang khẩu trang tầm hơn 30p đến công ty, nên những loại kcn bình thường hay khiến em bị ngộp, ngoài ra, em này có khả nắng chống nắng tốt với SPF 50
- Innisfree Green Team Cream: và cuối cùng em hay khóa ẩm bằng kem dưỡng này của Innisfree với kết cấu trắng đục, khá đặc, nói chung em này dưỡng ẩm tốt tuy nhiên không có tính năng kiềm dầu nên mình đang nghĩ đến việc đổi sang hãng khác sau khi sử dụng hết
- Dưỡng môi Atorrege AD+: dưỡng môi này ngoài khả năng làm mềm thì còn có thể tẩy tế bào chết nhẹ, với kết cấu mỏng nhẹ, không quá bóng, em này làm khá tốt vai trò dưỡng ẩm cho môi, sau một khoảng thời gian sử dụng em còn thấy môi hồng hào hơn hẳn</t>
  </si>
  <si>
    <t>2019-07-26 02:14:56</t>
  </si>
  <si>
    <t>Phùng Mỹ Hạnh</t>
  </si>
  <si>
    <t>100037074924253</t>
  </si>
  <si>
    <t xml:space="preserve">#buoisang #skincare </t>
  </si>
  <si>
    <t xml:space="preserve"> #foreolunamini2 #foreofofo 
Có bạn nào đang sử dụng máy rửa mặt của foreo không ạ,thật sự mình đang rất phân vân giữa luna mini 2 và luna fofo 
Luna mini 2 mình không còn gì để bàn cãi về công dụng của em nó rồi,nhưng mình vẫn phâm vân về cái chức năng phân tích da của em Luna Fofo tất nhiên về kích thước em ấy lại nhỏ hơn luna mini 2 và em ấy sử dụng pin,mọi người có thể cho mình một lời khuyên không ạ</t>
  </si>
  <si>
    <t>2019-05-04 08:03:01</t>
  </si>
  <si>
    <t>Hân Gia Ngô</t>
  </si>
  <si>
    <t>100004020288642</t>
  </si>
  <si>
    <t xml:space="preserve">#foreofofo #foreolunamini2  </t>
  </si>
  <si>
    <t>#ask  Ai ở bên nhật mà tình trạng da giống em k ạ . Da em bị nhiễm corticoid do dùng kem trộn . Giờ ở bên này nặn mụn thì không biết chỗ . Có chị nào ở bên này phục hồi da mà thành công chưa ạ . Chứ nản quá . Cứ mấy hôm nó hết rồi nó lại đỏ ửng rồi ngứa bong tróc da ạ</t>
  </si>
  <si>
    <t>2019-10-19 13:10:43</t>
  </si>
  <si>
    <t>Trần Lệ Thuỳ</t>
  </si>
  <si>
    <t>100010480574831</t>
  </si>
  <si>
    <t>#ask
Chào mn, da mình là da thường. Chỉ bị đổ dầu ít ở vùng chữ T. Gần đây da mình bị mụn ẩn ở vùng má dưới mắt mà ít và nhỏ lắm, sờ vào sần sần. K biết nên sd sản phẩm nào trị tốt á. E có nghiên cứu các chị em trong hội khuyên sd máy rửa mặt, redpeel, mask đất sét medimix.
K biết mn mua máy rmat ở shop nào có sẵn k ạ. Mình lên web xem toàn tiếng anh nên ngu ngu quá =(
Redpeel có đẩy mụn lên tốt k các chị, e cũng ham quá mà nghe đau châm chít nên cũng lo lo. Da e khá mỏng từ nhỏ. Thấy dc gân xanh mạch máu ở góc càm. Từ nhỏ đã v r
Mask medimix sd có tốt k mn, mình thấy giá cả hợp lý cũng có 1 số chị em khen lắm.
Và da mình mỏng nên có 1vai nốt tàn nhang k biết sd sản phẩm nào mờ đc k ạ
Ps. Mình đăng mãi k đc duyệt =(* hy vọng lần này dc. Lần này là lần thứ 4 r huhu</t>
  </si>
  <si>
    <t>2019-08-17 17:59:56</t>
  </si>
  <si>
    <t>Lê Ngọc Xuân Quang</t>
  </si>
  <si>
    <t>100004840335113</t>
  </si>
  <si>
    <t>#trimun
Mọi người ơi tư vấn giúp em cách trị mụn ẩn và sợi bã nhờn dưới cằm, xung quanh miệng, đầu mũi, phần má ngay dưới mắt à mụn ẩn trên trán nữa với ạ
Em đã thử đủ mọi cách từ xông mặt ngải cứu + muối+chanh hoặc gừng+chanh+xả rồi mask đất sét nhưng mà vẫn không thay đổi
Em skincare đủ bước ( tẩy trang, srm, lotion, serum) 
Ai cứu em với chứ thử nhiều cách rồi mà vô phương cứu chữa quá :(((
(Ảnh em lấy trên mạng nhưng giống tình trạng của em gần như 100%)</t>
  </si>
  <si>
    <t>2019-04-30 17:28:28</t>
  </si>
  <si>
    <t>100024545196451</t>
  </si>
  <si>
    <t>Mọi ngừơi cho em hỏi da em hiện tại bị sẹo rỗ đã 5 năm. Em dùng nhiều sản phẩm trị sẹo nhưng không cải thiện. Em thấy người ta đi spa để tiêm mô nuôi da trị sẹo. Mọi ngừoi đã có ai làm phương pháp này chưa? Cho e xin ý kiến với?</t>
  </si>
  <si>
    <t>2019-11-30 12:38:38</t>
  </si>
  <si>
    <t>Kim Phụng</t>
  </si>
  <si>
    <t>100022669333131</t>
  </si>
  <si>
    <t>#ask
#sonysl
#help
Các c ơi dòng này dùng cái nào thích hơn à. Trong 2 loại này có loại nào lên màu nào đỏ cam của bbia hay shu 570 không ạ.  Có chị nào có ảnh wast môi cho e xem với. Hic 
Mong ad duyệt bài cho em ạ</t>
  </si>
  <si>
    <t>2019-12-15 23:51:53</t>
  </si>
  <si>
    <t>Hương Ly</t>
  </si>
  <si>
    <t>100013296757086</t>
  </si>
  <si>
    <t xml:space="preserve">#help #sonysl #ask </t>
  </si>
  <si>
    <t>Mọi người tư vấn cho e kiểu tóc mới đx không ạ. E theo kiểu tóc này gần 20 nồi bánh chưng r ạ . Hỏi bạn bè mà mỗi đứa cho 1 mẫu nên hoan mang lắm mn . Mặt e tròn bành nữa 😌😌
Với có ai bị thâm đầu gối như e kh ạ . Khổ lắm diện đồ ngắn ngại lắm ạ
Thanks mọi người nhiều</t>
  </si>
  <si>
    <t>2019-12-22 09:38:52</t>
  </si>
  <si>
    <t>Trần Thị Thanh Thúy</t>
  </si>
  <si>
    <t>100044536393622</t>
  </si>
  <si>
    <t xml:space="preserve">Em muốn thay đổi kiểu tóc thì nên để như thế nào cho hợp ạ. Mặt em tròn, thịt hai bên má nhiều lắm. Với lại trán em có cái sấy to nên không để mái được luôn. Mong mng giúp em
</t>
  </si>
  <si>
    <t>2019-11-27 04:08:23</t>
  </si>
  <si>
    <t>Lê Bảo Vi</t>
  </si>
  <si>
    <t>100034786392015</t>
  </si>
  <si>
    <t>T sẽ chống mắt lên chờ da bã đẹp :))) hihi
#bocphot
#kemtron</t>
  </si>
  <si>
    <t>2019-12-17 10:58:40</t>
  </si>
  <si>
    <t>100040425521350</t>
  </si>
  <si>
    <t xml:space="preserve">#kemtron #bocphot  </t>
  </si>
  <si>
    <t>Các mày ạ, da t cứ đợt nào dùng phấn phủ là y như rằng mụn ẩn kéo nhau lên, bỏ dùng phấn thì vài tháng sau mụn mới đỡ. 
T cũng tẩy trang, skincare bằng mrm, toner các kiểu mà cứ dính mụn cm ạ. Cm có tip gì mà dùng phấn k bị lên mụn k? Cho t xin review về một số phấn phủ kiềm dầu, lành tính mà chúng m dùng đi.
#ask</t>
  </si>
  <si>
    <t>2019-03-08 09:42:25</t>
  </si>
  <si>
    <t>Dương Hương Giang</t>
  </si>
  <si>
    <t>100008089184216</t>
  </si>
  <si>
    <t>Xin mọi người kinh nghiệm chữa trị với chân</t>
  </si>
  <si>
    <t>2019-12-06 14:16:22</t>
  </si>
  <si>
    <t>100009288933394</t>
  </si>
  <si>
    <t>#nuochoa
Các c review giúp e loại nước hoa nữ mà các c đã dùng và thấy ưng ý nhất đi ạ. Ưu tiên những mùi thích hợp dùng cho mùa hè ạ. many thanks mọi ng</t>
  </si>
  <si>
    <t>2019-10-20 00:32:52</t>
  </si>
  <si>
    <t>Bảo Phương Nguyễn</t>
  </si>
  <si>
    <t>100006512061919</t>
  </si>
  <si>
    <t xml:space="preserve">#nuochoa </t>
  </si>
  <si>
    <t>Chào mng em mới 17t  từ nhỏ đến g em bị tóc bạc bẩm sinh. Càng lớn em càng thấy tóc bạc em nhiều hơn :((( tóc em rất rất là dày nma đụng vô sẽ thấy nó siêu cứng và xơ như sợi cước v 🙂mặc dù em chưa bao g uốn duỗi hay nhuộm gì làm tổn hại đến tóc. Em còn bị rụng tóc nhiều nữa ạ vuốt ra 1 cái là dc nhúm tóc rồi :((((
Mng có cách nào trị tóc bạc vs lại làm mềm tóc kh ạ
 #ask</t>
  </si>
  <si>
    <t>2019-12-08 08:25:36</t>
  </si>
  <si>
    <t>Bánh Trứng</t>
  </si>
  <si>
    <t>100036909065187</t>
  </si>
  <si>
    <t>M.n ơi tình trạng mụn của em bayh làm thế nào để hết đc mụn ạ 
4 tháng trời nay cứ lên mụn hết xong lại lên chưa lúc nào mặt đc yên😭😭😭
Đi ra đường lúc nào cũng phải bịt khẩu trang 
Mà chỉ mọc hầu nhue ở quay mồm vs cằm thôi ạ😪
M.n có cách nào mách em với ạ</t>
  </si>
  <si>
    <t>2019-11-27 00:43:29</t>
  </si>
  <si>
    <t>Lê Thị Thanh Hiền</t>
  </si>
  <si>
    <t>100011781695690</t>
  </si>
  <si>
    <t>#ask  #lamtoc
Mọi người ơi cho e hỏi ở hn thì salon nào làm tóc đẹp ạ ? Và nếu mua dưỡng tóc để giữ nếp tóc sau khi uốn giả thì mua loại nào ạ, tại e k muốn nó cứng đơ kiểu xịt gôm ấy ạ.</t>
  </si>
  <si>
    <t>2019-08-22 02:30:46</t>
  </si>
  <si>
    <t>Đặng Thảo</t>
  </si>
  <si>
    <t>100026087380048</t>
  </si>
  <si>
    <t xml:space="preserve">#lamtoc  #ask </t>
  </si>
  <si>
    <t>#help❤️
Mọi người ơi giúp e với ạ,gần tết rồi mà da e nó ntn đây ạ
Mặt đầy lông,lỗ chân lông to,mụn ẩn mụn đầu đen mụn j cũng có đủ cả,da mặt thì k đều màu vs da cổ,tàn nhang đủ kiểu.mọi người có thể tư vấn giúp e vài sp để cải thiện da dk k ạ
Hiện tại e đang dùng tẩy trang loreal
Srm innisfree
Đắp mặt nạ đậu đỏ và xông mặt bằng lá tía tô tuần 2 lần ạ
Tone AHA-BHA-PHA ạ
Ad ơi duyệt bài hộ e vs ,a đăng đây là lần thứ 3 rồi mà chưa dk duyệt ạ😢😢😢</t>
  </si>
  <si>
    <t>2019-12-14 03:09:53</t>
  </si>
  <si>
    <t>Vô Thường</t>
  </si>
  <si>
    <t>100040309401126</t>
  </si>
  <si>
    <t xml:space="preserve"> #mask #matna
Thế giới mask đa dạng quá, em không biết nên chọn loại nào để dùng nữa. Mọi người cho em xin review về những loại mask mà mọi người yêu thích và có hiệu quả tốt với ạ! Em cảm ơn ❤</t>
  </si>
  <si>
    <t>2019-10-22 14:30:29</t>
  </si>
  <si>
    <t>Nguyễn Thị Cẩm Nhiên</t>
  </si>
  <si>
    <t>100040399397938</t>
  </si>
  <si>
    <t xml:space="preserve">#matna #mask </t>
  </si>
  <si>
    <t>#ask #tips #outfit 
Chào mọi người, mình cao 1m57, nặng 52kg, vòng 1 hơi to, bắp tay hơi to, nhưng mông lép thì nên mặc outfit nào thì hợp ạ?
Mình thích style áo hai dây, quần ống rộng, áo croptop, nhưng lần nào đi thử đồ mặc vào thì cũng không vừa mắt. 
Mong mọi người chỉ giáo thêm ạ. Mình cảm ơn!</t>
  </si>
  <si>
    <t>2019-10-12 03:49:45</t>
  </si>
  <si>
    <t>Du Miên</t>
  </si>
  <si>
    <t>100008320264731</t>
  </si>
  <si>
    <t xml:space="preserve"> #outfit #tips #ask </t>
  </si>
  <si>
    <t>#kemtrộn 
Đúng là làm giàu k khó chỉ cần bán kem trộn là có ngay tiền tỉ đúng k các m 😌
Còn mời cả bác sĩ chuyên khoa 😂
Bảo sao nhiều người đâm đầu vào bán 😩</t>
  </si>
  <si>
    <t>2019-03-24 15:56:03</t>
  </si>
  <si>
    <t>Đào Huyền Ngân</t>
  </si>
  <si>
    <t>100004204812197</t>
  </si>
  <si>
    <t xml:space="preserve">#kemtrộn </t>
  </si>
  <si>
    <t>#ask #help
Mng ơi cho em hỏi thuốc sức thẹo nào tốt ạ? Em bị bỏng nước sôi hồi t4 tuần trước, h thì cũng lành r nhưng để lại sẹo ntn 😭😭 em thì thường mặc quần ngắn vs đầm nên các cao nhân hãy cho em xin 1 loại thuốc sức thẹo nào ạ. Em cảm ơn ❤️❤️</t>
  </si>
  <si>
    <t>2019-08-25 15:07:50</t>
  </si>
  <si>
    <t>Tuyết Nhi</t>
  </si>
  <si>
    <t>100017470594758</t>
  </si>
  <si>
    <t>Chắc ai cũng đã từng 1 lần nhỉ :)))
Cre FB</t>
  </si>
  <si>
    <t>2019-12-24 04:16:59</t>
  </si>
  <si>
    <t>Vân Kỳ</t>
  </si>
  <si>
    <t>100027296057506</t>
  </si>
  <si>
    <t xml:space="preserve">
Mong ad duyệt và đăng bài của em lên với ạ 😢♥️
Có ai xài tinh chất bơ của nhà này chưa ạ? E đang có 1 lọ và đang xài nhưng có mấy lần lướt trong nhóm thấy có nhiều chị bảo là hàng trộn nên em hơi hoang mag có nên tiếp tục xài không ạ? 
T2 - là em đang tìm 1 loại kcn và kem dưỡng ẩm , kem  dưỡng trắng da ạ. Da em thuộc da hh thiên dầu , bị dầu vùng chữ T 2 bên má thì lại khô , có ai dùng 3 loại kem ở dưới chưa thì cho em xin ít review với , hoặc có loại kem nào dưỡng ẩm dưỡng trắng tốt thì mách cho em với ạ 
Em còn 1 vấn đề đau đầu nữa là mụn đầu đen và lỗ chân lông ạ😣😣
Mong mọi người phản hồi cho em với ạ ♥️♥️♥️♥️</t>
  </si>
  <si>
    <t>2019-09-18 00:27:26</t>
  </si>
  <si>
    <t>Em chào các anh chị ạ
Tình trạng mụn của e bây giờ cấp bách lắm rồi ạ. Da e là da hỗn hợp và thâm lâu, sần sùi,lcl to nữa. Mấy nốt đỏ 2 bên má đã xuất hiện đc 2 tuần rồi. Do còn là hs, kinh tế hạn hẹp và ms chập chững trên con đường skincare nên e chỉ dùng srm Hazeline và kcn vichy thôi ạ. Ac tư vấn giúp e để giảm bớt tình trạng mụn và bộ skincare phù hợp vs ạ.</t>
  </si>
  <si>
    <t>2019-12-02 06:05:53</t>
  </si>
  <si>
    <t>Minh Ngọc</t>
  </si>
  <si>
    <t>100033950733474</t>
  </si>
  <si>
    <t>#help
Mng cho em hỏi đã ai bị như em chưa ạ . Em bị hơn cả tháng nay điên đầu quá . Với mng ai biết bsi da liễu nào ở hcm trị được k ạ</t>
  </si>
  <si>
    <t>2019-11-27 06:36:15</t>
  </si>
  <si>
    <t>100022767001853</t>
  </si>
  <si>
    <t>Mong ad duyệt ạ 💓 mn ơi e 18 tuổi r nhưng vòng 1 lại nhỏ kh bt mn có cách gì để giúp cải thiện kh ạ xin mn cho ý kiến hoặc review sản phẩm đã từng dùng qua ạ 💓e cám ơn nhiều 💓</t>
  </si>
  <si>
    <t>2019-12-03 02:09:59</t>
  </si>
  <si>
    <t>Nguyễn Trần Anh Thư</t>
  </si>
  <si>
    <t>100007902077798</t>
  </si>
  <si>
    <t>E chào mn ạ
Túi e bị dính màu bẩn như này làm thế nào để hết ạ
Ad duyệt bài giúp em vs nhé
Em cảm ơn mn😊</t>
  </si>
  <si>
    <t>2019-12-19 23:23:00</t>
  </si>
  <si>
    <t>NgỌc Lỳ</t>
  </si>
  <si>
    <t>100015767508495</t>
  </si>
  <si>
    <t>có ai giống em không ạ đầu tóc lúc nào cũng bị dầu duy nhất là mỗi lần gội xong là không bị . Có ai biết cách để làm bớt dầu ở tóc không ạ chỉ giúp em với ạ</t>
  </si>
  <si>
    <t>2019-12-15 15:54:47</t>
  </si>
  <si>
    <t>Nguyễn Nam Hồng</t>
  </si>
  <si>
    <t>100026906555740</t>
  </si>
  <si>
    <t>Có ac nào recom cho e một sp hoặc tips trị cái nay dc k ạ 
Khoảng 1 thg trc e bị té mà h van ch lanh hẳn a huhu</t>
  </si>
  <si>
    <t>2019-11-25 14:25:28</t>
  </si>
  <si>
    <t>Nhi Tue</t>
  </si>
  <si>
    <t>100038478338357</t>
  </si>
  <si>
    <t>#redCserum nghe mn rv dùng loại này trị thâm tốt nên e mới đầu tư. Có ai mua về mở lắp ra để thay vòi bơm vào bị như này ko ạ? E nghe mùi rượu rất rõ.</t>
  </si>
  <si>
    <t>2019-11-25 13:41:01</t>
  </si>
  <si>
    <t>Nguyen Yen</t>
  </si>
  <si>
    <t>100001724632324</t>
  </si>
  <si>
    <t xml:space="preserve">#redCserum </t>
  </si>
  <si>
    <t xml:space="preserve">Giúp em với ạ 😭
Da em hhtd,2 hôm nay mọc lên vài cục mụn sưng đỏ không nhân ,hơi đau và ngứa. Mọi người cho em vài sản phẩm đuổi nó đi với ạ.
 Và cho em thêm ít tips về ăn uống nữa ạ. 
Em mỗi ngày uống 1 ly nước cam không đường
Uống 2l nước 
À trước khi lên mụn thì hằng ngày em có uống 700ml sữa đậu nành kh đường trong 1 tuần 
Routine của em : srm Hazeline, tẩy trang loreal nắp xanh nhạt, BHA,CC melano, kcn Senka (lúc bôi lúc không ) 
</t>
  </si>
  <si>
    <t>2019-11-29 11:06:43</t>
  </si>
  <si>
    <t>Ngọc Ngọc</t>
  </si>
  <si>
    <t>100040257201166</t>
  </si>
  <si>
    <t>Mọi người cho em hỏi dáng môi vừa xấu vừa thâm như vậy khử thâm có hết được không ạ? Tuần sau em khử với phun mà sợ nó ra màu bầm quá. Với môi dầy vậy nên phun như thế nào cho bớt dầy được không ạ? 😢
Em cảm ơn anh chị!</t>
  </si>
  <si>
    <t>2019-11-16 15:15:40</t>
  </si>
  <si>
    <t>Trà Trà</t>
  </si>
  <si>
    <t>100036992835221</t>
  </si>
  <si>
    <t xml:space="preserve">Cho tớ xin bí quyết giúp tóc không bị bết dầu với ạ , đi học mới tiết 3 thôi mà tóc đã quá trời dầu 😢
</t>
  </si>
  <si>
    <t>2019-11-03 11:49:22</t>
  </si>
  <si>
    <t>Dinh Anh Tài</t>
  </si>
  <si>
    <t>100014523944093</t>
  </si>
  <si>
    <t>Cho em xin vài sữa rửa mặt cho Nam da dầu ạ
#suaruamat</t>
  </si>
  <si>
    <t>2019-11-04 14:07:23</t>
  </si>
  <si>
    <t>Gia Cát Nhật</t>
  </si>
  <si>
    <t>100022227421143</t>
  </si>
  <si>
    <t xml:space="preserve">#suaruamat </t>
  </si>
  <si>
    <t>Mong ad duyệt giúp em
- Các chị ơi cho em hỏi da nổi như vậy phải nấm da hay viêm da cơ địa ạ. Từ đó giờ em chưa bh bị ☹️ mà sao bh nổi nhiu lắm ak. Tối đến là hơi ngứa ạ. Có cách nào trị ko ạ , em bùn quá hix hix 😭</t>
  </si>
  <si>
    <t>2019-12-05 07:08:47</t>
  </si>
  <si>
    <t>Lan Thanh</t>
  </si>
  <si>
    <t>100040686275042</t>
  </si>
  <si>
    <t xml:space="preserve">
#ask
#serum
Fb mig ai dùng sr này chưa ạ. Cho e xin ít review với. E dùng khoảng 3 hm nay mà thấy hơi thất vọng. Da bị nổi mụn ẩn, ngứa ngứa mặt. Hic hic. Đắt mà có vẻ ko sắt ra miếng. 😩😩😩.</t>
  </si>
  <si>
    <t>2019-11-27 03:35:13</t>
  </si>
  <si>
    <t>Mai Phương Nguyễn</t>
  </si>
  <si>
    <t>100003881429093</t>
  </si>
  <si>
    <t>Em chào m.n ạ. Nhờ mọi người tư vấn giúp em với ạ. Chứ thực sự e cũng chả biết làm thế nào 😩
Em có mọc 1 cái mụn như ảnh ( mụn nước , không có nhân bên trong ) - . Sau đó e lỡ tay cậy ra 😩 và mụn lành thì em có bôi gel trị sẹo . Nhưng khi bôi xong nó lại để lại dấu tích như ảnhh. Giờ mụn đã khô và lành . Còn lớp vẩy xung quanh mụn thì n lại thâm lại và k cậy ra được . Rất mong mọi người chỉ giúp em phải làm sao ạ :((. 
Em cảm ơn m.n ạ!</t>
  </si>
  <si>
    <t>2019-08-28 05:51:30</t>
  </si>
  <si>
    <t>Thuu Trang</t>
  </si>
  <si>
    <t>100011517064403</t>
  </si>
  <si>
    <t>#danhaycam
Hội mình cho em hỏi da dầu và cực kì nhạy cảm thì nên xài kem chống nắng và kem dưỡng ẩm nào ạ?</t>
  </si>
  <si>
    <t>2019-06-05 07:01:53</t>
  </si>
  <si>
    <t>Đỗ Hân Hân</t>
  </si>
  <si>
    <t>100021857327723</t>
  </si>
  <si>
    <t xml:space="preserve">#danhaycam </t>
  </si>
  <si>
    <t>Mọi người cho em xin tips chăm sóc tay với ạ. Chị em lấy chồng mới làm đâu có 1 năm mà tay xuống cấp quá.
Cảm ơn mọi người
(Ảnh dưới là ảnh minh họa thôi ạ)
#chamsoctay</t>
  </si>
  <si>
    <t>2019-11-28 07:30:06</t>
  </si>
  <si>
    <t>Hân Hân</t>
  </si>
  <si>
    <t>100008030264431</t>
  </si>
  <si>
    <t xml:space="preserve">#chamsoctay </t>
  </si>
  <si>
    <t>Vì có nhiều bạn bè của e trong đây nên e xin phép dùng nick ảo mong ad duyệt bài giúp e ạ. E cảm ơn ad.
Da mình do cơ địa lcl to nên có mấy nốt đen dưới lcl mặc dù mình làm cách nào cũng ko khỏi hẳn đc ngày hôm sau lại bị lại như v. Dạo này 2 bên má mình cũng bắt đầu xuất hiện mấy nốt nâu mờ mờ ngày càng lan ra mấy nốt nữa nên mình muốn nhờ mn thể vấn làm sao cho hết sạch đc mấy hột đen dưới lcl và mấy nốt nâu ngay 2 má ạ. Mình có nên đi triệt lông mặt ko và nếu có thì triệt ở đâu an toàn ạ? 
Dạ mình thuộc dạng da dầu nhờn. Quy trình chăm sóc da của mình chủ yếu là làm sạch thôi ko dưỡng nhiều. Mình sẽ up hình và ghi chú dưới từng hình để bài ko bị dài.
Mong mn tư vấn giúp mình ạ. Mình cảm ơn mn nhiều.
#ask #tuvan</t>
  </si>
  <si>
    <t>2019-12-06 05:37:42</t>
  </si>
  <si>
    <t>Trần Lâm</t>
  </si>
  <si>
    <t>100035782239774</t>
  </si>
  <si>
    <t>#ask #munnoitiet #tritham
Các chị ơi, em 21 tuổi, đã có thời gian bị mụn viêm, mụn nội tiết lên ồ ạt, em đi nặn mụn lấy nhân, thì giờ cũng đỡ đi nhiều, nhưng để lại thâm đỏ mãi không hết :( ngoài ra em còn hay bị lên mụn đầu trắng khá to mà nặn ra toàn máu không ấy ạ
Da em da nhậy cảm, dễ lên mụn , dễ dị ứng, Giờ em chỉ dùng bột đậu để rửa - đắp mặt, và đang dùng blackmore anh thảo uống cải thiện. Các chị review em sản phẩm trị thâm an toàn với được không ạ, đồng thời cho em xin một số loại thực phẩm chức năng uống bổ sung vitamin có hiệu quả mà cải thiện tốt từ bên trong để giảm mụn nội tiết với ạ
Em cảm ơn ạ ❤</t>
  </si>
  <si>
    <t>2019-11-15 01:37:15</t>
  </si>
  <si>
    <t>Thùy Dương</t>
  </si>
  <si>
    <t>100005231051580</t>
  </si>
  <si>
    <t xml:space="preserve">#tritham #munnoitiet #ask </t>
  </si>
  <si>
    <t>#dadầu #mụn #help Mng cho em hỏi mặt em bị nổi mụn ẩn ,lỗ chân lông to và thâm khá nhiều .Em nên sử dụng loại mỹ phẩm nào để giảm bớt tình trạng này ạ . Da em còn bị nổi ửng đỏ hai bên má ạ .giúp em với ạ ....:((</t>
  </si>
  <si>
    <t>2019-12-07 05:14:03</t>
  </si>
  <si>
    <t>Linhh Nhii</t>
  </si>
  <si>
    <t>100011898346076</t>
  </si>
  <si>
    <t xml:space="preserve">#help #mụn #dadầu </t>
  </si>
  <si>
    <t>#ask #help #omisunbear 
Mong ad duyệt giúp em 🙏🙏
Mọi người check giúp em với . Kcn omi trước em dùng là chữ in vào phần hộp nhám . Còn lọ em mới mua chữ lại in ở phần vỏ bóng có thể bóc ra được😢 vậy cái nào là k chuẩn thế ạ</t>
  </si>
  <si>
    <t>2019-11-25 06:53:27</t>
  </si>
  <si>
    <t>Ly Lúa</t>
  </si>
  <si>
    <t>100010355673785</t>
  </si>
  <si>
    <t xml:space="preserve">#omisunbear #help #ask </t>
  </si>
  <si>
    <t xml:space="preserve">Mong ad duyệt ạ..
Mình bị mụn nội tiết quanh vùng cằm như này. Mình uống hoa anh thảo và kẽm nhưng hơn tháng rồi mụn vẫn k giảm.. mình có nên đổi thuốc và tpcn nào trị mụn nội tiết không ạ...
</t>
  </si>
  <si>
    <t>2019-11-26 15:29:48</t>
  </si>
  <si>
    <t>2 black rouge em mua cùng 1 shop.
Nhưng cây A21 nó dễ bị bay màu trên thân + đánh bợt hơn.
Mấy chị thông thái giúp em xem Fake hay Real thế ạ.
#blackrouge</t>
  </si>
  <si>
    <t>2019-12-08 08:26:41</t>
  </si>
  <si>
    <t>100005014037985</t>
  </si>
  <si>
    <t xml:space="preserve">#blackrouge </t>
  </si>
  <si>
    <t>Chào cả nhà. 
Sau chặng đường 10 năm dài đằng đẵng cuối cùng những đau đớn, cực khổ mà mình bỏ ra đã thu được trái ngọt. 10 năm với tổng số lần lên bàn mổ 9 đến 10 lần thì hôm nay mình xin phép được chia sẻ quá trình thay đổi nhan sắc, thay đổi cuộc đời của mình đến với mọi người.
Năm 2011, mình bắt đầu Sửa Mũi. 
Sáu tháng sau, mình tiến hành thủ thuật Thu Gọn Cánh Mũi và Kéo Dài Đầu Mũi.
Năm 2012, mình quyết định làm Cằm.
Năm 2013, ca phẫu thuật chỉnh - tạo hình môi được diễn ra.
Năm 2017, mình tiến hành cuộc Đại Phẫu Hạ Gò Má, Gọt Hàm, Trượt Cằm và làm lại Mũi lần 2.
Năm 2018, mình sửa lại Mũi lần thứ 3 Tháng 5/2019 vừa rồi, mình lại tiếp tục sửa mũi lần 4 vì ca mũi cũ của mình bị hỏng. Ngoài ra, mình cũng tiến hành ca phẫu thuật độn rãnh cười.
Và gần đây nhất là ca phẫu thuật chỉnh cằm vào tháng 7. 2019
Mình tin rằng chỉ cần mỗi chúng ta nhận ra giá trị của bản thân là thứ đắt đỏ nhất thì lúc đấy chẳng có điều gì mà chúng ta ko có thể có được ❤️</t>
  </si>
  <si>
    <t>2019-09-17 06:10:26</t>
  </si>
  <si>
    <t>Trần Đặng Phước Cường</t>
  </si>
  <si>
    <t>100004127479065</t>
  </si>
  <si>
    <t>Các anh chị cho E lời tư vấn ạ:Nam 22 tuổi.
Body tay chân E vẫn khá trắng nhưng ko hiểu sao DA MẶT càng ngày càg ĐEN,THÔ,RỖ do lỗ chân lông to có MỤN...
Ai cũng chê E nhìn mặt trôg già lam
Có anh nào rành về Mỹ Phẩm Nam cho E xin view cải thiện DA MẶT của E hiện tại không ạ?
NHÂN TIỆN E CÓ NGHE NGƯỜI KHUYÊN DÙNG MỸ PHẨM “Serum Thảo Dược Ngọc Linh Sâm” không biết có an toàn hay không?
E cám ơn</t>
  </si>
  <si>
    <t>2019-11-27 03:32:11</t>
  </si>
  <si>
    <t>Thái Lâm</t>
  </si>
  <si>
    <t>100014677995475</t>
  </si>
  <si>
    <t>Chân lý của cuộc đời mọi người là gì?
Chân lý của em là đi phun môi quá muộn luôn ạ 😂 2 ảnh của em đều là chụp cam thường hết nha. 
- Ảnh đầu là môi e lúc chưa làm và khi phun xong - làm buổi tối nên nhìn da vs môi có vẻ sạm, nhưng ở ngoài đợt chưa phun cũng thâm nặng luôn ấy ạ, tô son chả lên màu, mà tô xong hết son nhìn kinh dị hơn cả chưa tô cơ huhu :(((
- Ảnh 2 là ảnh e chụp cam thường bằng Ip nhé xong e cắt da lấy phần môi - chụp ban ngày nên nhìn có vẻ sáng sủa =))) mà ngoài cũng đẹp như vậy nữa luôn đó , mà e còn không kiêng kị gì cơ 😞 cứ ăn vs uống mãi xong toàn quên là mình mới phun môi 😭😭. Môi của em còn 1 tuần nữa mới được 2 tháng( phun đỏ cam, tông cam nhiều hơn ).
- E đăng bài để cho ce nào còn do dự phun môi sợ già thì đi làm ngayy đi =))) bạn e xui em khoảng 3 năm rồi mới đi làm đang tiếc hùi hụi đây nàyyy 😭😭. Không son lúc nào cũng xinh, đi ngủ cũng cứ bị xinh ý 😂😂hihi</t>
  </si>
  <si>
    <t>2019-09-28 06:51:01</t>
  </si>
  <si>
    <t>Hoàng Hân</t>
  </si>
  <si>
    <t>100028246629827</t>
  </si>
  <si>
    <t>Cả nhà ai đã mua máy rửa mặt lumi spa , hoặc ai có kinh nghiệm cho em xin ý kiến với ạ . 
Em thấy trên tiki có 2 loại máy bán giá khác nhau . 
Ở ngoài web thì cũng có giá khác . 
Theo như em thấy thì hàng xách tay hoặc nhập khẩu chính hãng từ Mỹ chắc phải tốt hơn là hàng liên doanh . 
Ví dụ như đợt trước em xài kem đánh răng của Nuskin e thấy thích , xong mấy hotgirl quảng cáo , bán theo hệ thống , dạng đa cấp ý thì kem đánh răng chán hơn . 
 Em ko biết cái công ty Nuskin ở Việt Nam này nó có uy tín , máy có giống như máy từ Mỹ không . 
 Em gọi lên tổng đài Tiki thì họ nói như nhau , vì ví dụ như iphone là từ Mỹ , nhưng đặt hàng tại Trung Quốc thì vẫn theo quy chuẩn đặt ra từ công ty mà . 
Em suy nghĩ nếu nó cũng thế thì mua loại ít tiền cũng được , sao phải bỏ nhiều tiền đúng không cả nhà . 
 Nhưng mà em lại băn khoăn vì theo em biết được thì Trung Quốc họ sản xuất sản phẩm xuất đi thị trường các nước khác tốt hơn sản phẩm xuất về Việt Nam , nên giá thành mới khác nhau .
 Vậy theo cả nhà em nên mua loại nào ạ . 
Em cám ơn .
, #mayruamat</t>
  </si>
  <si>
    <t>2019-11-02 09:45:06</t>
  </si>
  <si>
    <t>100011344399990</t>
  </si>
  <si>
    <t xml:space="preserve">#mayruamat </t>
  </si>
  <si>
    <t xml:space="preserve">Mọi người cho em hỏi với ạ , Tóc em là tóc nối , mỗi nối rất rất nhẹ , cảm giác như không nối ý ạ , em nối sáp , gội đầu cũng rất dễ , có thể gội ở nhà cũng được . Nhưng mà chân hình như bị bung hết lên như kia ạ , ai bị tình trạng giống em không ạ ? Cho em xin cách khắc phục với ạ :((( Mỗi lần gội đầu tóc ướt nhìn như đầu nở hoa xót dã man ý ạ :((((
</t>
  </si>
  <si>
    <t>2019-08-19 13:04:24</t>
  </si>
  <si>
    <t>Hương Diệu</t>
  </si>
  <si>
    <t>100030372499875</t>
  </si>
  <si>
    <t>#ask #ruouthuoc #phuchoida
Hello mng! Mục đích em đăng bài này để tìm cách phục hồi da sau dùng rượu thuốc ( mọi người đừng trách là biết rượu thuốc hại mà dùng làm gì các kiểu nhé, em cũng rầu rĩ lắm rồi ạ ). Trong group mình có ai phục hồi da thành công sau rượu thuốc chưa ạ? Em đâm đầu dùng rượu thuốc lần này là lần thứ 2, hiện tại đang dùng được gần 2 tuần mà em nhìn cái da em stress luôn vừa nhăn nheo thâm mụn viêm đủ cả hết, bây giờ nên ngưng luôn hay là theo cho đủ liệu trình và cách phục hồi như thế nào ạ 😞 mọi ngừoi ai có kinh nghiệm chỉ giúp em với ạ. Em cảm ơn</t>
  </si>
  <si>
    <t>2019-10-26 03:45:09</t>
  </si>
  <si>
    <t xml:space="preserve">#phuchoida #ruouthuoc #ask </t>
  </si>
  <si>
    <t>Các chị cho e hỏi mặt nạ yến collagen có phải hàng trộn không😂 e nhìn nó cứ tởm tởm có người gthieu e dùng loai này vừa hết mụn lại vừa trắng 😬
Ai dùng rồi cho e xin ít review với 😍</t>
  </si>
  <si>
    <t>2019-12-14 10:49:27</t>
  </si>
  <si>
    <t>清平</t>
  </si>
  <si>
    <t>100035563987656</t>
  </si>
  <si>
    <t>Chào ad em đang là sinh viên năm nhất. Trước em không quan tâm đến gia mình nhiều đâu, nhưng từ khi đi học đại học thấy các bạn nữ da đẹp mà tủi quá. 
Da mặt em bị mụn xong và giờ thì mặt hết mụn không còn mụn nữa. Nhưng vẫn bị sẹo như vầy. Em có đi vi kim nhưng ko thấy đỡ hẳn. Cũng dùng đủ thứ kem trên đời theo review nhưng đâu vào đấy. Tiện đây các anh chị bạn bè có bí quyết gì chia sẻ em với ạ.</t>
  </si>
  <si>
    <t>2019-11-07 13:19:18</t>
  </si>
  <si>
    <t>An Diệp</t>
  </si>
  <si>
    <t>100009273444776</t>
  </si>
  <si>
    <t xml:space="preserve">
#hoidap
Chào mn. E biết đây là gr làm đẹp nhưng vẫn hy vọng tìm kiếm giúp đỡ ạ. Năm nay e 19 tuổi, mụn rất nặng và đã mất kinh nguyệt gần 6 tháng. Kinh nguyệt từ trước cũng không dc đều. E đi khám ở bv nội tiết tw thì chuẩn đoán bị Đa nang buồng trứng. E hỏi bsi thì dc bảo k thể chữa khỏi vì đây là cơ địa chỉ có thể uống thuốc để có kinh trở lại. E rất rất buồn và tuyệt vọng. Sắp tết rồi mặt mũi thì kinh dị, kinh nguyệt vẫn chưa có. Các ce có ai biết gì về bệnh cho e xin lời khuyên với ạ? Liệu có pp nào chữa dứt dc bệnh k ạ? Chỉ việc nghĩ đến sau này sống chung với mụn và k thể có con khiến e stress quá.
E cảm ơn ad duyệt bài.</t>
  </si>
  <si>
    <t>2019-11-30 23:53:30</t>
  </si>
  <si>
    <t>Trang Duong</t>
  </si>
  <si>
    <t>100005487499246</t>
  </si>
  <si>
    <t>#ask #help 
Chào mọi người ạ, em muốn hỏi là tình trạng lỗ bấm của em ạ, lỗ này em bấm được tầm 1 tháng mấy rồi ạ nhưng tới giờ thì nó bị sưng lên như này bên chảy máu có chút nước trắng nữa ạ. Giờ em phải làm gì để cải thiện tình trạng ạ tại em thấy sưng mà sợ quá. Mong ad duyệt giúp em ạ em cảm ơn mọi người :((</t>
  </si>
  <si>
    <t>2019-12-05 12:44:40</t>
  </si>
  <si>
    <t>Quỳnh Anh</t>
  </si>
  <si>
    <t>100017233725108</t>
  </si>
  <si>
    <t># #Hoisuaruamat# #Skincare
Em mua bộ này để tập rửa mặt đúng cách vì bình thường không dùng gì. Nhờ moi nguoi review xem dùng ổn ko? với lại em mới sinh em bé xong có nên dùng ko hay để cho da phục hồi đã. Moi người giới thiệu loại sữa rửa mặt nào dùng thích cho em với ạ. Da em khô dùng loại hiện giờ ( em được tặng nên dùng đại chứ không biết ) thì thấy rửa xong da lại khô hơn vs cảm giác rát rát ý. Cảm ơn mọi người ạ</t>
  </si>
  <si>
    <t>2019-12-04 05:03:42</t>
  </si>
  <si>
    <t>Mẫu Đơn</t>
  </si>
  <si>
    <t>100002933320040</t>
  </si>
  <si>
    <t xml:space="preserve">#Skincare #Hoisuaruamat </t>
  </si>
  <si>
    <t>Các chị ơi da em lâu lâu lại nỗi mụn lên rồi thâm như thế này , em chưa dùng mĩ phẩm hay kem gì hết . Chỉ dùng sữa rửa mặt bình thường ạ . 
Nay e muốn dưỡng da nên lên đây nhờ các chị chia sẻ kinh nghiệm . 
Ai có bí quyết dưỡng da và trị mụn như này chia sẻ chút đi ạ ☺️</t>
  </si>
  <si>
    <t>2019-12-20 09:31:09</t>
  </si>
  <si>
    <t>Quỳnh Nga</t>
  </si>
  <si>
    <t>100012103415821</t>
  </si>
  <si>
    <t xml:space="preserve"> #munan #thammun
Em thật sự nản luôn mn ạ, đã em từng dính rượu thuốc, đợt đấy em dùng 1lọ rưỡi mà vẫn ko hết mụn nên em dừng lại luôn. Sau đó mụn vẫn lên đều đều (nặng hơn trước khi dùng rượu thuốc) em dùng rất nhiều loại thuốc, kể cả thuốc mà người quen giới thiệu cũng từng bị dính corticoid, nhưng vẫn không hiệu quả lắm
Em có hỏi 1 chị ở spa, chị ấy bảo dùng 1 liệu trình thuốc của chị ấy và 1 tuần đến spa nặn mụn 1 lần thì sẽ khỏi
Ở 1 diễn biến khác, em có hỏi chị ad trong nhóm điều trị da nhiễm corticoid, và chị ấy cũng bảo dùng sp của chị ấy
Em là SV, số tiền để điều trị ấy cũng khá cao. Nhưng nếu trị mụn thành công thì ko sao, em chỉ sợ tiền mất tật mang :((
Các chị tư vấn giúp em nên phải làm gì và dùng những số ntn ạ?
Xin lỗi mn nếu ảnh hơi ghê ạ</t>
  </si>
  <si>
    <t>2019-12-06 01:25:32</t>
  </si>
  <si>
    <t>Ji Yeong Lee</t>
  </si>
  <si>
    <t>100013221012085</t>
  </si>
  <si>
    <t xml:space="preserve">#thammun #munan  </t>
  </si>
  <si>
    <t xml:space="preserve">
#trimun 
#review 
Mong ad duyệt giúp em ạ
Em đang bị mụn hiện tại em đang xài combo Murad.
SRM: mình thấy ok sạch mà người ta bắt mình rửa vào buổi tối 2 lần, mất thời gian 
Serum trị mụn: thấm nhanh, cũng bình thường, mụn to sưng thì không giảm, mụn ẩn giảm nha mình thấy cũng tốt 
Kem dưỡng tối lotion: hơi bóng dầu, nhưng mấy phút sao mới thấm  hết, se lcl nhưng chẳng thấy 
Kem chống nắng 45PA++: dưỡng ẩm cũng được nhưng tới chiều thì mặt mình như dầu trong chảo chiên cá vậy
Toner và tẩy trang: Derladie chẳng có tác dụng trị mụn gì cả, nên mình xài lại Simple cho chắc
Mình còn uống viên uống Murad 
Giá combo hơi chát quá nên em định giữ lại SRM, serum Murad thôi còn bao nhiêu em muốn đổi cái khác cho đỡ chát giá 
Mong mọi người giúp em review một số mỹ phẩm thay thế ạ
Em cảm ơn</t>
  </si>
  <si>
    <t>2019-12-24 05:12:59</t>
  </si>
  <si>
    <t>Qing Su</t>
  </si>
  <si>
    <t>100038244192546</t>
  </si>
  <si>
    <t xml:space="preserve">#review #trimun </t>
  </si>
  <si>
    <t xml:space="preserve">Bạn nào cần tư vấn về da khi bị dị ứng hay hậu quả của mỹ phẩm thuốc rượu corticoid thì cùng nhau chia sẻ cách phòng và chữa nhé.
Đây là da mình sử dụng thuốc bắc thuốc rượu 2 năm về trước. Tuy đã cạch mặt với những loại như (thuốc tái tạo, bong da tái tạo, thuốc bắc tái tạo) thì mình đã cố gắng phục hồi da nhưng do corticoid đã thấm sâu vào da rồi k thể trị dứt điểm được. Nay mình cắn răng tốn mớ kinh phí và chịu đau đớn để trị thêm 1 lần cuối cùng hi vọng nhỏ nhoi. 
</t>
  </si>
  <si>
    <t>2019-06-11 03:58:51</t>
  </si>
  <si>
    <t>Huyền Thoại</t>
  </si>
  <si>
    <t>100021496178250</t>
  </si>
  <si>
    <t>các c em đi shopping cùng chồng có như này ko? 😂 
Ảnh s hare: Đào Linh</t>
  </si>
  <si>
    <t>2019-12-16 14:04:41</t>
  </si>
  <si>
    <t>#help #damun
Em thấy nhiều bài viết trong group tư vấn về vấn đề da mụn,dầu,lcl to rồi nhưng em không biết da em vầy có phải bị rỗ không ạ :(((Vì em khá ngại nên đã dùng acc clone. 
Đây là da em vừa mới lấy nhân mụn được 1 hôm. Hiện tại thì em mới 17 tuổi. Nhưng đã bị dính thuốc rượu với cả kem trộn :((( (này là tại em bị mụn từ lúc còn lớp 6 7 nên ng quen giới thiệu mẹ cho em dùng,em còn bé nên lúc đó chỉ biết nghe lời chứ chưa biết gì. Mọi người đừng la em ) 
Chu trình skincare của em là:
Srm: Laroche Posay
Toner:simple
Lúc trước em có dùng chấm mụn dou+ nhưng vừa bị breakout(tạng da mặt em là cứ dùng gì 1 2 tháng sẽ bị phản tác dụng,dù ban đầu công dụng rất tốt. Kcn skinaqua cũng vừa bị vậy :(  ) 
Xịt khoáng laroche
Ngoài ra mỗi tuần em dùng mặt nạ giấy nakuro 2 lần. 2 lần mặt nạ ngủ laneige. Xông mặt với chanh sả 1 lần. Ttbc 1 lần
Da em khá yếu do dính đồ trộn từ bé. Nên giờ muốn phục hồi và se khít lcl, nhờ mọi người tư vấn cho em viên uống hay loại serum nào ổn được không ạ :( 
P.s: em đi da liễu nhiều lần, cũng uống thuốc nhiều rồi mà không thấy cải thiện chút nào.</t>
  </si>
  <si>
    <t>2019-10-10 13:24:55</t>
  </si>
  <si>
    <t>Trúc Nha</t>
  </si>
  <si>
    <t>100041915988419</t>
  </si>
  <si>
    <t xml:space="preserve">#damun #help </t>
  </si>
  <si>
    <t xml:space="preserve">
#ask #ranra
Cả nhà có cách nào trị rạn ra ko ạ?
Của mình là rạn bụng sau sinh, đã hơn 4 năm. Nhiều và vết rạn to.
Có sp nào dùng đc, hay đi trị bằng ánh sáng? Có chị em nào đi tmv spa hay điều trị bằng ánh sáng chưa cho m xin ý kiến.
Cảm ơn ad duyệt bài.</t>
  </si>
  <si>
    <t>2019-12-15 05:55:53</t>
  </si>
  <si>
    <t>Chung Le</t>
  </si>
  <si>
    <t>100001846154263</t>
  </si>
  <si>
    <t xml:space="preserve">#ranra #ask </t>
  </si>
  <si>
    <t>Nhờ nhóm giúp đỡ ạ e mới sah mà e ngu quá đi Sài tẩy tế bào chết chai nhỏ do e tây nhiều quá nên bi bào mòn da mặt  trưa nắng n cứ đỏ hai bên má..nho mấy chị tư vấn xem có hoi phục lại được k ạ</t>
  </si>
  <si>
    <t>2019-12-09 00:44:24</t>
  </si>
  <si>
    <t>Bình An</t>
  </si>
  <si>
    <t>100037350705351</t>
  </si>
  <si>
    <t>#ASK #HELP
Em xin chào các bác ạ!
Không biết có ai như em ko, lúc nhỏ em có xỏ khuyên mũi, em chỉ đeo khuyên tầm 2 tháng và bỏ. Tới giờ là chục năm rồi í mà nó ko lành lại đc. Em rất ngại khi bị người khác nhìn vào và đánh giá. 
Các bác có biết làm như nào để lấp chỗ khuyên đó thì giúp em với. Em ko biết nếu tiêm filler thì có đầy được hay ko ạ? 😢</t>
  </si>
  <si>
    <t>2019-05-12 15:06:27</t>
  </si>
  <si>
    <t>100004892018940</t>
  </si>
  <si>
    <t xml:space="preserve">#HELP #ASK </t>
  </si>
  <si>
    <t>#review 
E đăng bài mấy lần nhưng ko được duyệt.  Lần này đã đọc nội quy nhóm nên vào xin cm ít rì vui. Đã mẹ nào bị mụn ở mặt như e chưa ạ?  Trước thì e ko bị, cơ mà đợt này e mới bị.  E thấy 1 bạn nào đó nói dùng kem mắt AHC  bị lên mụn thịt, e bán tín bán nghi vì e mới dùng, và cũng xuất hiện mụn thịt từ đợt đó.  Vậy đã bạn nào dùng laoij nào trị mụn thịt hiệu quả tư vấn giúp e với ạ.  Cảm ơn ạ</t>
  </si>
  <si>
    <t>2019-07-21 07:13:50</t>
  </si>
  <si>
    <t>Bong Bóng Mưa</t>
  </si>
  <si>
    <t>100003287425570</t>
  </si>
  <si>
    <t xml:space="preserve">Dạo này vào học làm e phải thức khuya học nhiều giờ mắt như con gấu trúc á mọi người T.T Ai có sản phẩm gì trị thâm mắt tố hay cách làm giảm thâm hiệu quả không chỉ em với ạ T.T chứ nhiều lúc chụp ảnh seo phì cùng mấy con bạn mà nhìn mình y như con panda vậy á :(((
</t>
  </si>
  <si>
    <t>2019-10-28 16:25:29</t>
  </si>
  <si>
    <t>Minh Thanh</t>
  </si>
  <si>
    <t>100032333504458</t>
  </si>
  <si>
    <t>Cho mọi người 😻 Cho mình hỏi ai đã từng cắt kiểu này rồi không ạ ? Liệu có khó giữ nếp không ạ ?</t>
  </si>
  <si>
    <t>2019-12-17 23:13:41</t>
  </si>
  <si>
    <t>100014092818501</t>
  </si>
  <si>
    <t>#help #giảiđáp 
Xin phép admin cho em dùng acclone ạ. Mấy chị ơi chuyện là mấy hôm trước em có đi spa để trị mụn, thì sau khi lấy nhân mụn xong. Bên spa có chiết ra cho em 1 cái bột để về pha với nước ấm đắp lên mặt. Tại vì chiết ra nên em không biết nhãn gốc của nó. Mùi của nó hơi giống mùi thuốc xắc để uống ấy ạ. Tại em chưa dùng mấy loại bột thảo mộc này nọ nên em không biết cái này là gì hết. Mong chị nào đã dùng qua hay biết thì giúp em với ạ. Tại em sợ dính ba đồ trộn thì nát mặt :(( 
Cảm ơn mọi người nhiều ạ
Em có chụp hình cái bột đó đây ạ</t>
  </si>
  <si>
    <t>2019-12-15 07:59:43</t>
  </si>
  <si>
    <t>An Trần</t>
  </si>
  <si>
    <t>100044604495485</t>
  </si>
  <si>
    <t xml:space="preserve">#giảiđáp #help </t>
  </si>
  <si>
    <t>#tocxoan
Tình hình là tóc em bị xoăn tít bẩm sinh luôn ấy ạ. có duỗi nhiều lần mà bản chất tóc là khô và xơ lắm nên tóc e bị chẻ ngọn đủ thứ hết. Mà để xoăn e lại ngại vì xấu lắm , mọi người biết cách nào cho tóc đỡ xoăn và mượt hơn không em cực kì mê mấy chị tóc thẳng và mướt cho em xin vài thực phẩm chức năng làm thẳng mượt tóc đi ạ tóc em do gen từ trong máu rồi  tóc này chỉ có đầu thai mới hết xoăn thôi</t>
  </si>
  <si>
    <t>2019-12-01 00:02:09</t>
  </si>
  <si>
    <t>刘亦菲</t>
  </si>
  <si>
    <t>100027784990697</t>
  </si>
  <si>
    <t xml:space="preserve">#tocxoan </t>
  </si>
  <si>
    <t>#bodymist #xitthom
Ố la la xin chào cả nhà iu, tìm Bodymist cho mood mưa gió bão bùng thu đông thiệt Hardcode . Nhà mình giúp em trả lời những câu hỏi sau với ạ 😭 . CÓ chị em nào dùng mấy loại body mist này chưa ? Nếu có thì thả nhẹ nhỏ em vài review trấn an tâm hồn chập chững dấn thân vô còn đường Blind Buy / hoặc suggest những mùi bodymist Bath and Body Works thơm nhất nhì thiên hạ cũng được ạ hihi .E là sinh viên nên ko thích mùi quá nồng thui . E cảm ơn mọi người moah &lt;3</t>
  </si>
  <si>
    <t>2019-09-20 16:41:16</t>
  </si>
  <si>
    <t>Linh Huỳnh</t>
  </si>
  <si>
    <t>100041359643851</t>
  </si>
  <si>
    <t xml:space="preserve">#xitthom #bodymist </t>
  </si>
  <si>
    <t>#skincare 
E bđầu skincare 1 tuần nay, đây là các bước skincare của e. Da e mỏng, nhạy cảm, hơi dầu 2 bên cánh mũi và có tàn nhang.
Dùng kcn loại này e thấy cứ bị đổ dầu nhìu hơn bt ở 2 bên cánh mũi. Rồi rửa mặt xong là ửng đỏ lên, nóng rát. E dùng toner thì bớt đỏ nhưng vẫn nóng rát. Và đặc biệt là nổi hột hột rất nhìu, sờ lên cứ sần sần ý, ko bk có pải mụn ẩn ko.
Mn đi qa có thấy bài thì cho e xin ý kiến với chứ e hoang mang quá. 
Mong add duyệt bài hộ e. E cảm ơn.</t>
  </si>
  <si>
    <t>2019-11-27 00:47:16</t>
  </si>
  <si>
    <t>Cherry Tưởng</t>
  </si>
  <si>
    <t>100011392745275</t>
  </si>
  <si>
    <t xml:space="preserve">
#RealFake
#Laneige
Mấy chị cho em hỏi cái nào là hàng fake ạ :(( em xài hết hủ cũ thấy ưng nên mua thêm hủ nữa mà về so sánh thấy khác nhau quá 😭 mùi hủ mới kiểu dâu nhưng giống mùi sáp màu ấy ạ</t>
  </si>
  <si>
    <t>2019-10-13 08:56:05</t>
  </si>
  <si>
    <t>Hứa Hoàng Phương Uyên</t>
  </si>
  <si>
    <t>100010547736815</t>
  </si>
  <si>
    <t xml:space="preserve">#Laneige #RealFake </t>
  </si>
  <si>
    <t>Không hiểu sao vẫn có quá trời người vào mua nữa. Hay do Mac sale trong âm thầm mà e k biết 🤣🤣
#sonfake
#macfake
#sontron</t>
  </si>
  <si>
    <t>2019-12-15 07:59:26</t>
  </si>
  <si>
    <t>Phuong Kim</t>
  </si>
  <si>
    <t>100012795435695</t>
  </si>
  <si>
    <t xml:space="preserve">#sontron #macfake #sonfake </t>
  </si>
  <si>
    <t>(ảnh minh họa) HELP ME 
E nhổ răng dc 2 ngày
2 hôm nay SỐT  mà tự nhiên sáng h 
Mặt e bắt đầu nổi 2 3 mụn nước.  Đụng vào là vỡ đến chiều nay lan 3 đốt xuống cổ.  H nổi 6 nốt ở lưng và 6 7 nốt ở ngực.  Đụbg hay nằm vào là vỡ 
Vỡ song đau rát và thâm lại như ảmh 2. 
E bị sao vậy mn rát lắm huhu</t>
  </si>
  <si>
    <t>2019-12-04 13:33:25</t>
  </si>
  <si>
    <t>Thị Nga Lê</t>
  </si>
  <si>
    <t>100011586127860</t>
  </si>
  <si>
    <t>Ace nào có cách hay dùng sp nào để trị rụng tóc k ạ:(( mình bị rụng từ khi nào cx ko rõ nhưng gần đây rụng càg nhiều và tóc càng thưa dần đi nữa huhu😭 giúp mình với</t>
  </si>
  <si>
    <t>2019-10-07 07:35:26</t>
  </si>
  <si>
    <t>Phương Hồng</t>
  </si>
  <si>
    <t>100035637463468</t>
  </si>
  <si>
    <t>Xin ad duyệt bài giúp em với. Em cảm ơn
 #skincare
Da của em thuộc loại: thiên dầu, dễ lên mụn.
Do em vừa khỏi mụn nhưng vẫn còn vết thâm nên muốn tạo thói quen chăm sóc da cho da khỏe mạnh không lên mụn nữa.
Anh/chị nào tư vấn giúp em dùng loại dưỡng ẩm cho nam nào tốt ạ? 
Em cảm ơn!</t>
  </si>
  <si>
    <t>2019-11-27 06:36:51</t>
  </si>
  <si>
    <t>Trần Kiệt</t>
  </si>
  <si>
    <t>100027719045831</t>
  </si>
  <si>
    <t>Còn máy nào oke ace rì viu cho e thêm đi ạ 🥰🥰 e sẽ cắt máu ăn thề với tụi nhỏ luoin ạ hihiiiiiiiii
Đồ chơi của em đây ạ 🙄🙄dấn thân vào con đường này hao gầy thật sự luôn 🙄🙄
Chắc do e còn phải đi học nên cũng có thời gian chơi với mấy ẻm 🥰🥰 
1/yaman e có 2 máy T10 và 10pro : 1 tuần xài 3 lần . Chế độ làm sạch của Yaman thì chắc k bàn cãi rồi ạ . Hôm trc e có vài mụn ẩn xài sau vài lần thì mụn tự khô và ra cồi ạ . 
2/Luna 2: Chắc chưa có ai kiểu ham hôd như e :)) trc khi sang lại đây e có lỡ tay ord mini3 trong vô thức nhưng chưa về kịp xong sang lại thấy bé phòng e xài con mini2 mà da sáng và mụn đầu đen trên mũi đỡ rõ e cũng phải cố bấm bụng mà lượm e ấy về :)) cuối cùng e có cả luna2 và mini3😑😑 nhưng công nhận là xài máy thích thật ạ . E học ở Trung nên mua đắt chứ ở vn thấy mn ord rẻ dã man . 
3/ Refa :nghe e này lâu lắm rồi nhưng e chả quan tâm lắm nhưng tréo ngoe thay vào 1 tối đẹp trời e đọc đc 1 câu review “ mình xài 2 tháng thấy mắt đỡ nhăn và thâm rõ “ câu nói đánh thẳng vào trái tym một đứa bỏ bn tiền để trị thâm mắt bẩm sinh như e.Thế là e lục tung tất cả đọc review về mấy đứa ẻm và vớt về vô tội vạ ntn . Cảm nhận về tụi nó thì e vẫn thấy con cho mắt tiện lợi nhất . cái con 4 chân của e chắc chỉ dành cho ai có mỡ bụng mỡ tay mỡ mặt hay muốn thon đùi thôi . Còn nếu như mặt k quá bếu thì con mắt oke rồi ạ . E xài con mắt cho cả mặt và cổ luôn :)) 
Cảm nhận bản thân khi xài các loại máy này thì e thấy rất oke chỉ là đừng sn rằng tụi nó quá thần thánh , quan điểm của 1 đứa thường xuyên 4h sáng mới ngủ như em thì chỉ cần nó có tác dụng là vui lắm rồi ấy ạ 🥰🥰
Cảm ơn ad đã duyệt bài ạ !</t>
  </si>
  <si>
    <t>2019-11-22 16:55:24</t>
  </si>
  <si>
    <t xml:space="preserve"> #rungtoc
Mọi ng ơi e bị rụng tóc nhiều , đang muốn uống uống bổ sung chất thử xem tóc có mọc lại không thì mới đi khám . Em đang phân vân 2 loại bên dưới,(Gummies, Biotin supplement ex) ai sài rồi thì cho e xin review với ạ.
Tiện thể tóc e cũng hư tổn nặng, tự dưỡng tại nhà thì có dùng qua mấy loại ( mua theo review trên mạng) em xin để cảm nhận ở đây để ai muốn mua thì tham khảo .(hình ảnh bên dưới) 
-Phục hồi tóc Ringo : chai sài lâu, mùi thơm lạ lạ nói chung không ghiền mùi , sài lần đầu đã thấy tóc nhẹ hơn nhưng ko có phục hồi nhiều , tóc mượt lúc sau khi gội , để qua ngày 2-3 sẽ khô lại dần. Nhưng sài đến nửa chai thì thấy khá hiệu quả , tóc vẫn nhẹ khi đầu bết, mượt và đỡ rối ( nhưng e vẫn bị rụng tóc, chắc do cơ địa) . Nên bôi từ thân đến đuôi vì bôi trên da đầu dễ bị gàu ( đoạn đuôi e hay uốn giả nên ko thể cứu nữa chỉ đỡ khô hơn thôi , chỉ còn cách cắt ), để ít nhất 30p , không nên ủ tóc ở nhiệt độ nóng, e thấy ủ lạnh hiệu quả hơn. (Nên tìm chỗ uy tín mua sài thử 👍🏻 )
-Kem ủ Fino : chắc do e tóc hư tổn nên sài không thấy hiệu quả lắm, tóc khoẻ nên sài hơn.
-Olaplex No3 : này thì nổi tiếng nhưng do e không đi ra tiệm để ng ta làm cái số 1&amp;2 , rồi về dưỡng số 3 mà chỉ sài mỗi số 3 ở nhà nên khi sài e thấy không hiệu quả bằng cái Ringo luôn ( ở tiệm ng ta khuyên nếu sài cái số 3 thì dùng lượng vừa đủ chứ ham hố sài nhiều là phản tác dụng, tóc sẽ bị cứng. Họ kêu e làm cái 1&amp;2 trc r về dưỡng số 3 mà ở tiệm mắc quá e ko đủ tiền nên ko làm , chỉ sài số 3 nên ko thấy hiệu quả. -&gt; Khuyên ai tóc hư tổn nhiều mà  đủ chi thì chi tiền ra tiệm ng ta làm phục hồi cho rồi mua thêm số 3 sài thường xuyên ở nhà xem sao nha .
-lucido l argan oil (Nhãn hồng) : sài thích lắm mùi thơm, ko bết, ko dính , bóng tóc, nên thoa ra tay chà chà r hãy thoa lên tóc , nhưng loại này dành cho tóc bình thường mà lúc mua e không biết nên sài tạm rồi mua lại loại nhãn xanh( có để hình bên dưới) dành cho tóc hư tổn, hiệu quả chắc sẽ tốt hơn, loại hồng kiểu make up cho tóc ý kk mấy tiếng sau tóc e lại trở lại bình thường ( tóc gì khó chiều ds) . Khuyên ai tóc bình thường khoẻ nên nên mua, mỗi lần nhỏ 1-2 giọt là đủ , siêu tiết kiệm , e cố gắng sài cho hết rồi mua lọ mới mà 2 tháng rồi chưa hết 🤦🏻‍♀️.Tóc hư tổn nên mua nhãn xanh, e chưa thử nhưng yêu màu hồng quá, chắc màu xanh cũng tốt thôi kkk .
-Tinh dầu bưởi Cocon (nắp đen ) : nên xịt khi tóc ướt vì bị rít và làm khô tóc , nghe review mượt mượt , về sài có thấy mượt đâu , nhưng sài có thấy mọc tóc , số lượng tóc mọc không bằng số lượng tóc rụng nên e cần bổ sung từ bên trong , chứ bên ngoài thì sài cái này oke rồi. NÊN MUA nha, tại sài khi tóc ướt nó đỡ khô nè xịt chỗ nào sẽ mọc chỗ đó, rẻ nữa mua trên shoppee có tặng kèm son dừa chanh sài cũng đc, lấy son đó bôi cho mi thấy cũng hiệu quả nhưng chậm cần kiên trì, chứ e bôi mascara dầu dừa mỗi lần bị vào mắt là cay đỏ cả mắt . 
Trên đây chỉ là cảm nhận từ phía e thôi nhé, ai có cảm nhận gì khác thì cmt bên dưới chia sẻ cùng mọi người với ạ.
Cảm ơn ad đã duyệt bài, cảm ơn mọi người đã đọc bài viết của em ạ ☺️☺️</t>
  </si>
  <si>
    <t>2019-10-03 18:16:11</t>
  </si>
  <si>
    <t>Phan Tram</t>
  </si>
  <si>
    <t>100019929810216</t>
  </si>
  <si>
    <t xml:space="preserve">#rungtoc  </t>
  </si>
  <si>
    <t xml:space="preserve">
#cachlambeomat
Mọi người ơi cho mình hỏi cách làm cho khuôn mặt béo lên mà không làm béo người ạ? Mặt mình nhìn hóp lại như đầu lâu vậy , mà tăng cân thì người mình béo lắm ạ😭 chán lắm . Cảm ơn mọi người đã giúp đỡ</t>
  </si>
  <si>
    <t>2019-12-04 13:37:57</t>
  </si>
  <si>
    <t>Nhi Cherry</t>
  </si>
  <si>
    <t>100007853979216</t>
  </si>
  <si>
    <t xml:space="preserve">#cachlambeomat </t>
  </si>
  <si>
    <t>#help #tritham
Da em hiện tại đây ạ, cho em xin vài tips hoặc sp nào phù hợp đi ạ, da em da nhạy cảm, gần vào học rồi mà da em vậy sad cực mạnh 😭😭😭 da em bị vậy là do bị dị ứng xong lấy mụn ra để lại thâm ạ. Mong mng giúp em ạ tks all</t>
  </si>
  <si>
    <t>2019-07-30 13:52:46</t>
  </si>
  <si>
    <t>Thanh Thỏ</t>
  </si>
  <si>
    <t>100024260408235</t>
  </si>
  <si>
    <t>Hi cả nhà, 
Mình bị mụn cũng chắc chục năm nay rồi, từng dùng thuốc rựou, chữa trị cũng lắm nơi, mà hoài cũng k hết, nản hết đường, hiện tại mình đang bên định cư bên nước ngoài cũng k thể đi nặn mụn ẩn thường xuyên được, ai đã từng vượt qua cơn khủng hoảng thuốc rượu và phục hồi da khoẻ , xin giúp đỡ mình với, chỉ ao ước có một làn da khoẻ mạnh như bao người mà sao cảm thấy quá xa vời huhuhu, mình xin cảm ơn</t>
  </si>
  <si>
    <t>2019-12-12 02:12:53</t>
  </si>
  <si>
    <t>Phương Ngọc</t>
  </si>
  <si>
    <t>100044496252131</t>
  </si>
  <si>
    <t>Sao chúng ta hông thử 1 chút quín rũ cho Halloween mà bữa giờ tui toàn thấy máu me haha 🤣
Khoe makeup look halloween nào xị em ơiii!!
#makeuphalloween #halloween2019</t>
  </si>
  <si>
    <t>2019-10-30 13:36:23</t>
  </si>
  <si>
    <t>Annie Nguyen</t>
  </si>
  <si>
    <t>100002952881833</t>
  </si>
  <si>
    <t xml:space="preserve">#halloween2019 #makeuphalloween </t>
  </si>
  <si>
    <t>Huhu cứu em với ... 
da mặt của em hiện tại đấy ạ tết sắp đến rồi mà mặt thì mụn cứ ồ ạt lên ... mọi người có cách gì chỉ  em với hằng ngày em chỉ skincare  tẩy trang bio xanh và rữa mặt bằng nuớc chè xanh để nguội xông mặt 1 tuần hai lần với tía tô sả chanh ... đắp mask khổ qua ạ 
Với cho em hỏi mụn em như vậy có nặn đk ko ạ ??
Em cảm ơn mong bài được phê duyệt ạ....</t>
  </si>
  <si>
    <t>2019-11-29 07:43:41</t>
  </si>
  <si>
    <t>Văn Khẩn</t>
  </si>
  <si>
    <t>100035254174604</t>
  </si>
  <si>
    <t>Mọi người cho em xin ít review về 2 loại sữa rửa mặt này với ạ. Da em là hỗn hợp thiên dầu ạ. Loại màu trắng có dưỡng trắng không ạ 
Em cảm ơn ♥</t>
  </si>
  <si>
    <t>2019-11-04 14:49:23</t>
  </si>
  <si>
    <t>Ngọc Bích</t>
  </si>
  <si>
    <t>100009725828985</t>
  </si>
  <si>
    <t>Mn ơi cho em hỏi đây là thâm hay đồi mồi ạ , và cho em xin cách trị nó với . Từ 1 ng mặt không có mụn , dùng kem k rõ nguồn gốc xong mặt break out be bét , trị vừa hết mụn giờ nó vẫn còn mấy này trên mặt đây ạ . Em nghĩ là thâm nên e có dùng Melano CC hơn 2 tháng trời rồi vẫn k bớt tẹo nào cả .mn giúp em với em cảm ơn 🥰🥰 
#Đẹp_chanh_sả</t>
  </si>
  <si>
    <t>2019-11-28 00:28:28</t>
  </si>
  <si>
    <t>Clara Tran</t>
  </si>
  <si>
    <t>100040982868744</t>
  </si>
  <si>
    <t>#help!!! 
VIÊM TUYẾN BARTHOLIN 
Đến nước này thì không còn ngại ngùng gì nữa nên phải liều mạng cầu cứu tất cả mọi người.
Mình bị nang tuyến bartholin ( tuyến bã nhờn ở mép âm hộ có chức năng tiết dịch nhờn bôi trơn vùng kín) đã hơn 3 năm rồi nhưng không hết và cứ bị tái phát. Nhanh thì 2-3 tuần, lâu thì 10 tháng.
Mỗi lần bị mình phát hiện đi khám liền thì bác sĩ kêu còn nhỏ không sao, khi nào sưng to và đau nhức không chịu được thì mới rạch trích mủ ( mình đã đi Từ Dũ, Mekong, phụ sản quốc tế SG, phụ sản Âu Cơ, Hạnh Phúc, quốc tế Hoàn Mỹ) nói chung các bv lớn về phụ sản đều đã từng đi và bs nào cũng nói còn nhỏ và cho thuốc uống. Mình uống khoảng 4 lần thì từ đó trở đi thuốc không còn tác dụng vs mình nữa. Tốc độ sưng còn nhanh hơn và cực kì đau đớn, có khi sưng to như quả trứng gà so và căng đến mức rách thịt ở vùng đó. Đỉnh điểm là khi mình mang thai bé nhà mình mình bị đến 4 lần, uống kháng sinh nhìu đến mức bé nhà mình vừa nhú răng đã bị vàng 😢
Đến lúc sưng to thì mình không thể đi xa vì rất đau đớn nằm còn đau thì đừng nghĩ đến việc phải ngồi xe 1 tiếng hơn đồng hồ, rồi vào bốc số chờ đợi xét nghiệm các kiểu 😢 đó thực sự là ám ảnh đối vs mình 😭😭 nên mỗi lần sưng to mình đều đến bv gần nhất để rạch trích mủ ( nói đơn giản giống như nổi nhọt r chích cho xì v đó).
Mình cũng rất kĩ trong việc vệ sinh vì mỗi lần bị là mình vừa buồn vừa đau đến mức cứ nghĩ thôi ung thư chết mẹ cho r 😢 trước và sau khi qh mình đều vệ sinh kĩ, quần lót mình giặt xong cũng trụng qua nước sôi. Nhưng nó vẫn tái phát vấn đề là lâu hay mau thôi 😢
Ai đã bị bệnh này và trị được dứt điểm thì chỉ cho mình vs 😢 mỗi lần bị như vậy mình tốn khá nhìu thời gian vì không đi lại, ngồi, đứng gì được hết. Lúc trc thì ảnh hưởng việc làm, bây giờ thì bỏ con lăn lốc 😞 lần nào mình bệnh th nhỏ cũng ốm theo :((. Ai đã từng bị hoặc có ng nhà trị khỏi thì giúp mình vs nhé. Cảm ơn cả nhà 💕💕
P/s: đang trong giai đoạn đau đớn nên văn vẻ lủng củng mọi người bỏ qua giúp mình nhé 😞</t>
  </si>
  <si>
    <t>2019-05-17 08:18:00</t>
  </si>
  <si>
    <t>Hà Mi</t>
  </si>
  <si>
    <t>100000418251361</t>
  </si>
  <si>
    <t>Xin chào mọi người. Em 17 tuổi cao 1m54 nhưng nặng chỉ 37kg :&lt; . Lúc trước em tầm 39kg nhưng do gặp phải một số chuyện khiến em stress nên cân nặng sụt còn 33kg (lên thì chậm mà sụt cân thì nhanh lắm 😭) . Em tìm đủ mọi cách nhưng cũng không tăng được nhiêu hết, giờ gặp ai cũng nói em ốm này nọ, nhiều lúc còn đem chuyện em ốm ra chủ đề của trò cười, em bực thì chỉ nghe được câu “giỡn tí làm gì quạo” . Anh chị nào từng bị giống em giúp em với ạ 😭😭 sữa tăng cân hay biện pháp gì cũng được ạ. 
(Em học full time nên chuyện đi gym nó xa vời lắm ạ :&lt; ) 
Em cảm ơn!!!!!</t>
  </si>
  <si>
    <t>2019-11-10 13:31:23</t>
  </si>
  <si>
    <t>Hoàng Mộc Nhi</t>
  </si>
  <si>
    <t>100010586322989</t>
  </si>
  <si>
    <t>Em muốn trị thâm thì nên dùng loại thuốc nào đây ạ</t>
  </si>
  <si>
    <t>2019-12-01 02:57:50</t>
  </si>
  <si>
    <t>Trần Thị Vân</t>
  </si>
  <si>
    <t>100024523660986</t>
  </si>
  <si>
    <t>#ask #nếpnhăn
Mọi người có cách nào để giảm bớt vết nhăn cạnh mũi không ạ. Em năm nay mới 20 tuổi mà có hai rãnh cạnh mũi như 40 tuổi ấy ạ :((((</t>
  </si>
  <si>
    <t>2019-06-07 02:27:58</t>
  </si>
  <si>
    <t>范氏美幸</t>
  </si>
  <si>
    <t>100037007915088</t>
  </si>
  <si>
    <t xml:space="preserve">#nếpnhăn #ask </t>
  </si>
  <si>
    <t>#ask #trịthâmmôi
Mng ơi em đang phân vân giữa các loại son dưỡng trị thâm dưới đây, mng cho em ý kiến với ạ :&lt; Em cảm ơn</t>
  </si>
  <si>
    <t>2019-08-26 15:31:29</t>
  </si>
  <si>
    <t>Đỗ Linh</t>
  </si>
  <si>
    <t>100006839580008</t>
  </si>
  <si>
    <t xml:space="preserve">#trịthâmmôi #ask </t>
  </si>
  <si>
    <t xml:space="preserve">
#kemgiacong
Thương hiệu độc quyền cao cấp nên người ta tính bằng Tấn, Tạ thôi nha.
Tan mỡ nọng cằm, Nâng nở ngực đồ luôn nhaa nhaa
Kì này chả có nhẽ thẩm mỹ viện đóng cửa hết ta ơi ....
Mà không được gọi các chị là kem trộn các chị tổn thương nghe chưa...
Người ta là Kem Gia Công Có Thương Hiệu tính bằng tấn bằng tạ hok ă nha 😁😁😁😁😁
#j4f</t>
  </si>
  <si>
    <t>2019-12-09 00:25:52</t>
  </si>
  <si>
    <t xml:space="preserve">#j4f #kemgiacong  </t>
  </si>
  <si>
    <t>#help 
Hi, mọi người. Chuyện là mình bị thâm nách khá là nặng, không biết có phải bẩm sinh từ bé không nữa nhưng khi mình bắt đầu dậy thì và quan tâm thân thể của mình hơn thì mình đã thấy nó bị thâm ko chữa đc luôn 😞 
Mọi người cũng đã gợi ý rất nhiều như chà nách bằng chanh, baking soda, hay những sản phẩm liên quan tới trị thâm như longse,... nhưng hầu như ko khả quan vì chỉ giảm thâm một chút nhưng những vùng chicken skin mà sẫm màu thì vẫn như vậy :(((
Mọi người có ai bị như mình ko? Mình cũng có công việc ổn định nên vấn đề tiền bạc ko phải suy nghĩ quá nhiều, nhưng nhiều khi muốn diện áo 2 dây hoặc bikini cũng cực kì khó khăn vì mình rất tự ti ở vùng nách 😞 Mong mọi người gợi ý giúp mình những spa hay những phương pháp trị thâm mà mọi ng thấy hiệu quả ạ 
À mình ở tphcm luôn nhé. Đừng chỉ mình những địa chỉ ở Hà Nội t ko bay ra đc đâu hic 😞 
HÌNH ẢNH LÀ MÌNH LẤY TRÊN MẠNG VÌ NÓ CŨNG GIỐNG TÌNH TRẠNG NÁCH CỦA MÌNH HIỆN TẠI 😞
Mong chị Hằng duyệt bài giúp em ạ, thanks chị</t>
  </si>
  <si>
    <t>2019-08-01 04:02:34</t>
  </si>
  <si>
    <t>Hoa Phù</t>
  </si>
  <si>
    <t>100026630386125</t>
  </si>
  <si>
    <t>#ask #serumcapam
Chào cả nhà! 
Da em là da dầu nên e đang tìm 1 loại serum cấp ẩm ổn cho da. M.ng có ai từng dùng qua các loại serum này chưa ạ? Tư vấn giùm e với. E cảm ơn nhiều ạ!
Mong Ad duyệt bài giúp e với ạ</t>
  </si>
  <si>
    <t>2019-08-05 03:56:47</t>
  </si>
  <si>
    <t>Bùi Lê Đức</t>
  </si>
  <si>
    <t>100013354063964</t>
  </si>
  <si>
    <t xml:space="preserve">#serumcapam #ask </t>
  </si>
  <si>
    <t>Cho em hỏi cái này là gì vậy ạ, thấy giống mụn cóc . Ảnh đầu tiên đụng mạnh thì đau còn ảnh kia thì ko đau hay rát . Dưới bàn chân vs khe ngón chân cũng nhiều lắm ạ . Ai biết chỉ e cách với 😭</t>
  </si>
  <si>
    <t>2019-10-26 14:14:02</t>
  </si>
  <si>
    <t>Cao Hải Triều</t>
  </si>
  <si>
    <t>100003927270865</t>
  </si>
  <si>
    <t>AD duyệt cho e với ạ
Da e sau 5 hôm dùng srm thì bị mụn sần kích ứng . E tự chữa ở nhà bằng cách đắp mướp đắng và dùng mask thải độc của innisfree đc gần 1 tháng thì e bắt đầu dùng srm của innisfree luôn . Đc cái hợp hay sao ý mà mặt e hết mụn trông thấy . Hiện tại da 2 bên má khô còn phần chữ T lại hơi nhờn 😭😭😭các c tư vấn cho e xem dùng loại gì nữa với
1 ít mụn trên trán nữa cảm giác nó k thể khỏi đc ý huhu .</t>
  </si>
  <si>
    <t>2019-12-13 12:55:01</t>
  </si>
  <si>
    <t>100033820537333</t>
  </si>
  <si>
    <t>#Goctuvan 
Hiện em đang cận 3,5độ các ace trong gr ai có bí quyết như:bài tập cho mắt, chế độ ăn uống, thuốc bổ để giữ độ hay giảm độ cho mắt không ạ ?</t>
  </si>
  <si>
    <t>2019-06-11 05:13:43</t>
  </si>
  <si>
    <t>Ma Châu Mĩ Hạnh</t>
  </si>
  <si>
    <t>100025393144305</t>
  </si>
  <si>
    <t>#help #notruoi #thunhodaumui
Hello cả nhà yêu
❌ Chuyện là em có cái nốt ruồi ngay mắt như hình. Trước nó bé và khá phẳng nên không ảnh hưởng gì. Giờ mấy năm gần đây nó to lên và làm sụp mí em luôn. Kích mí cũng rất khó khăn luôn ạ? Cho em hỏi có cách nào xử lí không ạ? Cắt mí có cải thiện được không ạ? Em nghe nói nốt ruồi mà tự nhiên lớn là dấu hiệu của nhiều bệnh nguy hiểm nên khá sợ. Hic
❌ Câu chuyện buồn thứ 2 là đầu mũi em to quá huhu em cực mất tự tin luôn ý ạ. Nhưng em cũng ngại can thiệp deo kéo quá nhiều, cũng k ham hố mũi cao mũi tây đâu ạ. Cho em hỏi có cách nào thu gọn được đầu mũi thôi không ạ? Không cần lắp sụn hay gì ý ạ
Em cảm ơn các chị đã đọc bài ạ
À mặt em tự nhiên hoàn toàn chưa sửa bất cứ cái gì ạ.</t>
  </si>
  <si>
    <t>2019-12-21 09:38:01</t>
  </si>
  <si>
    <t>Chi Khánh</t>
  </si>
  <si>
    <t>100006361963603</t>
  </si>
  <si>
    <t xml:space="preserve">#thunhodaumui #notruoi #help </t>
  </si>
  <si>
    <t>#askdepchanhsa
Mọi người cho e hỏi có ai dùng tretinoin này chưa ạ. E dùng được 3 tuần thấy mụn ẩn ngày càng nhiều nên e hơi hoang mang. Mọi người cho e xin ít review e cảm ơn nhiều</t>
  </si>
  <si>
    <t>2019-11-10 13:19:24</t>
  </si>
  <si>
    <t>Võ Mon</t>
  </si>
  <si>
    <t>100004243239300</t>
  </si>
  <si>
    <t xml:space="preserve">#askdepchanhsa </t>
  </si>
  <si>
    <t xml:space="preserve">
#ask
Chào moi nguoi , da mình da hỗn hợp thien khô , mình đang tìm hiểu va muon dung san pham cua ohui , mọi người ai dùng loại này rồi cho mình xin review với ạ ? 
Mình cảm ơn ạ</t>
  </si>
  <si>
    <t>2019-08-21 08:48:09</t>
  </si>
  <si>
    <t>Bích Hằng</t>
  </si>
  <si>
    <t>100022914255857</t>
  </si>
  <si>
    <t>#rvmeimei
#moctoc
#duongtoc 
 Lâu rồi mình mới viết rv tiếp sau bài trị mụn được mn ủng hộ 😊 Lần này về tóc nha. Tuần sau rảnh mình sẽ rv da tiếp , sau khi trị mụn làm gì để được da căng bóng nha.
  Quay lại vấn đề chính là Tóc . Cơ bản tóc mình cũng dày . Mình trước đây bấm tóc rất nhiều lần . Bấm xù nóng đến nổi mấy bạn tưởng tượng xơ mướp sao tóc mình v , nó bị gãy ngang khúc bấm . Rồi bấm ko nhiệt dập phồng chân tóc
Nên có khoảng thời gian tóc mình hư và dài ko nổi , rất lâu để nó dài. Và dài ra phải cắt vì nó xơ , chẻ ngọn. Rụng thì thôi rồi nhiều hơn bt
  Các bạn lưu ý là chu kỳ tóc hằng ngày nó có thể rụng đến 100c, m có đọc 1 bài nghiên cứu nvay.
Nhưng quan trọng mình làm cách nào để nó mọc lại và mọc nhiều hơn cái số đã rụng đi
   - Mình đã chọn dầu gội bồ kết loại mà tự nấu ấy , chọn vì lúc đầu m nghĩ nguyên liệu thiên nhiên thì lúc nào cũng tốt hơn hoá chất nhiều
 - Sau 4 tháng sử dụng thì nó hiệu quả thật , tóc dài nhanh và mọc tóc con rất nhiều 
- Mn có thể mua trên mạng mấy loại bồ kết thiên nhiên ấy , hoặc mua trái bồ kết về nấu nc gội nhưng cách này thì mất time nên mua ngta nấu sẳn cho dễ 
Cái chai m dùng nó đen thui ko tem nên m ko chụp các bạn xem đc 
- Còn dầu xả mình dùng loại dưới hình , dùng tới hết cạn bóp nhăn nheo lun rồi 😂 loại này kiểu ủ í
Nhưng mình thường gội đầu xong bôi nó lên , rồi tắm , xong xả tóc là vừa đẹp
- sau khi gội xong thì lau khô tóc bằng khăn , rồi sấy tóc , mình thường kết hợp cả 2 chế độ sấy gió mát và nóng , cứ xen kẽ vậy đến khi ráo vừa , rồi de tóc khô tự nhiên. Cúi đầu xuống để sấy thì tí tóc sẽ có độ phồnng tự nhiên nha
- Phía đuôi tóc minh là màu nâu , do trước đây nhuộm , bh ra chân tóc đen thui dài cở đó đó 
Cái răng cái tóc là gốc con người , nên các nàng cố gắng chăm tóc nhé 😘</t>
  </si>
  <si>
    <t>2019-10-10 23:41:39</t>
  </si>
  <si>
    <t>Nguyễn Thanh Mai</t>
  </si>
  <si>
    <t>100003739227950</t>
  </si>
  <si>
    <t xml:space="preserve">#duongtoc #moctoc #rvmeimei </t>
  </si>
  <si>
    <t>#trinam #tannhang #aha #bha #kemchongnang
Mọi người cho em hỏi
Da em da khô, nám , tàn nhang
Và hay có mụn li ti , không nhân, tự lên tự lặn , nhưng làm da sần sùi, nhìn không mịn . (Em không rõ là mụn cám hay mụn ẩn. Hay bị nổi ở trán và vùng má gần mũi, xung quanh miệng. )
Giờ e cần trị nám, tàn nhang và e cũng muốn giải quyết đống mụn li ti đó thì em sử dụng sản phẩm nào ạ.
Hiện tại em 
Tay trang  ganier hồng - rửa mặt - toner lotion tonique  - serum HA timeless - kem dưỡng ẩm Clinique.
- Mụn li ti của em có phải do mụn ẩn k ạ, E đã tẩy trang rất kỹ r. E có nên sử dụng AHa/bha để đẩy mụn lên không ạ? Em thấy mn review sử dụng cái này khá nguy hiểm. E sợ nát mặt. E chưa Sd bao giờ không biết nên dùng dòng nào, liều lượng ntnao ạ. AHA 10% và BHA  2% của paula’s choice liệu da em có sử dụng được không ạ. 
- Nám và tàn nhang. E được obagi tư vấn bộ bên dưới. Đã có chị em nào sử dụng chưa ạ. 
- Em chưa tìm được dòng kem chống nắng ưng ý. Da e bị nám tàn nhang nên hy vọng cả nhà review giúp e loại tốt nhất với ạ.</t>
  </si>
  <si>
    <t>2019-09-16 06:31:41</t>
  </si>
  <si>
    <t>100018791295596</t>
  </si>
  <si>
    <t xml:space="preserve">#kemchongnang #bha #aha #tannhang #trinam </t>
  </si>
  <si>
    <t>#ask
Mọi người ơi,mụn em như vậy có phải là mụn viêm nặng rồi kh ạ,làm sao để trị mụn này vậy ac ơi 😭</t>
  </si>
  <si>
    <t>2019-12-08 05:30:00</t>
  </si>
  <si>
    <t>Em muốn nhuộm tóc ăn tết dạng mấy màu sáng như nâu tro , nâu khói . Nhưng ngoài tiệm bắt phải tẩy . Mà tóc em thì yếu lắm rồi kh thể tẩy nữa . Mọi người chỉ em mấy màu sáng đại loại vậy không cần tẩy tóc để nhuộm ăn tết với. Tóc em đang nhuộm nâu hạt dẻ</t>
  </si>
  <si>
    <t>2019-12-09 00:43:28</t>
  </si>
  <si>
    <t>Phạm Ngọc Ly</t>
  </si>
  <si>
    <t>100006545521050</t>
  </si>
  <si>
    <t>#help. #Đẹp_chanh_xả 
Cho e hỏi cái vùng mụn liti này là gì vậy ạ.</t>
  </si>
  <si>
    <t>2019-12-18 05:21:12</t>
  </si>
  <si>
    <t>Lê Thế Trọng</t>
  </si>
  <si>
    <t>100012985230094</t>
  </si>
  <si>
    <t xml:space="preserve">#Đẹp_chanh_xả #help </t>
  </si>
  <si>
    <t>#cận_thị
#mắt_lồi
#ask
#đẹp_chanh_sả
Em năm nay học lớp 11 và bị cận từ năm học lớp 5. Đeo kính nhiều làm mắt bị dại đi trông thấy mà còn bị lôi nữa ạ. Em đã chuyển qua dùng lens từ năm lớp 8 mà rất hạn chế đeo vì sợ hỏng mắt :&lt;. Mọi người có kinh nghiệm hay có thông tin gì giúp em với ạ :3 Em cảm ơn ạ</t>
  </si>
  <si>
    <t>2019-10-19 07:02:09</t>
  </si>
  <si>
    <t>Nguyễn Ngọc Nhi</t>
  </si>
  <si>
    <t>100033700838113</t>
  </si>
  <si>
    <t xml:space="preserve">#đẹp_chanh_sả #ask #mắt_lồi #cận_thị </t>
  </si>
  <si>
    <t>Lại là Mai Thảo Mộc! Em ko hiểu nổi. Mặt người ta mụn như vậy còn vào bảo dùng thì đến thua rồi.</t>
  </si>
  <si>
    <t>2019-11-30 04:34:03</t>
  </si>
  <si>
    <t>Ánh Minh Đinh Ngọc</t>
  </si>
  <si>
    <t>100006472567607</t>
  </si>
  <si>
    <t>#NÁM #ASK
“Sau khi sinh con thứ 2 tôi rơi vào khủng hoảng vì nám mọc đầy trên hai gò má đi đâu cũng mất tự tin. Tôi đã thử chữ nám da bằng nhiều cách trong đó có cách trị nám mặt bằng Laser.Tôi trị liệu với Laser kém chất lượng nên làn da bị tàn phá trở nên khô ráp và nổi đầy mụn, nám không thuyên giảm mà còn tái phát mạnh hơn khiến tôi rất khổ tâm”.Tôi hạy đôn chạy đáo điều trị nám da bằng nhiều phương pháp mà không hiệu quả nên giờ không còn niềm tin vào những công nghệ trị nám đang được quảng cáo. viếc dòng tâm sự , mong nhận được chia sẽ thực tế của các chị em.</t>
  </si>
  <si>
    <t>2019-11-23 12:18:14</t>
  </si>
  <si>
    <t xml:space="preserve">#ASK #NÁM </t>
  </si>
  <si>
    <t xml:space="preserve">
#hoidap
Mọi người cho em hỏi em dùng nước muối sinh lí để tẩy trang được không ạ. Da em bị mụn đỏ với lại mụn ẩn, hơi dầu nữa. Trước em có skincare bằng mỹ phẩm nhưng thấy không khá hơn mà còn bị lên mụn, sau đó em ngưng sài và chỉ rửa mặt bằng srm sáng và tối. Mặt em còn thâm và lâu lâu lên mụn mủ. Em sài nước muối này tẩy trang bụi bẩn mỗi ngày 1 lần vào buổi tối, thấy da mặt ổn định hơn. Em muốn xin anh chị tips trị thâm với mụn ẩn ạ :(( em còn đi học nên muốn tìm mấy loại giá học sinh thôi ạ</t>
  </si>
  <si>
    <t>2019-08-31 13:37:56</t>
  </si>
  <si>
    <t>Lê Ngọc Linh</t>
  </si>
  <si>
    <t>100026638667425</t>
  </si>
  <si>
    <t>Mọi người cho e hỏi 
Uống thuốc giải độc gan sẽ sổ mụn lên mặt đúng k ạ 
Da e hiện tại bị mụn 
Lần đầu tiên uống nên k biết mong m.n cho e ý kiến ạ
#Mongadduyệt
Em cảm ơn ạ</t>
  </si>
  <si>
    <t>2019-12-06 22:57:18</t>
  </si>
  <si>
    <t>Nguyễn Thị Trúc Hạ</t>
  </si>
  <si>
    <t>100032130788967</t>
  </si>
  <si>
    <t xml:space="preserve">#Mongadduyệt </t>
  </si>
  <si>
    <t xml:space="preserve">Có ai bị tay như này không ạ?? Bạn e bị như này đã lâu rồi, đi chạy chữa hết bsi này đến bsi khác, quen mặt với da liễu luôn rồi vẫn k hết ạ. 
Có cách nào cải thiện k ah? E thấy suốt ngày nó than thương nó thiệt sự 😢 
#help #đepchanhsa </t>
  </si>
  <si>
    <t>2019-10-14 07:06:29</t>
  </si>
  <si>
    <t>Nguyễn Hải Anh</t>
  </si>
  <si>
    <t>100004994740617</t>
  </si>
  <si>
    <t xml:space="preserve">#đepchanhsa #help </t>
  </si>
  <si>
    <t>cho mình hỏi mặt em trai mình bị thâm như vậy . có cách gì chữa đỡ k ạ. mn cho e lời khuyên hữu ích với ạ . cảm ơn ạ</t>
  </si>
  <si>
    <t>2019-12-17 09:55:46</t>
  </si>
  <si>
    <t>Bibo Bibi</t>
  </si>
  <si>
    <t>100001474192047</t>
  </si>
  <si>
    <t xml:space="preserve">
#Ask #LanĐa #RauMa
Hi mọi người. Trong Group mình không biết có ai lăn đá bằng nước xay rau má chưa nhỉ?
Không biết bị mụn viêm thì lăn rau má, diếp cá, hay khổ qua thì mụn gom còi nhanh hơn nhỉ? 
Cho em review với ạ ❤</t>
  </si>
  <si>
    <t>2019-09-16 11:03:40</t>
  </si>
  <si>
    <t>Nguyễn Huế Hương</t>
  </si>
  <si>
    <t>100017053962098</t>
  </si>
  <si>
    <t xml:space="preserve">#RauMa #LanĐa #Ask </t>
  </si>
  <si>
    <t>Mọi người ơi chuyện là em năm nay 19t. Em đang ở Nhật. Từ khi sang Nhật mặt em cứ nổi mụn to to rồi rồi mấy nốt thâm nó đỏ ửng lên rõ lắm. Em có uống Vitamin C của DHC nhưng càng uống nó càng nổi nhiều hơn. Nên e ngưng uống rồi. Bây giờ em chỉ rửa mặt với sữa rửa mặt vs xài tuýp thuốc PAIR của Nhật. Sáng tối uống viên trị mụn của PAIR luôn. Nhưng vẫn k có cải thiện gì hết. Em rất bất lực luôn. Mỗi lần đt về cho gia đình ai cũng hỏi sao sang Nhật mà ngày càng nổi mụn nhiều thêm. Bây giờ em nên làm gì đây ạ .</t>
  </si>
  <si>
    <t>2019-12-01 12:20:14</t>
  </si>
  <si>
    <t>Minh Hy</t>
  </si>
  <si>
    <t>100039544072692</t>
  </si>
  <si>
    <t>Em mới 18 tuổi thôi ạ , trước tóc e cũng dày và mượt lắm , cho đến khi lên lớp 6 bắt đầu chẻ ngọn và hư tổn , lên lớp 11 bắt đầu rụng tóc và h tóc chỉ còn tầm 2 ngón tay thôi. 
Em đã sử dụng qua vài loại dầu gội đầu bưởi vs xịt bưởi , có lên tóc con nhưng k ăn thua và vẫn rụng , có uống cả thuốc mọc tóc nữa ạ . 
Ai giúp e với , em bất lực lắm rồi 😭😥😥
#rungtoc
#rungtoc
#help</t>
  </si>
  <si>
    <t>2019-11-03 09:41:02</t>
  </si>
  <si>
    <t>Nắng Mai</t>
  </si>
  <si>
    <t>100042849620105</t>
  </si>
  <si>
    <t xml:space="preserve">#help #rungtoc #rungtoc </t>
  </si>
  <si>
    <t>#ask
#tậpthểdục
Chào mng em năm nay 24t và có em bé đc 16m rồi ạ. Mọi thứ đều ổn trừ vòng 2 của em to bằng với ngực luôn ạ 😔 mng tư vấn cho em nên tập yoga hay gym để cải thiện v2 và giữ dáng với ạ. Many thanks !!</t>
  </si>
  <si>
    <t>2019-11-30 13:58:56</t>
  </si>
  <si>
    <t>Phương Linh Nguyễn</t>
  </si>
  <si>
    <t>100037175806683</t>
  </si>
  <si>
    <t xml:space="preserve">#tậpthểdục #ask </t>
  </si>
  <si>
    <t>#ask #trị_sẹo #help
Em bị tai nạn cày mặt xuống đường bây giờ khắp mặt toàn vết trầy xước nông sâu đủ cả, còn vết khâu dưới cằm nữa ạ 😞 em muốn hỏi ace trong gr nên dùng thuốc trị sẹo gì ạ
Edit 1 em vừa mới xuất viện ạ. Vì có vết khâu nên cũng phải nằm viện cỡ hơn tuần gì đó ạ. 
Ad duyệt bài giúp em với ạ, em cảm ơn !</t>
  </si>
  <si>
    <t>2019-04-29 14:06:34</t>
  </si>
  <si>
    <t xml:space="preserve">#help #trị_sẹo #ask </t>
  </si>
  <si>
    <t xml:space="preserve">
#máyrữamặt
#lỗchânlôngto
Chào mấy chị e cho e hỏi là mình dùng máy rữa mặt thì dùng mấy lần 1 tuần e thuộc da dầu..và dùng máy rửa mặt là không cần tẩy tế bào chết ạ..với m.n chỉ giáo e serum nào se khít lcl với e bị rỗ và lcl to nhìn da sần sùi quá..</t>
  </si>
  <si>
    <t>2019-11-24 03:27:20</t>
  </si>
  <si>
    <t>Tuyết Trang Nguyễn</t>
  </si>
  <si>
    <t>100004237444965</t>
  </si>
  <si>
    <t xml:space="preserve">#lỗchânlôngto #máyrữamặt </t>
  </si>
  <si>
    <t>#diet #goctuvan
Chào mng trong ĐCS 
Em năm nay 18 tuổi và em rất là béo tận 85 cân. Em cũng có dự định sau khi thi ĐH sẽ đăng kí gym và thuê PT hiện giờ em ăn uống và ngủ rất thất thường do thường xuyên thức khuya học bài nên em thấy dễ lên cân hơn so với mọi khi @@ có bà chị giới thiệu cho em sản phẩm này (6xx-8xx)giảm cân và hỗ trợ dinh dưỡng nhưng không phải ăn kiêng (ăn theo chế độ và được ăn 1 chén cơm mỗi bữa) thật ra em biết đây là hàng đa cấp nhưng có khá nhiều người sử dụng và hiệu quả nên khiến em hơi phân vân. Ở đây có ai đã sử dụng qua sản phẩm này chưa ạ ? Hay chị nào có tip giảm cân hay hay có thể truyền lại cho em không ? 
Em cám ơn .</t>
  </si>
  <si>
    <t>2019-04-12 13:30:44</t>
  </si>
  <si>
    <t>Mít Đặc</t>
  </si>
  <si>
    <t>100035407998112</t>
  </si>
  <si>
    <t xml:space="preserve">#goctuvan #diet </t>
  </si>
  <si>
    <t>Mọi người giúp em với ạ. Em bị tngt và bị thương ở chân em bị hồi thứ 2 í ạ đến bây giờ càng về sau chân càng sưng và sưng to lan hết từ cổ chân đến hết bàn chân của em và bị làm mủ ạ nhưng mà em bị trong tgian em đang học quốc phòng nên em học từ sáng đến tối di chuyển đi lại cũng khá nhiều em cũng hạn chế hết mức rồi em cũng có đi bv để khám bsi cũng cho thuốc để em uống nhưng mà chân em vẫn sưng mng có cách nào giúp em đỡ sưng không ạ với mng biết thuốc nào trị sẹo tốt giúp em với ạ. Em cảm ơn mng rất nhiều ❤️</t>
  </si>
  <si>
    <t>2019-12-05 14:18:23</t>
  </si>
  <si>
    <t>Bảo Vy</t>
  </si>
  <si>
    <t>100025703683139</t>
  </si>
  <si>
    <t>Các c ơi có cách nào để cải thiện làn da k tươi sáng này k ạ , da nhợt nhạt hay mẩn đỏ , khô da, có mụn ,lcl to 23 tuổi mà như 32 tuổi v
Mong ad duyệt bài chứ e chán quá</t>
  </si>
  <si>
    <t>2019-12-01 02:57:12</t>
  </si>
  <si>
    <t>Có ai bị vậy chưa ạ. Em bị vậy nhưng ko ngứa ko rát, nhìn mới biết. Bé nhà em 11m bây giờ cũng bị vậy luôn, nhìn giống vẩy nến nhưng em lên mạng tìm hiểu thì vẩy nến ngứa và ko lây. Ai bị rồi cho em chút kinh nghiệm ạ 😔😔😔</t>
  </si>
  <si>
    <t>2019-12-15 13:21:17</t>
  </si>
  <si>
    <t>Hai Hạnh</t>
  </si>
  <si>
    <t>100032913034854</t>
  </si>
  <si>
    <t>#ask #help 
Mình xin chào admin và các bạn/anh/chị trong group ạ. Mình post bài này để xin ý kiến cũng như kinh nghiệm của mọi người về vấn đề TRIỆT RÂU CHO NAM ạ 😥 Không biết có bạn nam nào bị cơ địa râu mọc rất nhanh giống mình ko 😞 chứ mình là sáng cạo - chiều nhú - mai ra lại rồi :(( Mình cạo râu thường xuyên, chắc khoảng 3-4 lần/tuần, do cạo nhiều nên phần mép và cằm mình bị thâm, trông rất mất thẩm mỹ 😰 và râu ra lại thì càng ngày càng đen và cứng!
Có thời gian mình chuyển sang nhổ râu bằng nhíp thì râu ra chậm hơn và đỡ thâm, nhưng do tần suất nhổ râu cũng khá thường xuyên nên sau 1 thời gian dài mình bị viêm nang lông nhiễm trùng thành áp-xe luôn 😭 Sau lần ấy thì mình sợ quá quay lại phương pháp cạo...
Thời gian gần đây mình có đi spa để làm gói triệt râu, đã đc 1/3 liệu trình rồi nhưng râu vẫn cứ mọc nhanh như thường, và vì 1 số lý do khách quan nên mình cũng ko muốn đi chỗ spa ấy nữa ( dù đã đóng trọn gói rồi 😢) 
Qua bài post này mình rất mong được chia sẻ kinh nghiệm cũng như gợi ý của mọi người về vấn đề này ạ. Dù biết là “nam tu nữ nhũ” nhưng theo mình thì cũng phải tuỳ gương mặt và phong cách của mỗi người chứ mặt mình thì thật sự ko hợp để râu và mình cũng ko muốn để cho lắm 😂
Cám ơn admin đã duyệt bài cho mình và cám ơn mọi người đã đọc bài post này ạ 🙏🏻 ❤</t>
  </si>
  <si>
    <t>2019-09-17 14:59:10</t>
  </si>
  <si>
    <t>Trương Ngọc Minh</t>
  </si>
  <si>
    <t>100006812041878</t>
  </si>
  <si>
    <t>#trịmụncóc #help
Cả nhà mình có ai biết cách trị mụn cóc ko ạ. Em lên mạg tìm thì có thấy bán các loại thuốc trị mụn cóc. Nhưng ko biết có loại nào tốt,dùng sẽ dứt điểm ko. Anh chị em biết cách nào hay thuốc gì ổn định thì chỉ giúp em với ạ. Em bị ngay sau gáy luôn ạ.
 E cám ơn cả nhà.</t>
  </si>
  <si>
    <t>2019-11-03 14:56:49</t>
  </si>
  <si>
    <t>Lê Tịnh Tâm</t>
  </si>
  <si>
    <t>100000003413045</t>
  </si>
  <si>
    <t xml:space="preserve">#help #trịmụncóc </t>
  </si>
  <si>
    <t>#ask
Cả nhà cho em xin review về 1 sản phẩm giữ nếp tóc uốn tốt với ạ 👍
Em cảm ơn ❤️</t>
  </si>
  <si>
    <t>2019-11-26 13:19:05</t>
  </si>
  <si>
    <t>Quỳnh Candy</t>
  </si>
  <si>
    <t>100005384738037</t>
  </si>
  <si>
    <t>#tuvan
Mọi người ơi.  Vì không có kinh nghiệm trang điểm nên phân vân mãi chưa biết chọn bảng màu nào. Ai đã từng sử dụng qua thì cho mình xin ít ý kiến với ạ? Nếu chọn cọ trang điểm thì hãng nào có giá bình dân mà xài ok ạ? 
Lần đầu viết bài. Nếu có gì sơ sót mong mọi người bỏ qua</t>
  </si>
  <si>
    <t>2019-12-01 00:03:27</t>
  </si>
  <si>
    <t>Kiều Trang</t>
  </si>
  <si>
    <t>100024093071913</t>
  </si>
  <si>
    <t xml:space="preserve">
 #ask
TÓC TẨY 
Mn ơi có loại dầu cặp nào giúp hồi phục phần nào tóc hư tổn ko ạ? 
Tóc e đã tẩy đến lần 2 biết là vô phương cứu chữa nhưng vẫn muốn tìm loại dầu hồi phục để đỡ được phần nào. 
Cảm ơn mn ạ</t>
  </si>
  <si>
    <t>2019-09-04 05:00:59</t>
  </si>
  <si>
    <t>100004080648546</t>
  </si>
  <si>
    <t>#seotham #tuvan
Mọi người cho em hỏi sản phẩm nào giúp làm mờ sẹo thâm cho da dầu nhạy cảm ạ? Em cảm ơn nhiều!</t>
  </si>
  <si>
    <t>2019-11-11 11:41:55</t>
  </si>
  <si>
    <t>Hoang An An</t>
  </si>
  <si>
    <t>100029849580342</t>
  </si>
  <si>
    <t xml:space="preserve">#tuvan #seotham </t>
  </si>
  <si>
    <t>ai cứu em với 😭 cứ đến mùa khô là tay phải của e bị thế này. Tay trái vẫn bt ạ. Em k bị ngứa. 
Chị nào là dược sĩ hay từng bị thế này k? Bảo e với 😭</t>
  </si>
  <si>
    <t>2019-12-07 05:15:36</t>
  </si>
  <si>
    <t>100004039426957</t>
  </si>
  <si>
    <t>#help 
Tình hình là cái mặt của e giờ nó chia đôi 1 bên thiên đường 1 bên địa ngục 😩. Trc giờ mặt em k có mụn đâu nhưng nửa năm nay nó bị ở cằm . Xong lan dần lên như vậy . E thì ngoài srm ra thì k có dùng thêm gì cả . Mà từ ngày có mụn chỉ bôi kem nghệ. Nó cũng đỡ nhưng k bôi lại lên . Nói chung là k hết đc. Chán quá hic. Các chị em chỉ em giờ phải làm nào với cái lũ mụn này đc ạ. E định đi khám rồi dùng thuốc theo đơn bs. Nhưng hôm nọ sang chị hàng xóm bán thuốc thì bảo nhìn như do nội tiết và bán cho vtm e uống . Nhìn như vậy nhưng toàn thâm cho em ngứa tay cạy 😭.</t>
  </si>
  <si>
    <t>2019-12-07 12:41:04</t>
  </si>
  <si>
    <t>Nông Thị Thuận</t>
  </si>
  <si>
    <t>100028830113731</t>
  </si>
  <si>
    <t>#ask #mụn-#ẩn 
Xin chào anh chị em trong group ạ. Một ngày đẹp trời bổng nhiên nó lên một đống mụn ẩn xong rồi nó thành như thế này ạ. Cũng buồn lắm luôn gần tới tết rồi mặt vầy chắc không sống nổi ạ. Em xin hỏi các ace trong group có bao giờ bị như thế này và cách khắc phục ạ, ai sài gì ổn chỉ em nha huhu. Em cảm ơn ạ 🥰</t>
  </si>
  <si>
    <t>2019-12-01 09:07:54</t>
  </si>
  <si>
    <t>Trân Huyền</t>
  </si>
  <si>
    <t>100027911690336</t>
  </si>
  <si>
    <t xml:space="preserve">#ẩn #mụn #ask </t>
  </si>
  <si>
    <t>mong ad duyệt bài giúp e với ạ
 chào mng, trong nhóm chắc ko ít bài viết về vấn đề rụng tóc rồi, mình cũng đã thử đủ mọi cách, gội bưởi.. bồ kết...  mà vẫn ko khả quan, gội bồ kết thì bết tóc dã man 😭😭😭
 mình muốn hỏi là có ai dùng thuốc hay viên uống nào có hiệu quả và giảm rụng tóc ko ạ, tóc ngày càng mỏng đi í huhu, 
hình dưới là vừa gội xong, chưa kể cả ngày cứ vuốt là lại rụng 1 mớ 🥺🥺
cám ơn mng nhiềuuuu</t>
  </si>
  <si>
    <t>2019-11-01 15:05:15</t>
  </si>
  <si>
    <t>Đỗ Thùy Trang</t>
  </si>
  <si>
    <t>100005821992572</t>
  </si>
  <si>
    <t>Thành quả vuốt vasaline cho mi 2 tháng đây mọi người ạ.e quên chụp trc khi dùng. Nói chung có hiệu quả rõ với mi. Có dùng cho chân mày nữa nhưng chưa thấy thay đổi nhiều 🤣. Ráng làm cám chăm chỉ thôi chớ mắt 1 mí, mày và mi thưa nữa nhìn chán phèo🤣
#Đẹp_chanh_sả
#Dưỡng_mi</t>
  </si>
  <si>
    <t>2019-11-24 10:13:53</t>
  </si>
  <si>
    <t>100033394663379</t>
  </si>
  <si>
    <t xml:space="preserve">#Dưỡng_mi #Đẹp_chanh_sả </t>
  </si>
  <si>
    <t>#ask 
#help 
Chào mn. mn có tips nào mọc tóc ko ạ ? tóc e rụng kinh khủng mà ko mọc tóc con lại luôn, sắp hói luôn rồi, e rầu quá. CE có cách nào mọc tóc nhanh chỉ e với ạ. tks mn nhìu</t>
  </si>
  <si>
    <t>2019-08-09 01:45:53</t>
  </si>
  <si>
    <t>Tú Cẩm Đỗ</t>
  </si>
  <si>
    <t>100009029049279</t>
  </si>
  <si>
    <t xml:space="preserve"> #HELP! #Nốt_trên_mặt #Da_mỏng
#Somebymi #Senka #Loreal #Fraijour #Hadalabo #Nivea #Thayers #Dickinson #Klairs #ImFrom #Now 
(Ad duyệt bài cho mình vớiiii!!!)
Em năm nay 19t, ngày trước còn là học sinh ngoài srm Pond ra thì em k dùng thêm bất kỳ đồ skincare nào hết, ngày ấy mặt em khá nhẵn, rất rất rất hiếm khi bị lên cục mụn nào. Thế mà cách đây 2 tháng em mới tập tành skincare mà đã phải ngày qua ngày đối diện với những nốt như ảnh r, vì em k biết nó phải mụn k, có nốt ngứa nốt k. Nó cứ trồi lên chỗ này, sau khi em bôi thuốc trị ngứa Dermovate (em có ảnh ở dưới cmt nếu đc duyệt) của bố em thì nó lại lặn nhưng nó lại mọc chỗ khác, miễn là mặt em luôn trong tình trạng có nốt như v, chán lắm luôn 😞 
Đây là các sp skincare mà em dùng:
- Kcn: Some by mi (cái này chỉ vừa dùng 3, 4 ngày, còn nốt là có trước đó rồi)
- Tẩy trang: Dầu tt Senka/ tt L'oreal dầu nước (nắp xanh đậm)
- Srm: Hada labo advanced nourish (màu trắng)/ Nivea Pearl White lọ tạo bọt sẵn(mới dùng)
- Tdc: Fraijour
- Toner: Thayers Unscented/ Dickinson màu vàng (mới dùng)
- Serum: Vitamin C của Klairs
- Kem dưỡng: I'm from Vitamin Tree, thỉnh thoảng thay bằng dầu nho của Now 
 Da em là da thường, đổ dầu vùng chữ T. Trước da cũng đã mỏng sẵn rồi nhưng dạo gần đây thì thấy nó mỏng hơn vì mao mạch nổi nhiều hơn, k biết là do sản phẩm gì. Hay có phải em kết hợp các sản phẩm trên nó tạo ra chất k tốt cho da k ạ? Ui, em hoang mang quá thực sự k biết nguyên nhân nằm ở đâu để giải quyết tự nhiên biết mặt nhẵn thành mặt có vấn đề, stress luôn. Vì em cùng dùng các sp trên trong 1 khoảng tgian nên k biết là do sp nào khiến mặt em có nốt và bị mỏng hơn, chẳng lẽ là do tất cả các sản phẩm trên?!! 
Anh, chị, em, bạn có kinh nghiệm và kiến thức cho em xin lời khuyên cần phải làm gì bây giờ với ạ, huhu 😭😭😭</t>
  </si>
  <si>
    <t>2019-08-13 00:28:27</t>
  </si>
  <si>
    <t>Xi Eo</t>
  </si>
  <si>
    <t>100006169663118</t>
  </si>
  <si>
    <t xml:space="preserve">#Now #ImFrom #Klairs #Dickinson #Thayers #Nivea #Hadalabo #Fraijour #Loreal #Senka #Somebymi #Da_mỏng #Nốt_trên_mặt #HELP  </t>
  </si>
  <si>
    <t>Chỉ em sp trị mụn hiệu quả với ạ😩</t>
  </si>
  <si>
    <t>2019-12-15 06:29:50</t>
  </si>
  <si>
    <t>Dân Thường</t>
  </si>
  <si>
    <t>100016684576892</t>
  </si>
  <si>
    <t>#helpme #giúpemvớiạ💋
mọi người cho e hỏi vs ạ . sau khi dùng kem trị mụn của larochy e bị kích ứng và lên nhiều mụn . qua da liễu khám thì họ bán thuốc uống và bôi nhưng đến bio nó để lại thâm ntn và k hết . Em nên dùng sản phẩm j cho hết mụn và  hết thâm được ạ .... ❤️❤️❤️❤️ 
Em cảm ơn mọi người ...</t>
  </si>
  <si>
    <t>2019-12-18 05:24:37</t>
  </si>
  <si>
    <t>Bảo Trang</t>
  </si>
  <si>
    <t>100006718369204</t>
  </si>
  <si>
    <t xml:space="preserve">#giúpemvớiạ #helpme </t>
  </si>
  <si>
    <t>Các bạn nào môi lệch như mình, có cách nào sửa cho nó đều ko ak? Đánh son lên dù cố kẻ viền môi cao lên vẫn lộ, trông chán đời lắm. Còn quả cằm Không biết có phải do hai mấy năm nhai 1 bên không mà gần đây mình mới để ý kỹ là bị lệch. 
P.s: Mình mới sinh ebe dc hơn 2 tháng nên trông nhợt nhạt, nhất là quả môi nhưng ko dám đánh son để các bạn thấy nó lệch cỡ nào và mấy cái nốt mụn kia là mình mới đi tẩy.😔</t>
  </si>
  <si>
    <t>2019-12-03 13:40:43</t>
  </si>
  <si>
    <t>100003262956989</t>
  </si>
  <si>
    <t>#tưvân.#hỏiđap
Mn ơi .chọh hỏi vấn đề ko lq tới làm đẹp..
Nhưng ở gr mjh có ai biết bị ntn là bị sao ko ạ .
Con bị ngứa dữ lắm và nó nổi 3 nốt to đùng thế này ở đầu gối .ở ngoài đỏ hơn trong hình(do máy mìh hư cam nên ko rõ cho lắm )
Con bị chiều hôm qa .giờ cảm thấy vết này nó đỏ hơn ngứa hơn .mai mjh sr cho con đi bv khám .nhưng gờ lo qa sợ bị zona gì đó .mn ai bit giúp mjh với 
Cám ơn rất nhiều .</t>
  </si>
  <si>
    <t>2019-11-26 11:12:25</t>
  </si>
  <si>
    <t>Nhà Nấm. Lunlun</t>
  </si>
  <si>
    <t>100007940048990</t>
  </si>
  <si>
    <t xml:space="preserve">#hỏiđap #tưvân </t>
  </si>
  <si>
    <t xml:space="preserve">Ai sử dụng viên serum dưỡng trắng nno vite này chưa ạ? Em được chị bán mỹ phẩm giới thiệu cho dùng bảo là nó tốt cho da và dưỡng trắng, em xem trên mạng còn có thể bôi được cho môi, lông mi lông mày , nhưng mà là hàng VN và nó có mùi giống kem trộn vậy 😭 Em dùng được 10v rồi ai cho em lời khuyên với. Da em thuộc da dầu nhạy cảm, có mụn và thâm ( Giá trong ảnh là 9k 1 viên )
</t>
  </si>
  <si>
    <t>2019-11-01 15:19:40</t>
  </si>
  <si>
    <t>Nguyễn Di</t>
  </si>
  <si>
    <t>100016615869852</t>
  </si>
  <si>
    <t xml:space="preserve">Em xin tips trị thâm mắt, tăng v1 tự nhiên ạ, thân hình em hong được cân đối mông to nhưng ngực lép ạ
Ad duyệt hộ em đi huhuu
Kh phải acc fake đâu ạ :(
#ask
</t>
  </si>
  <si>
    <t>2019-11-01 15:20:36</t>
  </si>
  <si>
    <t xml:space="preserve">
#giamcanantoan
Chị em cho em xit ít review về loại thuốc giảm cân này với ạ. Hqua em mới đọc 1 bài uống thuốc giảm cân suy gan suy thận nên hơi sợ sợ...
Các mẹ đừng chửi em là lười hoạt động hay tập tành. Thuốc cũng là do mẹ em kb mua phải nên em mới lên hỏi. Em thuộc dạng hấp thụ được. 3 ngày ko ăn uống nc lọc với sữa đậu ko đường mà tăng 2kg. Với lại em đi làm suốt, về nhà lại làm vc nhà trông con, khốn nỗi có 1m nên ko rảnh 1 time nào để tập tành ấy ạ 😞</t>
  </si>
  <si>
    <t>2019-10-20 07:17:43</t>
  </si>
  <si>
    <t>Chu Mạc Ngọc Anh</t>
  </si>
  <si>
    <t>100005624742108</t>
  </si>
  <si>
    <t>Mong QTV thương xót duyệt giúp em với ạ. Em khá tự ti với mặt của mình nên cho  em xin phép dùng acc ảo ạ. 
Xin hãy cuứ vớt đời em với ạ 
Chuyện là vầy em bị mụn dị ứng nhưng lúc đó là cận tết rồi ko biết làm sao hết mặc dù biết tác dụng rất rõ tác hại của thuốc bắc đông y nhưng vì thời điểm đó gần tết em bí quá làm liều :))) thì dùng xong 3 tháng mặt em sạch sẽ mịn màng trắng hồng ko còn miếng mụn nào luôn đó ạ. Tưởng êm nhưng ko ngờ em chỉ đẹp vài tháng em ngưng ko dùng nữa tính đến nay em ngưng được 6 tháng :)) mặt em hiện giờ như cái dề cơm cháy luôn í mụn li ticả mụn ẩn nữa ạ Em có đi spa đi da liễu nhưng ko hết ạ   spa em đi đc 3 tháng trời lấy nhân mụn làm liệu trình  trị mụn đi tính chất các kiểu xong về tầm 2 ngày là nổi thêm. Haizzzz em thật sự rất rầu ạ em buồn lắm tết đã đến mông rồu ạ... em mong các anh các chị các em từng bị như em thì cho em xin vài bí kiếp skincare với ạ. Bản thân em là 1 con rất là ngu trong việc skincare nên em xin mọi ng hãy chỉ em thật tình ạ. Em xin chân thành cảm ơn cảm ơn đội ơn mọi người</t>
  </si>
  <si>
    <t>2019-12-02 00:27:54</t>
  </si>
  <si>
    <t xml:space="preserve">
Chào các chị em trong group,
Thực sự gần đây em thấy chai serum thay da sinh học red peel thực sự quá hot và em cũng từng viết review về bộ đôi serum sữa + serum red peel này rồi. E nhận được rất nhiều câu hỏi là sau khi peel mình dùng gì?
Thế là e viết luôn bài này để khoe luôn công thức sau peel của em, nói là công thức v thôi chứ thật ra chỉ có mỗi 2 bước ý 📷=)))))
Sau khi peel xong nhất định các chị em hãy dùng toner nhé, riêng e e có hẳn 1 chai toner riêng sau khi peel luôn, ý là peel da mới dùng đến e này thôi. Toner này là của hãng Mamonde tên là “peel aqua” vì cái chữ peel này nên e đã quyết định mua và thực sự rất phù hợp vs red peel ý! Vì nó làm cân bằng da ngay lập tức, da nhẹ hẳn luôn! Vì sau mỗi lần peel, da sẽ căng nên e cân bằng ngay độ PH cho da bằng toner! Với cả chai mamonde này đc chiết xuất từ lựu và có AHA tự nhiên nên nó cũng hỗ trợ giảm mụn nữa ý cực xịn luôn! Mấy chị có thể nhìn thấy ảnh em hiện giờ, chỉ còn 1 vài chấm thâm do sau mụn để lại thôi à chứ mụn đã bay sạch luôn roài. Sau khi dùng toner xong e đắp ngay mặt nạ giấy, bản thân e k có kén mặt nạ giấy nên đã mua đủ loại dự trữ sẵn trong tủ lạnh, cứ peel xong là lấy ra để cấp ẩm ngay lập tức để da k bị quá khô và gần đây nhất, loại mặt nạ giấy em hay dùng nhất là của mediheal! 1 tuần e sẽ peel da 2 lần và sau peel sẽ qua 2 bước này, là xịn!
Nói về red peel thì các chị có vấn đề về da mụn nè, da sạm nè, da bị break out là dùng xịn (da em bây h đỡ xạm nhiều lắm luôn rồi í). Riêng da mới nặn mụn thì từ từ hẳng dùng nhé, red peel vẫn khuyên là ko nên dùng cho vết thương hở ý. Bản thân e sau 1 thời gian sử dụng, hiện tại e rất ưng ý về da của mình, ngay cả những vết thâm lâu năm cũng đã mờ dần luôn, vì thế rất đáng dùng qua các chị em nhé! E đang dùng chai full size vì quá thích, nhưng e để ý các shop có bán các loại mini và sample các chị em có thể mua về dùng thử nha! Mong bài viết của em có thể giúp ích đc cho quá trình skincare của m.n!
Cảm ơn ad đã duyệt bài cho e ~~~~~</t>
  </si>
  <si>
    <t>2019-07-17 03:54:30</t>
  </si>
  <si>
    <t>Nàng Thơ</t>
  </si>
  <si>
    <t>100037411791234</t>
  </si>
  <si>
    <t xml:space="preserve">
Cho em xin review về mấy loại thuốc uống đẹp da ạ</t>
  </si>
  <si>
    <t>2019-05-19 11:42:20</t>
  </si>
  <si>
    <t>Nguyễn Văn Nhân</t>
  </si>
  <si>
    <t>100009869407538</t>
  </si>
  <si>
    <t xml:space="preserve">Mn cho mình hỏi da minh la da dầu nhạy cảm mình sd srm centaphil,tone simple,serum lucenbase, tt bio thay da cung ổn lai s 1 quá trình cai kem trộn.Dạo nay minh bắt dau làm công việc o trong may lanh cug 8tiểng 1ngay mình thay da minh khô và bông da khi o may lanh nhiều quá voi lai khi ma đi xa minh đeo khẩu trang lâu qua chắc la no hầm hơi nên cung co cảm giác hơi ngứa tầm nửa tieng hay 1tiếng rồi da binh thường trở lại.Bh mình muốn dùng kem dưỡng ẩm để khắc phục nhường trinh trạng trên mn biết dòng nào tốt giá cả vừa vừa ma dành cho da nhạy cảm nhu minh kh tư vấn giúp minh với.À cho mình hỏi khi o trong may lạnh có dùng dc kcn kh ạ chỉ giúp minh luon loại kem chống nắng nào ok luon nha.Minh cảm ơn nhiều nhiều bài minh hơi dài nên làm phiền mn chút nha
Mong add duyệt giúp mình mình đăng bài qài mà kh thay dc duyệt huhu 
</t>
  </si>
  <si>
    <t>2019-11-12 12:17:22</t>
  </si>
  <si>
    <t>Anh Mai Tram</t>
  </si>
  <si>
    <t>100038769840141</t>
  </si>
  <si>
    <t>#ask #toner #kcn #skincare #serum #srm
Da em là hỗn hợp thiên dầu
Sáng rửa mặt mà 2 tiếng sau như cái chảo dầu
Mụn ẩn chi chít trên trán + mụn đầu đen + mụn thâm + lcl to 
Các chị cho e hỏi skin care như nào để da ổn hơn ạ?
E dùng srm Cetaphil , kem chấm mụn Ducray
Da của e thì nên dùng kem chống nắng , tẩy trang , kem dưỡng nào ạ?
Các chị cho e xin tips se lcl , giảm mụn đầu đen và da bớt dầu với ạ?</t>
  </si>
  <si>
    <t>2019-11-25 09:31:41</t>
  </si>
  <si>
    <t>Chougates Brr</t>
  </si>
  <si>
    <t>100035602689986</t>
  </si>
  <si>
    <t xml:space="preserve">#srm #serum #skincare #kcn #toner #ask </t>
  </si>
  <si>
    <t>#help 
Huhu sao mình cứ bị mụn này dưới cằm không vậy. Da mặt mình thì không có quá nhiều mụn nhưng riêng cằm thì cả đóng như thế này đây.  
Nên làm gì bgio :((</t>
  </si>
  <si>
    <t>2019-12-04 14:33:17</t>
  </si>
  <si>
    <t>Mong ad duyệt bài 
#ask #collagen #youtheory #Auth #fake
Chào mọi người, mình có 2 hũ collagen youtheory mua từ 2 shop khác nhau và đều khá uy tín nhưng thấy chữ in hạn sử dụng lại đậm nhạt khác nhau trên 2 hũ. Mọi người cho em hỏi là khác mẫu hay có auth , fake gì ko ạ?</t>
  </si>
  <si>
    <t>2019-11-27 13:57:08</t>
  </si>
  <si>
    <t>Quách Nam Phương</t>
  </si>
  <si>
    <t>1811781478</t>
  </si>
  <si>
    <t xml:space="preserve">#fake #Auth #youtheory #collagen #ask </t>
  </si>
  <si>
    <t>Mong ad duyệt bài cho em với ạ huhu 
Em chào mọi người ạ em 19t ạ và mắt em có tật là nốt ruồi trong mắt như hình ấy ạ. Em bị từ bé và đi khám bs nói không ảnh hưởng gì nên k sao cả em vẫn thấy nhìn rõ như thường nhưng mắt như vậy tự ti lắm luôn em không bao giờ dám nhìn thẳng vào mặt người đối diện luôn ạ.Các anh chị có ai bị như em mà chữa khỏi không ạ</t>
  </si>
  <si>
    <t>2019-11-30 16:35:43</t>
  </si>
  <si>
    <t>Nguyễn Bảo Hân</t>
  </si>
  <si>
    <t>100044310635164</t>
  </si>
  <si>
    <t>Gần đến mùa cưới rồi! Mình muốn hỏi cushion nào hợp với da dầu nhỉ? Mình ngày thường ko trang điểm nên ko rành lắm. Mọi người tư vấn mình với</t>
  </si>
  <si>
    <t>2019-12-14 23:00:25</t>
  </si>
  <si>
    <t>Lê Ngọc Ánh</t>
  </si>
  <si>
    <t>100003806691490</t>
  </si>
  <si>
    <t>#kemmat
Chào mọi người ạ! Nhà mình các chị có ai sử dụng kem mắt của Estee Lauder chưa ạ? Em đang định mua về dùng thử, giá hơi chát mà không biết công dụng như nào. Nhà mình ai dùng rồi cho em xin tí review, em cảm ơn ạ!!</t>
  </si>
  <si>
    <t>2019-08-15 04:02:13</t>
  </si>
  <si>
    <t>Dung Thuỳ Bùi</t>
  </si>
  <si>
    <t>100004844054091</t>
  </si>
  <si>
    <t xml:space="preserve">#kemmat </t>
  </si>
  <si>
    <t>#ask #mụn
Chào cả nhà
Em bị mụn ở khu vực trán 
Cả nhà có thể chỉ mình cách khắc phục được ko ah
Mình có sử dụng khá nhiều sản phẩm trị mụn nhưng không hiệu quả cứ hết rồi lại lên lại ạ
Mong cả nhà chia sẻ bí quyết giúp e ạ</t>
  </si>
  <si>
    <t>2019-10-25 15:53:56</t>
  </si>
  <si>
    <t>Huệ Chù</t>
  </si>
  <si>
    <t>100006713106960</t>
  </si>
  <si>
    <t xml:space="preserve">
#ask
Em thấy bảo cái này đắp mask mà không biết dùng ổn không, da em là da hh thiên dầu nhiều mụn đầu đen vs mụn ẩn ạ :((( ai dùng rồi em xin review</t>
  </si>
  <si>
    <t>2019-08-20 13:59:49</t>
  </si>
  <si>
    <t>Nguyễn Khuê</t>
  </si>
  <si>
    <t>100024129221351</t>
  </si>
  <si>
    <t>#Nướchoa #Nuochoa #Help 
Chào tất cả mọi ngườiiiii!!!!!
Chỉ là em đang tìm kiếm một mùi có thể gọi là mùi da thịt, mùi trần trụi, sạch sẽ của phụ nữ như vừa mới tắm ra, kiểu nhẹ nhàng nồng ấm tiểu thư nhưng vẫn không kém quyến rũ, sang trọng và tinh tế í ạ 
Em có tham khảo những dòng bên dưới mà thật sự không biết chọn dòng nào vì đọc review nghe mê người luôn. Vì thế, topic này để các chị em review về các dòng nước hoa chân lý của cuộc đời anh chị nhé ~ 
*Admin duyệt bài giúp em, em cảm ơn ạ 💎</t>
  </si>
  <si>
    <t>2019-08-05 03:57:46</t>
  </si>
  <si>
    <t>Pham Pham</t>
  </si>
  <si>
    <t>100029839062060</t>
  </si>
  <si>
    <t xml:space="preserve">#Help #Nuochoa #Nướchoa </t>
  </si>
  <si>
    <t>#help😭
Mọi người ơi cho e hỏi da e như vậy có phải là không chịu với mỹ phẫm đang dùng không ạk. Em thuộc tuýp da dầu ít và từng bị nhiễm thuốc rượu( cách đây 3 tháng trước). Đây là các bước e skincare
Sáng: - Srm hadalabo trắng
              Toner mamonde diếp cá
              Kcn sunplay hồng
Tối: - Tẩy trang loreal
        Srm và toner như sáng sau đó e dùng kem dưỡng ẩm hadalobo.
E tẩy tế bào chết và xông mặt 2lần/ tuần ạ.
Da em mới bị lúc sáng nay thôi ạ. 
Ps: Mong ad duyệt bài giúp em với ạ😭</t>
  </si>
  <si>
    <t>2019-12-12 02:13:47</t>
  </si>
  <si>
    <t>Trúc Ly</t>
  </si>
  <si>
    <t>100044823060981</t>
  </si>
  <si>
    <t>Mọi người cho em xin ít tên son có màu ngả nâu hoặc pha ít đỏ như thế này với , son kem càng tốt luôn ạ
Em thích màu son này lắm nhưng chưa biết nên mua loại nào vì ảnh chụp 1 màu, lúc xem swatch lại màu khác :'( ai dùng rồi cho em xin review với.
Em cảm ơn
#tuvan #son</t>
  </si>
  <si>
    <t>2019-12-02 06:03:58</t>
  </si>
  <si>
    <t>Vũ Linh</t>
  </si>
  <si>
    <t>100007719243029</t>
  </si>
  <si>
    <t xml:space="preserve">#son #tuvan </t>
  </si>
  <si>
    <t>Mặt em thế này ạ, em muốn cắt tóc tém thì có nên không? Và để kiểu nào sẽ hợp ạ?
Tóc của em bây giờ đang để dài ngang vai</t>
  </si>
  <si>
    <t>2019-12-20 09:31:54</t>
  </si>
  <si>
    <t>trong gr có ai bị thâm 2 bên mép miệng và mụn quanh miệng như này không ạ? huhu em xin tips trị thâm &amp; mụn với ạ :(((( tự ti king khủng a huhu.
Em bị mụn ẩn nhiều càng bôi thuốc trị mụn kiểu nó càng lên nhiều nên giờ em chỉ sử dụng : tẩy trang Senka &amp; srm Senka lọ màu xanh ạ.
 Mong add duyệt bài @@</t>
  </si>
  <si>
    <t>2019-11-20 13:22:40</t>
  </si>
  <si>
    <t>Le Xuan Ly</t>
  </si>
  <si>
    <t>100024927278654</t>
  </si>
  <si>
    <t>#helpme
Đùi e bị đường sọc sọc trắng đen như này ạ,mn có biết cách nào chữa hết không ạ,trước em không để ý đến lúc nhìn lại thì bạn em nói là rạn mà nó gần hết chân luôn, lúc ra nắng thì nhìn đậm lắm luôn trông ghê hơn nhiều,đôi lúc mấy đường đen đen nó tím tái lại, nhìn trắng đen lúc thì tím đen loang lổ 1 vài đốm trắng, mông thì e không bị, em có thoa bio oil mà không được,zoom ra trông kinh lắm ạ😓</t>
  </si>
  <si>
    <t>2019-12-02 00:29:42</t>
  </si>
  <si>
    <t>Ninh Hồ</t>
  </si>
  <si>
    <t>100043959602792</t>
  </si>
  <si>
    <t>#ask 
Cảm ơn ad đã duyệt cho em ạ
Da hiện tại của em đang gặp khá nhiều vấn đề, mong mọi người mách cho em các sp tốt lành tính phù hợp với da hh thiên dầu ( hơi nhạy cảm) ạ. 
Đầu tiên là vùng 2 bên cánh mũi lcl to nổi mụn ẩn và bị đỏ ( do trước đây em bị mụn viêm nhiều ở đó) giờ sờ thấy hơi cộm cộm dưới da ạ. Vùng 2 bên má với mũi đổ dầu rất nhiều :(( 
Thêm nữa là da em rất rất không đều màu mà không biết làm sao cho hết. Mong các anh chị chỉ cho em sản phẩm tốt cứu cánh làn da của em!!! Em đang tìm tẩy trang mới hợp với da hơn và em cũng định sd cấp ẩm của the ordinary mng thấy ổn không ạ?</t>
  </si>
  <si>
    <t>2019-10-12 00:46:55</t>
  </si>
  <si>
    <t>Bao Tran</t>
  </si>
  <si>
    <t>100010258925638</t>
  </si>
  <si>
    <t xml:space="preserve"> #differin
E có mua tuýp differin này sử dụng đc 3ngày rồi nhưng k thấy hiện tượng khô, rát, bong tróc như mn thường chia sẻ, chỉ thấy đổ dầu nhìu hơn. Không biết có vấn đề gì k ạ! Mong admin duyệt bài giúp e ạ!</t>
  </si>
  <si>
    <t>2019-10-25 08:17:05</t>
  </si>
  <si>
    <t>100039112953828</t>
  </si>
  <si>
    <t xml:space="preserve">#differin  </t>
  </si>
  <si>
    <t>E mới nhấn mí sáng nay ma mắt sưng thế này  
Các c cho e hỏi có vấn dề gì ko ạ. 
Va làm cách nào giảm bớt sưng đc ko ạ</t>
  </si>
  <si>
    <t>2019-12-17 13:10:36</t>
  </si>
  <si>
    <t>Nhung Vũ</t>
  </si>
  <si>
    <t>100032250803518</t>
  </si>
  <si>
    <t xml:space="preserve">
Cho em hỏi nốt mụn to là mụn gì và làm cách nào để nó xẹp chứ nó như vậy cả tuần rồi ạ 😞 e đi nặn cũng chỉ ra 1 xíu mụn thôi ạ 
Mong ad duyệt giúp e</t>
  </si>
  <si>
    <t>2019-12-19 03:21:44</t>
  </si>
  <si>
    <t>Thiên Dii</t>
  </si>
  <si>
    <t>100020413271791</t>
  </si>
  <si>
    <t>#ask #bocsu   
Mọi người ơi có ai trên hội mình bọc răng sứ rồi không ạ. Em đang bị sứt cái răng sát răng cửa định sẽ đi bọc sứ cơ mà thấy nhiều ý kiến trái chiều quá nên em cũng rất hoang mang. Mọi người ai có kinh nghiệm chia sẻ cho em với ạ :((. Tại em cũng nằm vùng mấy hội làm răng mà thấy nhiều người trong các nha khoa quảng cáo quá, nên em lại càng thấy loạn hơn ạ :((
P/s: Mong ad duyệt giup em ạ.</t>
  </si>
  <si>
    <t>2019-12-07 02:46:11</t>
  </si>
  <si>
    <t>Bích Vân</t>
  </si>
  <si>
    <t>100035648361349</t>
  </si>
  <si>
    <t xml:space="preserve">#bocsu #ask </t>
  </si>
  <si>
    <t>AD DUYỆT GIÚP EM VỚI Ạ
Dạ chào các ac, em năm nay học c3, do thời gian trước việc học của em quá dày nên em hay ngủ muộn, đi học trưa nắng đôi lúc quên đeo khẩu trang, sau 1 tgian thì môi em bị thâm lại như này, em đã sd qua kha khá sản phẩm nhưng kh hiệu quả mấy, hnay rất cần mn tư vấn sản phẩm giúp em cải thiện tình trạng này 😢
Thêm nữa là em chụp bằng cam thường nhưng đt ko được tốt ạ</t>
  </si>
  <si>
    <t>2019-11-25 13:58:52</t>
  </si>
  <si>
    <t>Trần Hoa</t>
  </si>
  <si>
    <t>100039722151670</t>
  </si>
  <si>
    <t>KHÔNG PHẢI BÀI REVIEW</t>
  </si>
  <si>
    <t>Chân và tay em bị lỗ chân lông với nổi hột liti như bị viêm lỗ chân lông,có ai biết cách trị chỉ em với. Em cảm ơn</t>
  </si>
  <si>
    <t>2019-10-18 08:08:22</t>
  </si>
  <si>
    <t>Lona House</t>
  </si>
  <si>
    <t>100029521892586</t>
  </si>
  <si>
    <t>#đẹp_chanh_sả
#Ask
E nằm vùng trong nhóm cũng lâu rùi ạ, nay ngoi lên xin các chị kinh nghiệm trị thâm môi vs chỗ khóe môi vs ạ.
Vs các chị cho e hỏi đi săm thì nó có hết thâm chỗ khóe môi k ạ</t>
  </si>
  <si>
    <t>2019-10-25 01:58:59</t>
  </si>
  <si>
    <t>Giang Hương</t>
  </si>
  <si>
    <t>100003831442956</t>
  </si>
  <si>
    <t xml:space="preserve">#Ask #đẹp_chanh_sả </t>
  </si>
  <si>
    <t>Xin phép ad em dùng nick ảo
Mọi người có thể nào tư vấn giúp em xài gì cho hết thâm được không ạ? Em bị dị ứng nổi mẩn đỏ ngứa xong hết rồi bây giờ nó để lại thâm sẹo, da e độc bị gì cũng lâu lành, chỉ trầy bầm tím thôi cũng lâu hết hơn người ta. Lúc dị ứng ngứa quá e gãi riết giờ người như ghẻ, vừa thâm vừa ghẻ huhu cả nhà giúp em với 😭😭😭 đây chỉ là tay thôi e còn bị ở lưng và vai nữa ạ. Gần Tết rồi mà vậy em khổ tâm lắm 😭😭</t>
  </si>
  <si>
    <t>2019-12-12 14:14:43</t>
  </si>
  <si>
    <t>Sully Cheng</t>
  </si>
  <si>
    <t>100043829897946</t>
  </si>
  <si>
    <t>#cushion #ask 
1. Em đang phân vân về việc chọn cushion kiềm dầu, che phủ tốt, em chọn được 2 nhãn blackrouge, missha mọi người cho em xin vài ý kiến với ạ, da em da dầu, mụn ạ
2. Với cho em hỏi sử dụng cushion thì có cần sử dụng phấn phủ không ạ, nếu cần thì cho em xin vài nhãn của phấn phủ giá ok xíu ạ hihi 
Mong ad duyệt bài giúp em ạ</t>
  </si>
  <si>
    <t>2019-11-06 19:07:57</t>
  </si>
  <si>
    <t>Đặng Mỹ Anh</t>
  </si>
  <si>
    <t>100008598377754</t>
  </si>
  <si>
    <t xml:space="preserve">
#phunmoi
22t thì có nên đi phun môi không mọi người ơi.Chuyện là chiều nay e tính đi phun môi.để những lúc ở nhà k sơn môi nhìn mặt cho đở kiểu chết trôi tí.Mà còn sợ phun môi về xong nhìn già hơn tuổi quá😭có c e nào đi phun môi về mà đẹp k ạ.cho e ít động lực với ạ</t>
  </si>
  <si>
    <t>2019-11-16 06:26:19</t>
  </si>
  <si>
    <t xml:space="preserve">
#sonmoi
#help
#ask
Mọi người ơi mình đang định mua son và đang phân vân 3 loại này bl, cellnco, mia. Nhưng chưa biết chất lượng thế nào. Ai đã dùng rồi thì cho mình xin review với. 
Ps: mong được ad duyệt ạ.
Ps: sau khi được mn đưa ý kiến thì t thấy k nên mua cho đỡ phí tiền. Nhưng cáo ai biết son nào có màu đánh lên gần giống màu hồng san hô của cellnco k ạ?  Màu đó xinh v.</t>
  </si>
  <si>
    <t>2019-09-16 12:16:56</t>
  </si>
  <si>
    <t xml:space="preserve">#ask #help #sonmoi </t>
  </si>
  <si>
    <t xml:space="preserve">
Tao đã comment gì sai hả các mày 😂😂😂</t>
  </si>
  <si>
    <t>2019-08-04 09:19:28</t>
  </si>
  <si>
    <t>Nguyễn Hiệp</t>
  </si>
  <si>
    <t>100000264177785</t>
  </si>
  <si>
    <t>Mọi người cho e hỏi làm sao để hết được quầng thâm mắt vậy ạ ? E đang xài kem mắt AHC mà ko thấy cải thiện đc gì 😞 
#thammat</t>
  </si>
  <si>
    <t>2019-12-22 05:00:04</t>
  </si>
  <si>
    <t>Hoàng Ngân</t>
  </si>
  <si>
    <t>100006016902226</t>
  </si>
  <si>
    <t xml:space="preserve">
#phoido
#Thời trang
Mùa Đông-Mùa áo khoác lên ngôi
Tổng hợp một số cách phối đồ đơn giản mà hiệu quả cho mấy nàng nè 
Nguồn: fb</t>
  </si>
  <si>
    <t>2019-12-01 05:35:56</t>
  </si>
  <si>
    <t xml:space="preserve">#Thời trang #phoido </t>
  </si>
  <si>
    <t xml:space="preserve">Da ntn em phải làm sao các chị ơi. Mụn em như dạng liti ấy. khi không bị ồ ạt kéo đến, Help e cảm ơn ạ
Có ai dùng lọai bên dưới ch cho e rv ạ
</t>
  </si>
  <si>
    <t>2019-11-06 11:31:11</t>
  </si>
  <si>
    <t>Mỹ Ngọc</t>
  </si>
  <si>
    <t>100026935294588</t>
  </si>
  <si>
    <t xml:space="preserve">
#goctuvan
Giúp em với ạ. Đợt em dính kem trộn. Xong mụn lên kinh khủng luôn. Sau đó bạn bè giới thiệu em đi spa làm liệu trình men gạo. Đi gần hết liệu trình em mới biết men gạo đó là thuốc rượu. Sau đó ẩn núp trong group. Em học mấy chị skincare rồi phục hồi da. Da em hiện tại như vậy!! Da em kiểu khô hai bên má dầu riết ra vùng chữ T. Các chị giúp em tìm giải pháp cho mặt với ạ. Hien tại em vẫn còn mụn đầu đen ở mũi và mụn ở dưới cằm. 
Ad duyệt giúp em!!!!</t>
  </si>
  <si>
    <t>2019-10-24 05:25:49</t>
  </si>
  <si>
    <t>Ai Rồi Cũng Khác</t>
  </si>
  <si>
    <t>100038242091262</t>
  </si>
  <si>
    <t>Da mụn cám nhiều nên dung cushion hay kem nền ạ 🙏🏻
Tình hình là dù tẩy tế bào chết các thứ nhưng khi apply kem nền lên thì em vẫn bị nổi mụn trắng ở đầu mũi. Em xài kem nền clinique ạ, được 3 tiếng thì mặt như con ma. 
Chủ yếu là em không biết nên mua loại nào xài sẽ ok hơn. Mục tiêu em là không nhờn bí, nổi đầu mụn trắng và bền màu ạ
Em thuộc da hỗn hợp. Em đang phân vân giữa cushion clio và kem nền Estee ạ
Ai xài r feedback giúp em với
#ask
#kemnenestee
#cúhionclio</t>
  </si>
  <si>
    <t>2019-10-23 02:20:03</t>
  </si>
  <si>
    <t>Châu Trần</t>
  </si>
  <si>
    <t>100007457026697</t>
  </si>
  <si>
    <t xml:space="preserve">#cúhionclio #kemnenestee #ask </t>
  </si>
  <si>
    <t>Mong ad duyệt bài giúp e vs ạ 
em cảm ơn
#góchỏihan
đã anh chị nào sài bộ này chưa cho e xin ít review với ạ .</t>
  </si>
  <si>
    <t>2019-10-24 03:50:08</t>
  </si>
  <si>
    <t>Nhỏ Tên Trang</t>
  </si>
  <si>
    <t>100006433228083</t>
  </si>
  <si>
    <t xml:space="preserve">#góchỏihan </t>
  </si>
  <si>
    <t>Giúp mình với . tính chất công việc của mình toàn làm đêm . có loại kem dưỡng nào mà vừa dưỡng vừa có thể nâng tone da dk ko . để tối mình đi làm có thể đánh một lớp kem đó vẫn đk ý ạ . mong ad duyệt bài giùm mình
À mà da mình nhạy cảm lắm ạ</t>
  </si>
  <si>
    <t>2019-11-09 11:18:43</t>
  </si>
  <si>
    <t>Hoàng Thùy</t>
  </si>
  <si>
    <t>100003884125273</t>
  </si>
  <si>
    <t>#help #tips
Các chị ơi, em bị thâm mụn như thế này thì dùng trị thâm gì ạ ? 
E đang phân vân b5 của larosh posay với cc melano ạ
Skincare em đang dùng là :
- Tẩy tranh Bioderma xanh
- Srm Kiehl's Blue Herbal
- Toner Clarin 
- Huyết thanh b3 teana 
- Mask Lush bạc hà, Dr.morita, N.M.F,...
Em không dùng dưỡng ẩm vì chị tư vấn cho em bảo là b3 kia k cần dùng dưỡng ẩm ạ</t>
  </si>
  <si>
    <t>2019-10-21 14:51:59</t>
  </si>
  <si>
    <t>Đào Huyền</t>
  </si>
  <si>
    <t>100035811603442</t>
  </si>
  <si>
    <t xml:space="preserve">#tips #help </t>
  </si>
  <si>
    <t xml:space="preserve">
#help
Mong được ad duyệt!!!
Cho em xin review sản phẩm trị thâm quầng mắt đi ạ. Tình hình là mắt em bọng to và thâm như gấu trúc rồi ạ😪😪😪. Thanks cả nhà</t>
  </si>
  <si>
    <t>2019-07-03 06:52:05</t>
  </si>
  <si>
    <t>Bông Nguyễn</t>
  </si>
  <si>
    <t>100013762753782</t>
  </si>
  <si>
    <t>#ask #help #serumvitC #tritham 
Chào mọi người ạ! Mình có đọc nhiều review về các serum vitamin C nhưng vẫn chưa tìm được sp nào, do mình cũng đang phân vân giữ 2 serum Timeless 20% C và Red C ạ! Nên mình muốn hỏi ý kiến của mọi người xem sản phẩm nào có tác dụng nhanh và ít nhược điểm hơn ạ! 
Tình trạng da mình là da thường, vết thâm cũng 3 tháng, mình có dùng thuốc và kem nghệ, thâm có giảm nhưng chậm nên mình muốn dùng thêm serum vitamin c để nhanh hết hơn ạ.
Mong nhận được giúp đỡ của m.n! Mình cảm ơn m.n ạ!</t>
  </si>
  <si>
    <t>2019-10-05 23:18:17</t>
  </si>
  <si>
    <t>Phương Hoài Thy</t>
  </si>
  <si>
    <t>100005156702517</t>
  </si>
  <si>
    <t xml:space="preserve">#tritham #serumvitC #help #ask </t>
  </si>
  <si>
    <t>Help me ad, em cầu xin ad duyệt bài hộ em vì em cần sự giúp đỡ từ mọi người ạ, em cầu xin ad ạ😭😭😭🙏🙏🙏mọi người ơi, chuyện là vậy, dạo gần đây da e đổ nhiều dầu cực với ban đầu mặt em nhiều mụn lắm luôn, e bắt đầu ra hiệu thuốc mua decumar về sử dụng bớt thâm và mụn đi, nhưng lại không hiểu sao hai cục mụn trên gần mắt với sóng mũi e nó lồi lên, do là em đang học cấp 3 nên bài vở nhiều k ngủ sớm đc nhiều, nên em có kiên trì bôi thuốc rồi cố gắng đi ngủ sớm mà nó k lặn, và giờ em mất tự tin vô cùng,mỗi lần đi học là bịt kín mít lẫn khẩu trang r kính, ai có giải pháp nào để trị đi nốt mụn này k ạ, em cảm ơn
#mongdcadduyet
Huhu 😭😭😭😭😭😭😭🙏🙏🙏🙏</t>
  </si>
  <si>
    <t>2019-11-19 09:43:54</t>
  </si>
  <si>
    <t>Ngọc Trân</t>
  </si>
  <si>
    <t>100027280110597</t>
  </si>
  <si>
    <t xml:space="preserve">#mongdcadduyet </t>
  </si>
  <si>
    <t>#ask #vong3
Có một nỗi khổ manh tên mông lép, con gái ngực lép thấy vẫn đẹp chứ mông lép chán thật sự các chị em ạ. Người em là dạng người hình cái phễu kiểu trên to dưới nhỏ, nên mặc đồ nhìn rất xấu.
Chị em có bí quyết gì để tăng vòng 3 giảm vòng 2 k ạ?</t>
  </si>
  <si>
    <t>2019-08-04 09:11:48</t>
  </si>
  <si>
    <t xml:space="preserve">#vong3 #ask </t>
  </si>
  <si>
    <t>#xoaxam #experience 
#tattoremoval #lasertattooremoval 
*ảnh mang tính chất chống trôi 
Xin chào mn trong gr, mình năm nay 20 tuổi và có ý định muốn tẩy hình xăm ở trên cánh tay. 
Mình là con gái nên rất sợ để lại sẹo nhưng vì lý do cá nhân bắt buộc phải xoá xăm, qua nhiều bài review và vid trên FB mình đang bị lo lắng 1 phần là k biết thông tin nào đúng và có độ tin cậy cao nên xin ý kiến ai đã từng tẩy xăm xoá xăm ạ.
Vì spa lúc nào cũng pr trá hình, 90% đều nói rất đau và để lại sẹo mình đã cbi tinh thần cho việc đó nhưng về chi phí tảy và chăm sóc sau đó và thời gian liệu trình thì nên hỏi ngừoi có kinh nghiệm là tốt nhất. Theo mn nên xoá xăm ở spa hay Viện Da liễu Trung Ương ? 
Mong admin duyệt bài và mn giúp đỡ ạ.</t>
  </si>
  <si>
    <t>2019-12-01 12:21:22</t>
  </si>
  <si>
    <t>100035805637054</t>
  </si>
  <si>
    <t xml:space="preserve">#lasertattooremoval #tattoremoval #experience #xoaxam </t>
  </si>
  <si>
    <t>#kemchongnang
Các bác cho em hỏi loại kem chống nắng thuần vật lý nào tốt, phù hợp cho da nhạy cảm dễ kích ứng? Em đang dùng LRP như hình mà vẫn bị nóng và đỏ mặt, chắc do ko hợp với kem có thành phần hoá học 😭</t>
  </si>
  <si>
    <t>2019-10-29 15:27:10</t>
  </si>
  <si>
    <t>Hai Anh Truong</t>
  </si>
  <si>
    <t>100022203601764</t>
  </si>
  <si>
    <t>Mọi người ơi, mình muốn tìm mua bodyshape nào tốt, không lộ để mặc bên trong đầm ôm. Ngày xưa thì dáng gày ốm mà sinh xong mỡ bụng ngoan cố mãi không giảm nên cần ăn gian chút xíu, chỉ cho mình với, cảm ơn nhìu nhìu!</t>
  </si>
  <si>
    <t>2019-11-22 04:35:29</t>
  </si>
  <si>
    <t>Phạm Giai Nhu</t>
  </si>
  <si>
    <t>100027705496691</t>
  </si>
  <si>
    <t>Mọi người oiii
Giúp e với
Da e bình thường ko được đẹp nhưng được cái khoẻ ko dị ứng
Tự nhiên nay nổi mẩn đỏ ,mụn nước liti khắp mặt +cộng thêm tàn nhang bẩm sinh nên trống xấu không thể tả được
Có mỹ phẩm nào khắc phục tình da của e ko ah? 
#dadiung #tritannhangbamsinh #munnuocliti</t>
  </si>
  <si>
    <t>2019-12-21 18:06:07</t>
  </si>
  <si>
    <t>Phạm Thi</t>
  </si>
  <si>
    <t>100043043044124</t>
  </si>
  <si>
    <t xml:space="preserve">#munnuocliti #tritannhangbamsinh #dadiung </t>
  </si>
  <si>
    <t>Hixx tay m vừa thô lại vừa khô.M có tẩy da chết cho tay bằng đường và mật ong tuần 2 lần sau đấy hàng ngày bôi kem dưỡng da mà o mềm nổi.Tay còn kinh khủng hơn tay đàn ông.Có ai biết cách nào cho tay mềm mại được o ạ??Hay do m làm nhiều việc nặng nên tay o mềm nổi??O dám cho ai cầm tay vì tay khô quá.</t>
  </si>
  <si>
    <t>2019-11-26 13:16:29</t>
  </si>
  <si>
    <t>Hoa Cúc Vàng</t>
  </si>
  <si>
    <t>100027301549397</t>
  </si>
  <si>
    <t xml:space="preserve">
#ask #nuochoa #perfume
E đang tính mua 1 lọ nước hoa cho mùa đông. Các chị e có thể cho e xin review về một số loại nước hoa mùi kiểu sang chảnh quyến rũ mà giữ mùi lâu được k ạ
E cảm ơn ạ</t>
  </si>
  <si>
    <t>2019-10-23 07:45:29</t>
  </si>
  <si>
    <t>100010915183598</t>
  </si>
  <si>
    <t>Da mặt của em hiện tại. Da em dễ bị nổi mụn nhưng cũng k tới mức như này. E lên tp 1 tuần là về mặt nổi mụn bung bét. Sau 1 tháng thì hiện tại nó như hình ạ. E xài tt của senka anti shine, srm thorakao nghệ, đắp mặt nạ nghệ mật ong. Mọi người giúp em với chứ như này e stress quá :((( 
#ask #help #mun</t>
  </si>
  <si>
    <t>2019-09-12 16:01:37</t>
  </si>
  <si>
    <t>100011361095812</t>
  </si>
  <si>
    <t xml:space="preserve">#mun #help #ask </t>
  </si>
  <si>
    <t>Có bạn nào bị vấn đề như mình ko ạ?
Cứ vận động mạnh hoặc đi trời nắng khiến cơ thể nóng lên thì mình lại bị nổi mẩn như hình, nổi mề đay khắp người luôn và ngứa phát điên. Mặc dù rất nóng nhưng mồ hôi không thể toát ra được. Mình cảm nhận được hơi nóng trong cơ thể luôn. Đã từng đi khám nhưng bác sĩ nói do cơ địa ko chữa khỏi được. Có bạn nào bị như mình mà cải thiện được tình hình không giúp mình với.</t>
  </si>
  <si>
    <t>2019-12-02 07:01:13</t>
  </si>
  <si>
    <t>Nguyễn Thị Giang</t>
  </si>
  <si>
    <t>100003058904579</t>
  </si>
  <si>
    <t>#ask #help
Mọi người tư vấn giúp em với ạ
Đây là tình trạng da của em sau 5 tháng ở Hàn Quốc. Trước khi sang thì da mặt em không hẳn là đẹp nhưng không tệ như thế này. Bên này em không có sử dụng gì hết ngoài sữa rửa mặt nhưng do khi hậu hàn quá khô và nắng. Ở được 3 tháng thì em có sử dụng kem chống nắng IOPE kết hợp với kem dưỡng Innisfree for men như ảnh em đính kèm bên dưới. 
Hiện tại thì quy trình chăm sóc da của em như sau:
- Sáng: Sữa rửa mặt the body shop + dưỡng + kem chống nắng
- Tối: Tẩy trang Bioderma + Dr.skincare + dưỡng Innisfree
- Tuần em tẩy tế bào chết 1 lần. 
Do em đang đi học nên có thể hay thức khuya + đồ ăn hàn thường cay nóng nên mụn nó nhiều hơn. Với cứ chăm được vài tuần da nó ổn ổn thì sau đó nó lại mọc lên tiếp 😞
Mọi người ai đã gặp tình trạng tương tự hay ai biết cách gì giúp em với ạ. Em muốn trị thâm với làm sao để giảm bớt mụn ạ. Plssss
Em cám ơn mọi người đã đọc</t>
  </si>
  <si>
    <t>2019-07-29 05:25:29</t>
  </si>
  <si>
    <t>Nguyễn Văn AN</t>
  </si>
  <si>
    <t>100039689934166</t>
  </si>
  <si>
    <t xml:space="preserve"> #ngocreviews #ask #banobagi #bnbg #sheetmask #matnagiay
Các bạn ơi, có thể cho mình hỏi 1 xíu về 2 hãng này được không. Trước đây hãng mask này có tên chính thức là **Banobagi**, với logo hình 4 khuôn mặt sát nhau màu đen. 
Theo thông tin mình đọc, thì được biết hãng mặt nạ này sau đó không hợp tác với bệnh viện thẩm mỹ Banobagi nữa, mà tách ra làm riêng về mask, đổi thành **BNBG**. Nhưng mask tên **Banobagi** của bệnh viện này vẫn tiếp tục sản xuất trái phép song song trên thị trường =&gt; vi phạm quyền sở hữu trí tuệ, bị Hàn Quốc cấm lưu hành 🧐🧐.
Nếu đọc theo tin này thì tụi mình sẽ hiểu là BNBG là ' người tốt', còn Banobagi là ' người xấu' 🤔. Cũng có thông tin là chất lượng mask Banobagi không bằng BNBG, vì BNBG có bản quyền sản xuất, nhà máy chính thức..v.v. Vậy nên mình luôn mua hàng BNBG và nghĩ Banobagi là nhái.
Vậy nhưng khi lên insta, mình lại thấy trang của Banobagi đáng tin hơn? Nhiều người tương tác, và liên tục ra sản phẩn mới 😗. Các bạn có thể thấy trong hình là 3 loại mask vừa ra ( xanh, hồng, tím, đã bỏ logo mặt đen, vẫn giữ tên BANOBAGI). Insta của BNBG thì giống 1 trang bán lẻ thôi vậy.
Mấy chị em thông thái nghĩ sao về trường hợp này. Vì nếu bảo Banobagi đang sản xuất trái phép, thì họ đâu thể công khai giữ thương hiệu, rồi ra sản phẩm mới đều đều được nhỉ. 
Cuối cùng mình vẫn hông biết nên mua loại nào, BNBG hay BANOBAGI mới? Hây dà 😔😔😔</t>
  </si>
  <si>
    <t>2019-10-03 05:22:19</t>
  </si>
  <si>
    <t xml:space="preserve">#matnagiay #sheetmask #bnbg #banobagi #ask #ngocreviews </t>
  </si>
  <si>
    <t>Đây là toàn bộ sản phẩm e dùng cho da mặt. 
E chăm da rất siêng. Hầu như ko sót ngày nào cả. Uống thêm colagel và vtmE nữa. Nh sao hoài mà da ko thể đều màu đc. Có ít tàn nhang và lcl to nữa. E dùng thêm gì đc hả các c. 😞</t>
  </si>
  <si>
    <t>2019-10-29 10:53:54</t>
  </si>
  <si>
    <t>Linh Chi</t>
  </si>
  <si>
    <t>100040803649411</t>
  </si>
  <si>
    <t xml:space="preserve">Mình bị mụn thế này 2 năm rồi và từng đi bác sĩ uống thuốc cả năm trời( bác sĩ đa số toàn cho uống vitamin E, kháng sinh doxyclin và bôi thuốc tuýp Erylik ). Lúc trc nó rất ghê nổi đầy cả mặt nhưng giờ nó chỉ còn 1 bên má thôi ạ (nhưng đặc biệt bên má này rất lâu rồi không khỏi và bên này là bên bị nặng nhất) Và giờ thì mình tạm dừng đi bác sĩ vì thấy uống thuốc lâu quá sợ sẽ bị ảnh hưởng sức khỏe sau này và giờ mình ko biết có nên đi bác sĩ lại hay ko ạ? Hay da mình có thể tự skincare ở nhà ko ạ? 
Mình nghe nói La Roche posay rất hay,  đối với da mình thì bây giờ xài có tác dụng không ạ 😭
P.s: mong bài mình đc duyệt ạ, cảm ơn các bạn nhiều ❤❤
#Help #Mụn </t>
  </si>
  <si>
    <t>2019-12-12 08:50:46</t>
  </si>
  <si>
    <t>Vũ Thảo My</t>
  </si>
  <si>
    <t>100035897027911</t>
  </si>
  <si>
    <t xml:space="preserve">#Mụn #Help </t>
  </si>
  <si>
    <t>Hi mọi người. 
M đang rất đau đầu về vấn đề này. Có ai bị như mình k chia sẻ ít kinh nghiệm. 
Chả là m bị tai nạn xe từ tháng 04. Đến nay để lại sẹo lồi như này. Bôi thuốc thì k đỡ. Mà cơ địa m dễ lồi thịt nên dù có cắt sẹo lồi đi thì 1 thời gian nó cũng lồi lại. Mn ai biết pp nào hiệu quả trị sẹo lồi cho m ít ý kiến. Chứ đứa thấp mà chỉ thik đi giày cao gót như m mà chân như này tự ti lắm 😢
Thanks
#ask
#triseoloi</t>
  </si>
  <si>
    <t>2019-12-01 06:26:04</t>
  </si>
  <si>
    <t>Kieu Nga</t>
  </si>
  <si>
    <t>100003607248231</t>
  </si>
  <si>
    <t xml:space="preserve">#triseoloi #ask </t>
  </si>
  <si>
    <t>#ask 
mọi người ơi, gần đây em lướt fb có mấy bài viết giống như được mướn để pr, thậm chí là dc mướn để cmt luôn. ở dưới là son gilaa, trong 2 bài viết khác nhau nhưng đa số là người này viết lại cmt của người kia, lấy lại hình ảnh và nick fb thì giống hệt nhau. khi mình lướt cmt thì kh thấy 1 cái cmt nào chê luôn
Mình k chắc chắn đây là dc mướn để pr, vì mình thấy lạ nên muốn đăng lên hỏi ý kiến của mng thôi ạ.</t>
  </si>
  <si>
    <t>2019-12-22 19:06:17</t>
  </si>
  <si>
    <t>Nguyễn Nguyễn</t>
  </si>
  <si>
    <t>100012958562716</t>
  </si>
  <si>
    <t>Da e dễ bị dị ứng ,dễ đỏ ,sần sùi ạ. Có sp gì cải thiện đc. Mong ace giúp e😔 da này đi lăn kim prp đc k ạ. Tks</t>
  </si>
  <si>
    <t>2019-12-17 09:56:02</t>
  </si>
  <si>
    <t>Tran Phu</t>
  </si>
  <si>
    <t>100018437387036</t>
  </si>
  <si>
    <t>#đepchanhsa #ask
Cho em hỏi có chị nào bị mấy cục u u ngay cằm không ạ
Nó có lúc đỏ lúc không đỏ mà hoài chẳng hết....</t>
  </si>
  <si>
    <t>2019-12-10 08:22:59</t>
  </si>
  <si>
    <t>100033803500635</t>
  </si>
  <si>
    <t xml:space="preserve">#ask #đepchanhsa </t>
  </si>
  <si>
    <t xml:space="preserve">
#phunmôi
 👄 Mọi người ơi cho e hỏi với , có ai phun môi collagen chưa ạ. Có màu nào lên môi bong xong đẹp nhìn tự nhiên k ạ cho e xin ít ý kiến với . Đang tính đi phun môi mà kb phun màu nào cho đẹp 🤦🏻‍♀️
_Thank all_</t>
  </si>
  <si>
    <t>2019-06-23 14:31:29</t>
  </si>
  <si>
    <t>Ngô Hoàng Quyên</t>
  </si>
  <si>
    <t>100007863846743</t>
  </si>
  <si>
    <t xml:space="preserve">#phunmôi </t>
  </si>
  <si>
    <t>#ask #tuvan  #gianua #xauxi
Chào chị em, 
Chả là em mới sinh năm 96 mà già như trái cà rồi.
Đỉnh điểm là hôm nọ gặp 1 bà chị sinh năm 84 và bả hỏi không biết em sinh năm bao nhiêu để xưng hô 😭😭😭
Xong có mấy lần do công việc phải gặp gỡ, tiếp xúc, em quen ai họ cũng bảo em "Chắc em sn90 là cùng chứ gì". Em nghĩ chắc họ đoán em 8x nên khi đoán phải đoán 90 cho trẻ ai dè e 96 😭😭
Ngày này năm ngoái em ít hơn bây giờ khoảng 5kg và để tóc mái, nên cũng k bị hiểu lầm là già như trái cà. Nhưng em không thích để tóc mái 😭😭
Chị em tư vấn giùm em với chứ em già nua quá r 😭😭😭
À có tips nào cho em không các chị, em già nhanh quá 😭😭😭</t>
  </si>
  <si>
    <t>2019-12-19 10:53:53</t>
  </si>
  <si>
    <t>Miao Miao</t>
  </si>
  <si>
    <t>100009679275167</t>
  </si>
  <si>
    <t xml:space="preserve">#xauxi #gianua  #tuvan #ask </t>
  </si>
  <si>
    <t>#makeup #chiase #thaodiep
🍂🍂 Hôm nay mình sẽ chia sẻ kiểu make up mùa thu cho cả nhà tham khảo nha, mình có quay qua app cho da đỡ ghê vì mình mới hết đợt mụn kinh hoàng do dùng thuốc Tây, mọi người thông cảm nha 😅😅</t>
  </si>
  <si>
    <t>2019-09-25 08:24:29</t>
  </si>
  <si>
    <t>Diệp Thảo</t>
  </si>
  <si>
    <t>100005198089415</t>
  </si>
  <si>
    <t xml:space="preserve">#thaodiep #chiase #makeup </t>
  </si>
  <si>
    <t xml:space="preserve"> #toc #tips #help
mấy chị ơi, có phải tóc dài cũng kén mặt không ạ, giờ em muốn để tóc dài cho nó phấp phới:( nhưng từ cha mẹ sinh ra tới giờ ba em toàn ép em để tóc ngắn, giờ em không biết tóc dài có hợp với em không nữa ạ:( với lại tóc em nhiều lắm, có tips nào giúp tóc ít lại không ạ:( tips nuôi dài tóc nữa ạ</t>
  </si>
  <si>
    <t>2019-11-27 07:28:42</t>
  </si>
  <si>
    <t>Linh Hoàng</t>
  </si>
  <si>
    <t>100021756374105</t>
  </si>
  <si>
    <t xml:space="preserve">#help #tips #toc  </t>
  </si>
  <si>
    <t xml:space="preserve"> #toc
Các mẹ có tip nào cho tóc mọc dài mà không dày không.
Em ủ dầu dừa với oliu mà n chỉ dày thôi. Đầu xù như nấm mà không thấy dài nhanh.
em ủ đơn giản lắm. dầu oliu đun lên với 4-5 cây cả. đun tầm 4-5p thôi. rồi mua cái bình xịt về xịt vào chân tóc ẩm. rồi lấy cái khăn quấn. chụp cái mũ ủ mini lên 2-3h là gội lại bthg</t>
  </si>
  <si>
    <t>2019-11-28 05:36:56</t>
  </si>
  <si>
    <t>100028202031028</t>
  </si>
  <si>
    <t xml:space="preserve">#toc  </t>
  </si>
  <si>
    <t>#Hỏi 
Các chị đẹp cho e hỏi làm thế nào để tóc mềm mượt với ạ?
Hoặc có dầu gội nào làm tóc mềm mượt đc ko?
Tóc e khô quá ạ 😢</t>
  </si>
  <si>
    <t>2019-09-15 08:03:12</t>
  </si>
  <si>
    <t>Lê Nữ Quỳnh Anh</t>
  </si>
  <si>
    <t>100001043517867</t>
  </si>
  <si>
    <t xml:space="preserve">#Hỏi </t>
  </si>
  <si>
    <t>#Ask
Các chị ơi cho em hỏi loại nào dưỡng trắng body êm vậy ạ? Chả là do em đi nắng nhiều nên dạo này da body xuống quá 😭</t>
  </si>
  <si>
    <t>2019-07-23 01:32:51</t>
  </si>
  <si>
    <t>100012477883165</t>
  </si>
  <si>
    <t>Cho em xin phép đăng bài dùng acc clone ạ !
Mng ơi giúp em với , em bị mụn từ năm lớp 6 ( năm nay lớp 9 ) trc bị mụn không biết nặng bằng tay bây giờ mặt em quá nhiều sẹo lõm .Với cả mặt em lúc nào cũng ửng đỏ , ngứa rát châm chích  cảm giác khô rát ở hai bên má .  Thực sự em rất stress khi gặp ngkhác :((( huhu mọi người giúp em với nhé ạ em cảm ơn rất nhiều ạ
Cảm ơn admin duyệt cho em !
#mun #seolom</t>
  </si>
  <si>
    <t>2019-12-02 00:25:41</t>
  </si>
  <si>
    <t>Nguyễn Linhh</t>
  </si>
  <si>
    <t>100041873650646</t>
  </si>
  <si>
    <t xml:space="preserve">#seolom #mun </t>
  </si>
  <si>
    <t xml:space="preserve">Mong ad duyệt bài ạ!
Da e là da dầu, lct to và bị mụn đầu đen ở mũi.  E sd mặt nạ đất sét này để trị mụn đầu đen có ok ạ? Hoặc sp trị mụn đầu đen ok. Các chị ai dùng rồi cho e xin ít kinh nghiệm với ạ. E cảm ơn 
#ask
#mặtnadatsetinnisfree
#mundauden
</t>
  </si>
  <si>
    <t>2019-09-01 05:43:52</t>
  </si>
  <si>
    <t>Phạm Thuỷ</t>
  </si>
  <si>
    <t>100028310356144</t>
  </si>
  <si>
    <t xml:space="preserve">#mundauden #mặtnadatsetinnisfree #ask </t>
  </si>
  <si>
    <t>Mọi người ơi em bị mụn từ hồi lên cấp 2 đến giờ có đi spa rồi chỉ thấy đỡ được 1 thời gian lại bị tiếp mọi người có cách gì cứu em với sắp tới tết rồi mặt vẫn lắm mụn 😌😌😌 da e da dầu ạ skincare chỉ có rửa mặt bằng Acnes 
#help 😘😘😘</t>
  </si>
  <si>
    <t>2019-12-10 14:25:17</t>
  </si>
  <si>
    <t>Vũ Thị Hoa</t>
  </si>
  <si>
    <t>100028893911619</t>
  </si>
  <si>
    <t>Ủa rồi rút cuộc là Bán Gì Xài Nấy hay bán đồ trộn hại người kiếm tiền vác.lol đi mua hàng hãng xài rồi than Đau ví :))))
Bán gì dùng nấy luôn đi có phải đỡ đau ví hơn không 😂😂😂😂
#j4f
#xạolol</t>
  </si>
  <si>
    <t>2019-12-14 07:07:18</t>
  </si>
  <si>
    <t xml:space="preserve">#xạolol #j4f </t>
  </si>
  <si>
    <t>Mấy chị em cứu với!!!
Mụn nó như kiến vậy á, con này chết thì con khác xuất hiện. Em tính đi khám da liễu mà mọi người bảo em bị nội tiết và nên đi khám phụ khoa? Cho em hỏi phương án nào khả thi nhất ạ? Cứ vầy hoài chắc em chết</t>
  </si>
  <si>
    <t>2019-12-21 07:59:55</t>
  </si>
  <si>
    <t>Nguyễn Gia Mỹ</t>
  </si>
  <si>
    <t>100013317283920</t>
  </si>
  <si>
    <t>Chuyện là dạo gần đây em thấy tóc hime nhìn xinh cực nên quyết định đú theo. Hôm vừa rồi em mới tự tay cắt một phần tóc ạ🤦, nhìn cũng không đến nỗi cho đến khi em quyết định xẻn thêm phần tóc mái ạ, nó lên hơn chân mày luôn. Mặt em vừa to mũi cũng đúng lúc tẹt 😅nên nhìn như ngáo vậy ạ. Em muốn cắt tóc ngắn mà nhìn cái phần mái sợ ra hàng người ta chẳng biết làm thế nào, mọi người góp ý giúp em kiểu tóc nào hợp được không ạ. Chữa cháy!!!
Ps: cam thường oppo nên hơi ảo ạ :'&lt;
#help</t>
  </si>
  <si>
    <t>2019-12-13 12:54:14</t>
  </si>
  <si>
    <t>TrâmAnh</t>
  </si>
  <si>
    <t>100005659457932</t>
  </si>
  <si>
    <t>Kem trộn chị yêu mẹ chồng ma cà rồng nè mn ! Nhìn gớm vcl 🙂 
#kemtron #dochai</t>
  </si>
  <si>
    <t>2019-12-17 01:18:04</t>
  </si>
  <si>
    <t>Tiến Đạt</t>
  </si>
  <si>
    <t>100039659532386</t>
  </si>
  <si>
    <t xml:space="preserve">#dochai #kemtron </t>
  </si>
  <si>
    <t>#help #likeslim 
AD DUYỆT BÀI GIÚP EM VỚI Ạ!
Trong hội mình ai đã và đang dùng coffee giảm cân này chưa ạ cho em xin chút thông tin với ạ. Người bảo dùng tốt mà lên gg thấy hại nhiều quá nên em hoang mang lắm ạ 😢</t>
  </si>
  <si>
    <t>2019-08-21 01:37:57</t>
  </si>
  <si>
    <t>Nguyễn Dung</t>
  </si>
  <si>
    <t>100006682274652</t>
  </si>
  <si>
    <t xml:space="preserve">#likeslim #help </t>
  </si>
  <si>
    <t>#ask #trịmụn #dadầu 
Chào mọi người. Gần nửa năm nay da em tự nhiên lên ồ ạt mụn như thế này. Em đi da liễu nhiều lắm vẫn chỉ đỡ hơn một ít thôi ạ. Em stress vì cái mặt lắm thôi. Em chụp hình không thấy nhưng ở ngoài nhìn rõ mạch máu lắm ạ. 
Skincare hiện tại của em: tẩy trang bioderma, srm papulex, dưỡng ẩm eucerin, kcn innisfree.
Mọi người tư vấn giúp em sản phẩm và cách xử lý với ạ. Em cảm ơn ạ</t>
  </si>
  <si>
    <t>2019-04-30 17:36:26</t>
  </si>
  <si>
    <t>Ngọc Minh</t>
  </si>
  <si>
    <t>100022144052329</t>
  </si>
  <si>
    <t xml:space="preserve">#dadầu #trịmụn #ask </t>
  </si>
  <si>
    <t>Mọi người cho em xin ít review về mấy dòng son kem mịn, lỳ, lâu trôi mà giá cả phải chăng với ạ 🙈
Đặc biệt là tone đỏ rượu, đỏ đất ý 😪
#ask
#lipstick
#review</t>
  </si>
  <si>
    <t>2019-08-05 04:31:28</t>
  </si>
  <si>
    <t>100022986440879</t>
  </si>
  <si>
    <t xml:space="preserve">#review #lipstick #ask </t>
  </si>
  <si>
    <t xml:space="preserve"> #review #foreoluna
Em chào mọi người ạ, mọi người ở đây đã ai dùng các dòng khác nhau của Foreo luna có trong ảnh dưới chưa ạ?
Foreo luna mini 2 thì quá nổi tiếng rồi, nhưng giá hơi chát, và em thấy một số loại bên cạnh giá mềm hơn nhưng không biết hiệu quả như thế nào. Mong các bạn, các chị đã từng sử dụng thì cho em xin ít review với ạ. Em cảm ơn ạ!
Mong được Ad duyệt bài, em cảm ơn ạ!</t>
  </si>
  <si>
    <t>2019-08-03 08:58:47</t>
  </si>
  <si>
    <t xml:space="preserve">#foreoluna #review  </t>
  </si>
  <si>
    <t>#test #tuvan #ask #SBM
Xin chào mọi người. 
Gần đây em có mua lọ serum của Some By Mi, sau khi đọc review của các chị em trong hội mình vì sợ lỡ không hợp thì hỏng bét nên em đã test nó trên vùng mũi của mình. Sau khi được 4 hôm, thì vùng mũi của em cũng có lên vài cái mụn già bé tí (em k dùng kem dưỡng, nghe nhân viên bán hàng kêu là k dùng kem dưỡng serum sẽ bị giảm tác dụng, có lẽ vì thế mụn trên vùng apply serum của em lên khá chậm và k nhiều), ngoài ra còn có cái mụn mủ bé tí bằng đầu kim. Qua ngày hôm sau thì em tự dùng tay bóc nó ta. Sang 2 ngày nữa (hôm nay) thì có 1 cái mụn mủ nữa cách đó chừng 1cm mới mọc, nhưng to hơn tí khoảng bằng đầu cây nhang. Còn chỗ hôm trước em bóc cái mụn mủ thì nó có lớp da chết rời ra. 
Mọi người cho em hỏi là mụn nổi như thế thì serum đấy có hợp với da em k ạ? Vì em thấy nổi mụn mủ em sợ sợ nên chưa dám dùng cho cả mặt. 
Ngoài ra thì em có thể sử dụng kem dưỡng nào để đi cùng cái serum này để da ổn hơn ạ? Trước kia em có dùng kem dưỡng trắng ban đêm của L'oreal, được tầm 1/2 hộp thì lười nên k dùng nữa.
Sơ lược về da của em: trước kia em k có mụn, chỉ có những năm gần đây em học ở tỉnh khác, có thể do khói bụi nhiều nên da mặt em bắt đầu nổi mụn. Trước em có ngu dại dùng thuốc bắc, nhưng trộm vía k biết do hợp hay sao mà đợt đấy sau khi tróc da 1 lần thì da em đỡ mụn hẳn còn trắng ra, rồi em tìm hiểu nên sợ k dùng nữa. Về sau em vẫn bị mụn lại. 
Mấy tháng gần đây do skincare nên da em đỡ mụn hẳn luôn. Nhưng do đi làm xa, khoảng 40km đi lại mỗi ngày trên đường quốc lộ khói bụi nhiều nên trên vùng trán của em vẫn có mụn, dù em có dùng mũ áo khoác trùm lên đầu để che trán. Ngoài ra thì trên da mặt vẫn còn nhiều mụn ẩn và lỗ chân lông to như bánh xe bò nên em quyết định dùng SBM để đẩy mụn ẩn lên trước. Da em những ngày gần tới tháng cũng có nổi vài ba cái mụn mủ, mụn bọc. 
Các bước skincare của em bao gồm:
- Tẩy trang Bioderma hồng.
- Máy rửa mặt Xiaomi. 
- Srm Cetaphil. 
- Toner Muji. 
Sử dụng thêm một số loại mặt nạ cấp nước của Đài và mặt nạ ngủ Langie. Vì dùng kcn da em cứ nhớp nhớp nên em k dùng nữa nên bỏ qua luôn bước này. 
Nhờ mọi người tư vấn giúp em về cái SBM và kem dưỡng như em đã trình bày ở trên với ạ. 
Và sau khi đẩy mụn ẩn lên tầm bao lâu thì em nên ngưng lại và nên có những bước gì tiếp theo để da mình có thể cải thiện ạ? 
Em cảm ơn mọi người rất nhiều.</t>
  </si>
  <si>
    <t>2019-06-23 15:35:52</t>
  </si>
  <si>
    <t>Ưu Vũ</t>
  </si>
  <si>
    <t>100024952502644</t>
  </si>
  <si>
    <t xml:space="preserve">#SBM #ask #tuvan #test </t>
  </si>
  <si>
    <t xml:space="preserve">
#Taytebaochey
#helpme
Mọi người ai dùng ttbc loại này cho em xin review với ạ. Chuyện là da em là da hỗn hợp thiên dầu, nhạy cảm, có mụn đầu đỏ li ti, ko biết có dùng loại này đc ko ạ. Sẵn tiện ai có dùng ttbc loại nào oki thì giới thiệu e với ạ</t>
  </si>
  <si>
    <t>2019-06-23 12:22:54</t>
  </si>
  <si>
    <t>Hà Trúc Vi</t>
  </si>
  <si>
    <t>100007781503009</t>
  </si>
  <si>
    <t xml:space="preserve">#helpme #Taytebaochey  </t>
  </si>
  <si>
    <t>Mọi người có ai đang dùng bộ này của La Roche-Posay thì cho mình xin review với ạ.
Mình mới dùng bộ này được hơn hai tuần nay,lúc đầu mình dùng thì không có hiện tượng gì cả. Nhưng hai ba ngày gần đây mặt bắt đầu bị châm chích và da bị tróc . 
Bình thường làm đêm về mình sẽ dùng tẩy trang- sữa rửa mặt- xịt khoáng và cuối cùng là tuýp kem trị mụn. Còn bình thường ngày nghỉ mình sẽ bỏ qua bước tẩy trang. Trong khi sử dụng bộ này  mình không sử dụng thêm loại kem hay mĩ phẩm nào khác ạ.
 Trước kia mình có dùng Oly HT của Long Phụ Khang thì chị mình có nói đó là kem trộn và mình đã bỏ từ đó.Sau tuần đó mình chuyển qua dùng LP. Chị mình có thêm vào nhóm ĐCS này mình xem thì thấy bài viết và cmt của mọi người rất hay và hữu ích.
Mọi người giúp mình với nhé. Tình trạng thế này không biết có phải bình thường hay không nên mình rất sợ.
Cám ơn mọi người ạ!</t>
  </si>
  <si>
    <t>2019-09-28 05:49:39</t>
  </si>
  <si>
    <t>Đoàn Thị Thoan</t>
  </si>
  <si>
    <t>100005536117868</t>
  </si>
  <si>
    <t>Có ace nào bị như này không ạ? Đây là thành quả trong lần vò tóc sau 1 ngày gội đầu, đụng nhẹ thôi cũng thấy tuyết rơi ah :((( có cách nào để hết tình trạng này k mn chứ em đi học em buộc tóc nó rơi bạn em thấy bảo em ở dơ k gội đầu nó lên gào thì chết ạ 😢
Tiện thể cho em hỏi, có cách nào để ngăn rụng tóc k ạ, vì tóc em mỗi lần vuốt nó cũng rụng k dưới 10 cọng, trước dày lắm mà giờ mỏng te :(((( 
Em sài dove 3 năm r, tự dưng nửa năm trước em bắt đầu có. Em có sử dụng h&amp;sh (sài hết cả chai lớn) mà vẫn k có tiến triển nên giờ em vẫn đang sài Dove ah</t>
  </si>
  <si>
    <t>2019-11-26 15:29:00</t>
  </si>
  <si>
    <t>Han Ngoc Ngo</t>
  </si>
  <si>
    <t>100021954527507</t>
  </si>
  <si>
    <t>Anh chị cho em hỏi có ai dùng Timeless B5 bị nổi mụn như em không ạ😭😭😭</t>
  </si>
  <si>
    <t>2019-11-22 04:35:17</t>
  </si>
  <si>
    <t>Liên Hee</t>
  </si>
  <si>
    <t>100008675926420</t>
  </si>
  <si>
    <t xml:space="preserve">
#ask #bhapaulachoice
Em mới mua e này (ở store) nhưng k thấy ghi 2% như các chị iem khác review :((
Vậy mn cho e hỏi:
1. dùng e này thì có đc dùng redpeel nữa ko?
2. Da e tương đối khoẻ, ko mụn, ko thâm, lcl hơi to, có sợi bã nhờn ít thôi vì từ lúc dùng foreo với hada đã bớt nhiều nhưg mụn đầu đen ở mũi k giảm :((. vậy 1 tuần dùng mấy lần là ok ạ?
Cảm ơn mọi ng ❤️</t>
  </si>
  <si>
    <t>2019-10-07 07:30:04</t>
  </si>
  <si>
    <t>Ci Trần</t>
  </si>
  <si>
    <t>100009634446584</t>
  </si>
  <si>
    <t xml:space="preserve">#bhapaulachoice #ask </t>
  </si>
  <si>
    <t>Góc nhỏ 
#trịtham 
Mọi người giúp e với ạ 
E vừa trị mụn xong nhiều thâm quá thâm xì mặt luôn k pit trị sp gì hiệu quả 
E da hhtd nhạy cảm dễ dị ứng quá da mỏng manh quá trước e dính thuốc bắc
E muốn tìm sản phẩm khôi phục da dưỡng da 
trị thâm 
Mọi người chỉ e với ạ 
Mong ad duyet bài giúp e ạ</t>
  </si>
  <si>
    <t>2019-11-07 13:20:01</t>
  </si>
  <si>
    <t xml:space="preserve">#trịtham </t>
  </si>
  <si>
    <t xml:space="preserve">
#Review 
Nay con ngủ lâu rảnh rỗi lên chia sẻ ce các bước mình đang skincare cảm thấy khá ổn, tiết kiệm, k cầu kì nhiều bước. Mn tham khảo nhé. M thuộc tuýp da khô, k bị mụn, sp đang dùng của L'Oreal Paris
#B1: Làm sạch da, ngày 2l sáng và tối bằng srm White perfect
Srm này tạo bọt mịn,với da dầu sẽ rửa rất sạch. Riêng mình da khô rửa xong cảm giác sạch mịn, k bị khô da
#B2: Dưỡng da bằng tinh chất Revitalift, ngày 2l sáng và tối, vỗ nhẹ tinh chất thấm cực nhanh
Loại này giúp dưỡng trắng, cấp ẩm cho da khô cực tốt, sd tg lâu cảm nhận dk da mặt căng bóng từ bên trong, chứ k bị bóng dầu 😊 
#Tip1: nên sd tinh chất hoặc serum dưỡng phù hợp sẽ thẩm thấu nhanh hơn, k gây tắc lỗ chân lông như kem dạng đặc
#Tip2: Mình kết hợp tuần xông mặt 2 lần. Bằng lá diếp cá. Ai đang bị mụn thì k nên dùng chung sp trị mụn và dưỡng trắng cùng lúc, dể gây td phụ lên mụn nhiều hơn.  Xông mặt vừa làm sạch da, vừa trị mụn, vừa kết hợp dưỡng trắng dk. Mà k lo da bị quá tải 😄
Công dụng lá diếp cá : Kháng viêm, ngừa và trị mụn khá hiệu quả
Ít chia sẻ cho ce ngày mưa gió ai có tip j hay chia sẻ m với nhé 😉</t>
  </si>
  <si>
    <t>2019-08-16 03:39:47</t>
  </si>
  <si>
    <t>Korina Kamono</t>
  </si>
  <si>
    <t>100025097122472</t>
  </si>
  <si>
    <t xml:space="preserve">#Tip2 #Tip1 #B2 #B1 #Review </t>
  </si>
  <si>
    <t xml:space="preserve">Mình muốn tìm 1 em lotion để dưỡng và chống nắng buổi sáng , mọi người cho em hỏi dòng này xài ok không ạ ? Và có nâng tone da mình không 
</t>
  </si>
  <si>
    <t>2019-11-17 13:00:26</t>
  </si>
  <si>
    <t>Linh Linh</t>
  </si>
  <si>
    <t>100003095201240</t>
  </si>
  <si>
    <t xml:space="preserve">
#kemtrinam
Help me cả nhà, không biết có ai như mình không, càng sử dụng kem trị nám thì càng bị đậm thêm, ban đầu nám mình chỉ mờ mờ lốm đốm 2 bên má thôi nhưng từ khi mình thoa kem trị nám thì có vẻ những vết nám sậm màu thêm mn ạ .
Kem nám mình sd là trọn bộ kem + serum dongsung, à mình có làm đủ bước skincare và có sd kcn ạ.
Mong Ad duyệt bài giúp mình ạ 😍😍</t>
  </si>
  <si>
    <t>2019-10-24 03:45:53</t>
  </si>
  <si>
    <t>100006824923218</t>
  </si>
  <si>
    <t xml:space="preserve">#kemtrinam </t>
  </si>
  <si>
    <t>#help  #capam #capnuoc
Mọi người rw giúp e sp cấp nước ,cấp ẩm không bị đẩy mụn dành cho da hỗn hợp dầu ,mụn ẩn ,mụn viêm đỏ , sờ sần sùi ; mùa đông thì da lại hơi bong tróc ,nền da tối  với ạ :(</t>
  </si>
  <si>
    <t>2019-11-19 13:21:20</t>
  </si>
  <si>
    <t>100036160344298</t>
  </si>
  <si>
    <t xml:space="preserve">#capnuoc #capam #help </t>
  </si>
  <si>
    <t>Cho mình xin ít bí quyết giảm thâm mắt và bọng mắt dứoi với ạ.
Mình tiêm rồi nhưng vẫn không ăn thua. Cảm giác mặt nó già đi bao nhiêu khi có cái bọng mắt đấy.
Chán thật sự luôn ấy ạ 😕</t>
  </si>
  <si>
    <t>2019-12-04 08:38:16</t>
  </si>
  <si>
    <t>Nguyễn Thương</t>
  </si>
  <si>
    <t>100032722699991</t>
  </si>
  <si>
    <t>Lần đầu bị zona 🙂 ai có cách gì chữa không ạ. Em cảm ơn huhu</t>
  </si>
  <si>
    <t>2019-12-20 22:18:42</t>
  </si>
  <si>
    <t>Vu Thi Quynh</t>
  </si>
  <si>
    <t>100033485254997</t>
  </si>
  <si>
    <t>mong ad đừng xóa bài em nữa em đăng lần thứ 3 rồi 😢
#ask #trietlong
em bị lông tay chân rất nhiều đã dùng qua tẩy lông của veet nhưng vẫn mộc lên còn dày hơn ý. bạn em có tư vấn cho em dùng cái này.không biết trong này co chị nào dùng rồi hoặc dùng qua cái gì thấy bớt lông thì tư vấn giúp em với
em có lông mặt cũng khá nhiều nhưng không dám bôi tẩy lông lên mặt sợ hư da</t>
  </si>
  <si>
    <t>2019-12-01 23:33:11</t>
  </si>
  <si>
    <t>Huyền Trang</t>
  </si>
  <si>
    <t>100038512752200</t>
  </si>
  <si>
    <t xml:space="preserve">#trietlong #ask </t>
  </si>
  <si>
    <t>#help
À thì ngày này tháng trước mình bị tai nạn giao thông, khá là nặng, khâu chắc tầm vài chục mũi kim, lúc nằm viện tầm được 2 3 ngày từ lúc xảy ra tai nạn thì mình bắt đầu sử dụng scargel plus để tránh sẹo.
Sử dụng đến bây giờ thì mình thấy sẹo vẫn còn khá nặng đặc biệt là ở trên môi, còn một số chỗ đã lành thì lại thâm.
Mình muốn hỏi là mình hồi phục như vậy là nhanh hay chậm? như vậy đã có hiệu quả chưa? nếu muốn điều trị hiệu quả cao thì điều trị bằng phương pháp nào? Thật sự trước giờ mình rất ghét đeo khẩu trang, bây giờ hầu như phải đeo khẩu trang suốt, không đeo khẩu trang thì khá là nhiều ánh mắt tò mò mãi nhìn theo mình. Bây giờ mình đánh mất đi sự tự tin của trước kia rất là nhiều, ai có kinh nghiệm gì chia sẽ giúp mình nhe!</t>
  </si>
  <si>
    <t>2019-11-18 23:46:19</t>
  </si>
  <si>
    <t>Phú Nhân</t>
  </si>
  <si>
    <t>100019141682738</t>
  </si>
  <si>
    <t xml:space="preserve"> #skincare #help
Chào mọi người 
Em năm nay 16 tuổi, da em thuộc loại da dầu mụn em có sử dụng kem rửa mặt Acnes vitamin cleanser nước hoa hồng Pond's và tẩy tế bào chết essance.
Mọi người cho em hỏi sử dụng như thế có ổn không có cần phải mua thêm serum trị thâm không ạ vì mặt em hiện tại vừa thâm vừa mụn nếu có cho em hỏi cần mua loại nào ạ.
À mà cho em xin cách dưỡng trắng da và cách làm hồng môi với ạ.
Em xin cám ơn.</t>
  </si>
  <si>
    <t>2019-10-14 10:43:54</t>
  </si>
  <si>
    <t>Linh Nguyen</t>
  </si>
  <si>
    <t>100041780601464</t>
  </si>
  <si>
    <t xml:space="preserve">#help #skincare  </t>
  </si>
  <si>
    <t>#help
Xin chào mọi người , e là thành viên mới ạ . Em bị tình trạng như vậy . Lúc đầu thì chỉ có mấy nốt nhưng sau này lan ra nhanh . E đã đi bv da liễu kh . Bác sĩ chuẩn đoán là phát ban trứng cá  Em vẫn uống thuốc và thoa thuốc đều đặn mà vẫn chưa đỡ . Cảm thấy nó ngày càng lan ra ạ huhu . Tự ti kinh khủng . Nhờ mn có thuốc hay bác sĩ nào giới thiệu em với ạ . Với lại mấy cục mụn có nhân này mình có cần lấy nhân mụn ra không ạ .Em cám ơn mọi người nhiều !</t>
  </si>
  <si>
    <t>2019-10-26 15:31:11</t>
  </si>
  <si>
    <t>Gia Mẫn</t>
  </si>
  <si>
    <t>100010694556276</t>
  </si>
  <si>
    <t xml:space="preserve">Cho mình hỏi có ai dùng loại collagen uống này chưa ạ. Mình lười dùng mĩ phẩm, thấy bảo uống collagen đẹp khoẻ da. K biết dùng có ok k ạ?
#thamkhảo
#thecollagen
</t>
  </si>
  <si>
    <t>2019-11-02 09:12:35</t>
  </si>
  <si>
    <t>Lý Phạm</t>
  </si>
  <si>
    <t>100004412113153</t>
  </si>
  <si>
    <t xml:space="preserve">#thecollagen #thamkhảo </t>
  </si>
  <si>
    <t>Mọi người cho e hỏi chút ạ . 
Tình hình là sắp đến tết, mà em bị cận e muốn kiếm một loại lens loại dùng một lần ý ạ. Loại nào đeo êm chút không bị cộm giá thành hợp lý. Chứ tết năm nào e cũng mua một combo lens hãng về dùng được 2-3 hôm dùng xong vứt đó tiếc tiền thật sự😪😪Ai có kinh nghiệm đeo lens loại nào, đeo độ như nào phù hợp với mắt . Chia sẻ kinh nghiệm cho e vs ạ . 
Thanks m.n☺️</t>
  </si>
  <si>
    <t>2019-11-23 15:56:36</t>
  </si>
  <si>
    <t>Trần Thị Phương Thùy</t>
  </si>
  <si>
    <t>100030683710255</t>
  </si>
  <si>
    <t>#cắtmí
#nhấnmí
Mn ơi đây là mắt của mình bị mí sụp :((( mình đang phân vân k biết nên cắt mí hay nhấn mí thì đẹp với đôi mắt sụp mí này, nếu nhìn bthg thì thấy sụp rõ, hình dưới là mình nhấn mày lên thì mới thấy rõ 2 mí :((( 
Tại vì k ở VN nên mình k thể tham khảo đc nhiều chỗ để cắt hay nhấn, rất mong chị em nào có kinh nhiệm r cho mình lời khuyên nên cắt hay nhấn ạ? 
Cảm ơn ad duyệt bài cho e</t>
  </si>
  <si>
    <t>2019-09-21 06:50:07</t>
  </si>
  <si>
    <t>100006430037206</t>
  </si>
  <si>
    <t xml:space="preserve">#nhấnmí #cắtmí </t>
  </si>
  <si>
    <t xml:space="preserve">Tóc tớ thuộc dạng tóc tơ, phồng lại mỏng. Mà nó yếu không thể để dài, cũng ko uốn tạo kiểu được vì nó ko thể vào nếp và giữ nếp, Cứ xồm xồm chán ghê ấy.
Các bạn tư vấn giúp t nên làm gì hoặc dùng gì để cải thiện độ dày và khoẻ tóc với.
</t>
  </si>
  <si>
    <t>2019-11-30 02:14:03</t>
  </si>
  <si>
    <t>Van Le</t>
  </si>
  <si>
    <t>100006899850662</t>
  </si>
  <si>
    <t>#help
Da em bị đỏ như vậy, nếu sờ thì không có mụn. Mn giúp em với ạ. Có nên đi spa nặn mụn hút thâm không ạ.</t>
  </si>
  <si>
    <t>2019-11-17 02:22:37</t>
  </si>
  <si>
    <t>Đỗ Thị Cẩm Ly</t>
  </si>
  <si>
    <t>100017878658242</t>
  </si>
  <si>
    <t>#mụn thâm . Xin mn tip trị thân mụn vs ạ . Tình hình là e bị mụn hơn 1 năm rồi ạ, lúc đó từ quê ra Hà nội làm việc . K biết do thay đổi công việc , giờ giấc làm việc, ăn uống k ổn định hay sao mà lên mụn quá trời lun ạ , dai dẳng đến tận bây h , mụn cũ chưa hết mụn mới đã lên . 
Hiện tại :tt Uriage
Srm , chấm mụn , trị thâm đều của hirucar ạ
 Hiện tại e làm công nhân , k có nhiều đk nên mn gt giúp e sp hiệu quả phù hợp túi tiền vs ạ</t>
  </si>
  <si>
    <t>2019-11-17 07:57:39</t>
  </si>
  <si>
    <t>Lê Yến Huệ</t>
  </si>
  <si>
    <t>100028048492561</t>
  </si>
  <si>
    <t xml:space="preserve">Các chị đẹp cho em xin tên những cây Son Thỏi nào lỳ lâu trôi với ạ ^^
</t>
  </si>
  <si>
    <t>2019-11-01 14:06:49</t>
  </si>
  <si>
    <t>Song Song</t>
  </si>
  <si>
    <t>100007051361006</t>
  </si>
  <si>
    <t>Bộ mỹ phẩm của maybeline giá bình dân. Nhưng chất lượng ok k mấy bạn? Và test mã sản phẩm thì nhà sản xuất ở TQ. Liệu có an toàn k các bạn? 
Cảm ơn sự góp ý của các bạn.</t>
  </si>
  <si>
    <t>2019-12-13 10:03:33</t>
  </si>
  <si>
    <t>Khoa Nguyễn</t>
  </si>
  <si>
    <t>100010499944125</t>
  </si>
  <si>
    <t xml:space="preserve">
#help
Mình năm nay 23 tuổi thuộc hỗn2 da thiên dầu 
Do thiếu kiện thức về kem trộn và rượu thuốc nên gần như 3 năm về trước mình luôn tin dùng Sắc mộc thiên , bạch hoa hồng , thuốc đông y ... mới nhất là Detox blanc mình dùng được 9 ngày rồi bỏ vì bị phot thì phải 😓
Mình ko hề hay biết gì về kem trộn cả cộng thêm con trai nên rất ít khi tìm hiểu ... cứ thấy hấp dẫn là mua dùng với hy vọng dẹp mụn 😓
Mình đã tốn quá nhiều tiền bạc để rồi nhận lại được 1 khuôn mặt rỗ và mụn nhiều hơn  ...
Các bạn giúp mình với ... hiện tại thì mình dùng dấm táo pha nước muối để lau mặt mỗi khi da hiện dầu cộng thêm mỗi tối bôi ordinary rồi đi ngủ + uống viêm hộ gan 
Sắp tới mình tính đi da liễu nhưng rất sợ da bị nhiễm corticord 
Mặt mũi cứ thế này sao có được công việc ổn định đây 😓😓
Cho mình lời khuyên nhé 😓 thực sự khó nói tâm trạng của mình hiện tại</t>
  </si>
  <si>
    <t>2019-08-05 03:33:31</t>
  </si>
  <si>
    <t>Thượng Hải</t>
  </si>
  <si>
    <t>100022305005634</t>
  </si>
  <si>
    <t>Chị em review cho mình loại kem chống nắng xài cho mùa đông này với ạh. Da mình hỗn hợp, lâu lâu có dầu vùng chữ T. Đó giờ mình chỉ xài mỗi kem chống nắng. Ko biết skincare. Lọ chống nắng Missha nắp hồng vừa hết. Mà loại đó xài cho mùa hè thấy được chứ đông đến vừa bôi xong nó khô đét khô đơ cái mặt luôn. Mình gần 27t. Sẵn tiện bạn nào tình trạng da tương tự tư vấn mình dùng loại nào dưỡng ok với. Gần tới tuổi lão hoá rồiiii 😟😟
#Help 
#Kemchongnang</t>
  </si>
  <si>
    <t>2019-12-11 01:55:48</t>
  </si>
  <si>
    <t xml:space="preserve">#Kemchongnang #Help </t>
  </si>
  <si>
    <t>Mọi người ơi cho mình hỏi chút với cái khuôn mặt này thì làm cách nào để đẹp trai lại được ạ :(( ( da dầu nha mn) 
M vừa nặn cái mụn nhân to như mả bố luôn vậy áhh sợ vãii chưởng ㅠㅠ  
Ad duyệt bài giúp mình với ạ ♥♥♥</t>
  </si>
  <si>
    <t>2019-12-09 11:59:33</t>
  </si>
  <si>
    <t>Vũ Thu Dịu</t>
  </si>
  <si>
    <t>100044077200482</t>
  </si>
  <si>
    <t>Da mặt e đang gặp vđ về mụn ẩn lỗ chân lông to da bị khô và còn có cả ria mép mọc đen nữa ak.Cứ nhìn vào gương là e rầu hết người.Từ trước tới giờ e chưa dùng qua sp chăm sóc da nào hết.Ace cho e xin cách khắc phục trạng trên với ạ 😥</t>
  </si>
  <si>
    <t>2019-12-15 11:43:40</t>
  </si>
  <si>
    <t>T. Thuỷ</t>
  </si>
  <si>
    <t>100028567080681</t>
  </si>
  <si>
    <t>#bioderma #gocnhova #help
Em vừa mua tẩy trang bioderma nắp hồng đợt sale vừa rồi giá 350k 
Nhưng hàng về tay thì em kiểm tra nó khác hoàn toàn chai em đang dùng và em nghi ngờ em đã mua phải hàng fake 
Em nhờ các chị xem giúp em là fake hay auth ạ 
p/s: bình thường em mua bio toàn 580-620k, các chị đừng nói em ham rẻ tội nghiệp em. Vì fb em đặt mua tt bio là chị ấy chuyên áo quần hàng auth em mua mấy năm trời rồi, nên em ko nghi ngờ cứ thế order thôi ạ. 
Em cảm ơn ạ 😓</t>
  </si>
  <si>
    <t>2019-06-23 13:59:43</t>
  </si>
  <si>
    <t>Jenny Nhi</t>
  </si>
  <si>
    <t>100035780413191</t>
  </si>
  <si>
    <t xml:space="preserve">#help #gocnhova #bioderma </t>
  </si>
  <si>
    <t>Chào m.n ạ...
Tình trạng như trên hình ạ..
Em từng bị dị ưng tiếp xúc nỗi mẩn đỏ...là giwof nó làn để 1 làn đã sần sùi. Như mụn ẩn í có sản phẩm nào thoa hay uống cho lán không ạ..
Mong a duyệt..cám ơn ạ</t>
  </si>
  <si>
    <t>2019-11-28 05:36:34</t>
  </si>
  <si>
    <t>Thành Nguyễn</t>
  </si>
  <si>
    <t>100022331700878</t>
  </si>
  <si>
    <t xml:space="preserve"> 
#Collagen
Sắp tới em tính nhờ người quen bên Nhật mua collagen mà không biết nên mua loại nào. Mn có thể review cho em nên mua loại nào và nên dùng loại uống, bột hay viên thì ok ạ.  Có chị nào dùng viên uống cấp nước Aqua Rich này chưa cho e xin review luôn ạ</t>
  </si>
  <si>
    <t>2019-08-15 04:02:28</t>
  </si>
  <si>
    <t>Lý Quỳnh Nga</t>
  </si>
  <si>
    <t>100009141271320</t>
  </si>
  <si>
    <t xml:space="preserve">#Collagen  </t>
  </si>
  <si>
    <t>#trimun #phuchoida
😭1 đêm ngủ dậy mặt em lởm chởm mụn viêm sưng đỏ ( Đt em cùi quá chụp hong rõ nét đc chị em thông cảm 🤭) Sau khi bị dính kem trộn em đã ngưng sd mĩ phẩm tầm 3 tháng rồi mới bắt đầu skincare lại vài ngày thì như này. Em sd
-tt evoluderm 
- srm innisfree bija
- tonner AHA Some by me
- kcn The Same hồng
Mn cho em xin vài tips sp sd ít bị kích ứng da và phục hồi da với ạ.
Mong ad duyệt bài giúp em ạ.❤️</t>
  </si>
  <si>
    <t>2019-11-07 01:47:24</t>
  </si>
  <si>
    <t>Đỗ Thị Cẩm Nhung</t>
  </si>
  <si>
    <t>100022606547525</t>
  </si>
  <si>
    <t xml:space="preserve">#phuchoida #trimun </t>
  </si>
  <si>
    <t>Đẹp chanh sả,tri mụn 
Mong mọi người giúp mình với ạ.da mình từng dính rượu thuốc 2 năm rồi.kem trộn nữa.mình dùng tretinol obagi từ tháng 2 đến tháng 8 thì mụn có giảm nhiều.mình cũng thải độc da trong thời gian đó bằng xông mặt,uống chè xanh,dùng mặt nạ đất sét của kiehls.lúc da mình kinh khủng nhất hình đầu tiên.hiện tại da mình hình thứ hai.mình chuyển qua dùng retin a rồi. giờ có cách nào cải thiện da thêm nữa không ạ.dù đã đỡ hơn trong nhưng mình vẫn không tự tin ra đường,lúc nào cũng bịt khẩu trang hết
Mình đang dùng tt bio hồng.rửa mặt carave,toner thayar,retin a,dưỡng âm gel benton,chống nắng laroche,tuần dùng tẩy da chết hóa học của TO 2 lần,mặt nạ đất sét và nghệ của kiehls 1 lần.</t>
  </si>
  <si>
    <t>2019-11-29 14:05:27</t>
  </si>
  <si>
    <t>Nguyên Kim Hiên</t>
  </si>
  <si>
    <t>100005924371185</t>
  </si>
  <si>
    <t>#ask #bvdalieutphcm 
Mọi người cho em hỏi có ai từng trị mụn ở bệnh viện Da Liễu TpHCM không ạ? Có hiệu quả không và chi phí đắt không ạ? 
Em cảm ơn ❤️</t>
  </si>
  <si>
    <t>2019-05-12 09:39:47</t>
  </si>
  <si>
    <t>100009867197549</t>
  </si>
  <si>
    <t xml:space="preserve">#bvdalieutphcm #ask </t>
  </si>
  <si>
    <t xml:space="preserve">Cho mình xin rivew sp trị thâm nách này nhe mọi người 
Đang định mua sử dụng mà bâng khuâng quá ạ 
Mong ad duyệt 
</t>
  </si>
  <si>
    <t>2019-10-28 01:50:31</t>
  </si>
  <si>
    <t>Đặng Phương Tuyền</t>
  </si>
  <si>
    <t>100021979280719</t>
  </si>
  <si>
    <t>Ad duyệt bài giúp e 
Mn ơi xưa em có đi làm má núm,lúc đầu cũng đẹp lắm sau 1 năm do e ăn đồ cay hay ntn mà má em nó bị sưng xong có mủ hay gọi là áp xe má,xong e uống thuốc khág sinh thì n xẹp và từ đó k bị sưng nữa nhưng nó thàh sẹo hay sao ý 
K cười nó cũng lõm ntn,chụp ảnh lần nào cũng phải che nó đi,nhìn chéo nó lộ rõ lắm ạ :(( 
Lên gu gồ thấy nhiều vụ má bị nhiễm trùng cũng bị như em ý :(( giờ phải làm sao cho n quay lại ban đầu ạ 😔</t>
  </si>
  <si>
    <t>2019-11-26 06:36:05</t>
  </si>
  <si>
    <t>Mắt mình nó như vậy thì nên làm gì ạ, căng da trán có cải thiện mắt mình k nhỉ (tại mình tự kéo da trán lên thấy cũng đỡ bao phần 😅😂). cảm giác nó cứ bụp bụp và trông như người già, mệt mỏi , buồn ngủ. Mong mọi người tư vấn giúp.</t>
  </si>
  <si>
    <t>2019-12-15 01:15:12</t>
  </si>
  <si>
    <t>Ngoc Bich</t>
  </si>
  <si>
    <t>100000297645180</t>
  </si>
  <si>
    <t xml:space="preserve">
Mọi người mặt e như này giờ chưa sao cho hết để ăn tết dc ạ . Giờ e ko đi gia liễu trung ương mà đi da liễu tư nhân thì có tốt ko ạ.có ai biết da liễu nào tốt mà phù hợp với sv ko ạ</t>
  </si>
  <si>
    <t>2019-12-15 13:21:04</t>
  </si>
  <si>
    <t>Hiêu Nguyễn</t>
  </si>
  <si>
    <t>100039436162445</t>
  </si>
  <si>
    <t>Giúp mình với ạ 😭 da mình từ trước đến nay không bị mụn gì cả nhưng từ lúc mình dùng nhiều loại nhiều hãng cùng 1 lúc thì da có hiện tượng break out nên mình đã ngưng dùng hết tất cả, mụn thì đã hết nổi lên rồi nhưng vẫn còn mấy cái mụn ẩn không nhân đỏ mãi khoảng 2 tuần rồi vẫn không hết ạ :(( chu trình của mình chỉ có tẩy trang rồi sữa rửa mặt cetaphil và lotion dưỡng ẩm hadalabo thôi, sáng thì có dùng thêm kem chống nắng. Cám ơn mọi người ạ (ảnh mình cop trên mạng). Do mình đã ở nước ngoài nên không thể đi spa nặn nhân được.</t>
  </si>
  <si>
    <t>2019-12-09 05:13:15</t>
  </si>
  <si>
    <t>Đan Đan Trần</t>
  </si>
  <si>
    <t>100002578924858</t>
  </si>
  <si>
    <t>E bị thâm do té xe mọi ng có cách nào nhanh hết thâm k ạ</t>
  </si>
  <si>
    <t>2019-12-20 22:07:42</t>
  </si>
  <si>
    <t>Thảo Donal</t>
  </si>
  <si>
    <t>100013889979258</t>
  </si>
  <si>
    <t xml:space="preserve">
#ask 
Có ai biết loại nào trị sẹo tốt k ạ. Giúp e với😭😭
Bác sĩ khoét cho 1 lỗ to tướng trên cái mặt tiền luôn😭😭 
Mà sau mổ có cần kiêng gì k ạ mn😟😟😟
Note: e đi BV TW mổ nha mn</t>
  </si>
  <si>
    <t>2019-08-20 03:13:50</t>
  </si>
  <si>
    <t>Xoài Chua</t>
  </si>
  <si>
    <t>100014678438326</t>
  </si>
  <si>
    <t xml:space="preserve">
#ask
#giaythamdau
Da mình bình thường cảm giác rất khô, nhưng khi dùng giấy thấm dầu thì như thế này đây. Vậy chốt lại da mình là da khô hay da dầu vậy mn ơi???</t>
  </si>
  <si>
    <t>2019-12-21 13:15:55</t>
  </si>
  <si>
    <t>Quang Vinh</t>
  </si>
  <si>
    <t>100035001339927</t>
  </si>
  <si>
    <t xml:space="preserve">#giaythamdau #ask </t>
  </si>
  <si>
    <t>chào mọi người. mọi người cho em hỏi là bạn em khi ra gió hoặc ra nắng là nó hay bị như vậy nhưng nhiều lúc nó không ăn hải sản hay đồ làm bị dị ứng nó vẫn bị là bị gì vậy ạ. nó không ngứa chỉ nổi mẩn đỏ thôi ạ</t>
  </si>
  <si>
    <t>2019-12-18 08:37:24</t>
  </si>
  <si>
    <t>Ngọc Mẫn</t>
  </si>
  <si>
    <t>100015237976880</t>
  </si>
  <si>
    <t xml:space="preserve">
Mọi người có sản phẩm hay cách gì trị hôi nách và thâm nách hoàn toàn không? Giúp em với. Em là nữ. Nhiều lúc muốn mặc đẹp mà ngại mọi người xung quanh lắm. Trong nhóm có bạn bè nên phải dùng nick ảo. Mong admin duyệt bài ạ.</t>
  </si>
  <si>
    <t>2019-11-27 03:59:23</t>
  </si>
  <si>
    <t>My My</t>
  </si>
  <si>
    <t>100044223032736</t>
  </si>
  <si>
    <t>Mình da kiểu đen bẩm sinh, da cũng khỏe, mình trước giờ chỉ dùng sữa rửa mặt và kem chống nắng sun play. Nhưng vài tháng gần đây tự nhiên da mình yếu,dễ nổi mẩn và dị ứng với loại kem chống nắng mình vốn dùng đó giờ :( Ai cũng nói do da lão hóa nên yếu đi. Giờ mình cũng muốn dùng mỹ phẩm để "rửa phèn " vì thấy mọi người dùng đẹp quá. Nhưng lại sợ bị mòn da và dị ứng nên chưa biết nên dùng loại nào? Mong mọi người tư vấn.</t>
  </si>
  <si>
    <t>2019-12-13 09:33:58</t>
  </si>
  <si>
    <t>Trà Mi</t>
  </si>
  <si>
    <t>100023099152623</t>
  </si>
  <si>
    <t xml:space="preserve">
#chamsocda
Mong add duyệt bài ạ. 
Da mình thuộc da rất nhạy cảm, mỏng ,yếu, đỏ ạ. Mình muốn tìm một bộ skincare chăm sóc sau trị mụn phục hồi da ạ. 
Mình chỉ biết sơ qua
-tẩy trang bio
Srm SVR
*Toner(chưa tìm được) 
Serum b5 larocheposay
*Kem dưỡng khóa ẩm ( chưa tìm dk ạ) 
*Kem chông năng (chưa tìm duoc ạ) 
    Mọi người có thể tư vấn giúp mình nhứng sp hợp lí và chỗ mình chưa tìm dk sp với ạ.  cảm ơn m. N ạ</t>
  </si>
  <si>
    <t>2019-10-24 12:20:46</t>
  </si>
  <si>
    <t>Lê Thu Hiền</t>
  </si>
  <si>
    <t>100031039711373</t>
  </si>
  <si>
    <t xml:space="preserve">#chamsocda </t>
  </si>
  <si>
    <t>Mặt e mùa hè thì là da dầu. Giờ đến mùa đông thì chuyển thành da khô cứ bong tróc lên, các chị review cho kem dưỡng ẩm phù hợp với ạ</t>
  </si>
  <si>
    <t>2019-12-07 08:01:24</t>
  </si>
  <si>
    <t>Ngọc Hiền</t>
  </si>
  <si>
    <t>100005355370598</t>
  </si>
  <si>
    <t>#review #keomoctocgummies
Em xin review nhanh về sp mà mấy nay em cực ghiền là kẹo gummies của Nature’s Bounty, một sp mà các chị em ai đang bị rụng tóc hoặc là muốn mau dài tóc thì đảm bảo sẽ không làm các chị em thất vọng đâu ạ. 🥰🥰🥰
Hình thứ 2 là tóc em cách đây 2 tháng, hồi năm ngoái em có đi cắt tóc ngắn, em đag ấp ủ ý định nuôi tóc dài để tới tết đi uốn là vừa ạ, em thuộc cơ địa tóc lâu dài cực, nên bắt buộc phải dùng sp thì tóc mới kịp dài, may thay lúc đó kẹo gummies đang sale thế là em hốt liền 2 hũ.
 Hình thứ 3 là tóc em mới chụp tức thì hôm qua luôn ạ, em nhìn là mà mất hồn😂😂😂 không nghĩ tóc lại dài nhanh đến thế, trong khi em mới chỉ ăn hết 1 hũ thôi đấy ạ ( 1 hũ ăn em ăn trong vòng 1 tháng hơn), hơn nữa bạn em còn nói đỉnh đầu em tóc con mọc nhiều búa lua xua nữa =]]]] Ngày em ăn 2 viên, có hôm lố ăn 3-4 viên nhưng trộm vía không bị nóng và nổi mụn. Vị kẹo thơm mùi dâu chua chua ngọt ngọt đảm bảo ăn là ghiền đó hì hì 🤤🤤🤤 
Đây là lần đầu em review nên văn từ có hơi lủng củng, em nghĩ gì thì ghi đó thôi ạ nên có gì mọi người thông cảm nha ❤
Mong ad duyệt giúp em ạ ❤
P/s: bạn nào cần biết chỗ bán inb mình mình chỉ cho nha, mình không nói trên này đc ạ ^^</t>
  </si>
  <si>
    <t>2019-10-27 16:17:55</t>
  </si>
  <si>
    <t>Yi Chang</t>
  </si>
  <si>
    <t>100003635224836</t>
  </si>
  <si>
    <t xml:space="preserve">#keomoctocgummies #review </t>
  </si>
  <si>
    <t>Làm sao để hết những nốt sẹo thâm đỏ này ạ. 🤔
Trước em bị viêm da dị ứng em gãi giờ nó sẹo đỏ như vậy🍀. Đi đâu ngại quá. 🤔
Chịu khó bôi kem sẹo trị thâm mà cũng ko đỡ cho lắm. Ai có cách bày em với 🙁</t>
  </si>
  <si>
    <t>2019-12-18 01:59:52</t>
  </si>
  <si>
    <t>Hà Trang</t>
  </si>
  <si>
    <t>100018410343346</t>
  </si>
  <si>
    <t>Mọi người cho e hỏi e cắt tóc mái kiểu gì là hợp ạ. Tóc e dài ngang vai, khá thưa. Trán e cao nữa ạ :(( Bonus thêm dạo này nó rụng hói cả 1 chỗ trên đầu ạ 
#đẹp_chanh_sả
#tóc_mái</t>
  </si>
  <si>
    <t>2019-11-28 11:17:27</t>
  </si>
  <si>
    <t>An Khương</t>
  </si>
  <si>
    <t>100035554673446</t>
  </si>
  <si>
    <t xml:space="preserve">#tóc_mái #đẹp_chanh_sả </t>
  </si>
  <si>
    <t>Tóc em dài mà cứ bị rụng 😔😔 cứ mỗi lần chải đầu là nó rụng (như ảnh). Mấy năm trước em có nhuộm mà đã nhuộm đen lại lâu rồi mà chắc do nhuộm nên làm tóc yếu và chẻ ngọn, cứ chải đầu là tóc nó rụng , ngủ giấc tới sáng ko dọn phòng là phòng tóc ko luôn 😑😑 nên e muốn hỏi ce có cách nào cho tóc bớt rụng ko ạ hay sản phẩm gì tốt cho tốt ko ạ 😭😭😭 (mỗi lần tóc dài ra e có tỉa phần đuôi xíu để cho phần tóc chẻ ngọn bớt đi mà vẫn rụng 😂😭) à em chưa sanh gì nha mn ☺️☺️ chị em giúp em 😣😍 
Em cảm ơn 😘😍</t>
  </si>
  <si>
    <t>2019-12-10 04:15:26</t>
  </si>
  <si>
    <t>Chu Chu</t>
  </si>
  <si>
    <t>100034736944542</t>
  </si>
  <si>
    <t>Không hiểu vì sao tầm 3 hôm nay một bên mặt mình nổi nhiều mụn như này... cảm giác ngày càng nhiều và càng to hơn... hơi ngứa và rát lúc rửa mặt... Bạn nào đã từng bị như vậy chia sẻ cho mình ít kinh nghiệm điều trị với ạ!!! Many thank mn ❣️
Dạ mặt mình hay ăn nắng với tàn nhang thì nên chăm sóc ntn ạ, cho mình xin vài tips skincare với ạ! 🌹</t>
  </si>
  <si>
    <t>2019-12-25 12:22:52</t>
  </si>
  <si>
    <t>Lê Công Anh</t>
  </si>
  <si>
    <t>100003237850560</t>
  </si>
  <si>
    <t>Cho em hỏi là có chị nào dùng loại dưỡng da này của innisfree chưa ạ? E bị lỗ chân lông to nên xem trên mạng họ bảo dùng loại này ok. Có thật sự hiệu quả không ạ? Em mới mua dùng được 1 lần mà thấy mặt đổ dầu nhiều quá. 😭
#hoidap
#innisfree</t>
  </si>
  <si>
    <t>2019-11-10 15:00:22</t>
  </si>
  <si>
    <t>Trang Đoàn</t>
  </si>
  <si>
    <t>100005872659893</t>
  </si>
  <si>
    <t xml:space="preserve">#innisfree #hoidap </t>
  </si>
  <si>
    <t xml:space="preserve">
#thamquangmat
E bị thâm quầng mắt lâu năm..ngày càng đen..đi đâu ai cũng tưởng là bị người ta đấm =))
Có ai biết cách trị thâm quầng mắt đơn giản chỉ em với ạ..E vã quá rồi 🙇‍♀️
Ảnh chống trôi bài</t>
  </si>
  <si>
    <t>2019-05-05 02:45:43</t>
  </si>
  <si>
    <t>Khánh Băng Hồ</t>
  </si>
  <si>
    <t>100005137501772</t>
  </si>
  <si>
    <t xml:space="preserve">#thamquangmat  </t>
  </si>
  <si>
    <t>Chào mọi người. Em năm nay 16 tuổi nên xin phép xưng em, chân em cứ nổi những lớp vảy này. Đi khám thì bác sĩ bảo vảy cá và nguyên nhân là do di truyền. Mẹ em bảo em bôi dầu dừa nó sẽ hết. Em sợ lắm hic, có ai biết trị cái này không ạ? Em sợ sẽ ảnh hưởng nhiều đến thẩm mỹ thôi</t>
  </si>
  <si>
    <t>2019-12-09 13:41:41</t>
  </si>
  <si>
    <t>Thành Trung</t>
  </si>
  <si>
    <t>100013129773645</t>
  </si>
  <si>
    <t>Mọi người cho em xin cách trị mụn ẩn+thâm+ lỗ chân lông to với ạ:((em đã thử nhiều thuốc bôi rồi nhưng cũng đỡ hơn được chút , vẫn còn mụn ẩn với thâm nhiều.Em định đi da liễu nên anh chị cho em xin review một số địa chỉ uy tín với ạ, hoặc tips chăm sóc da chớ mặt em chán quá:((
#hoidap</t>
  </si>
  <si>
    <t>2019-09-18 09:14:20</t>
  </si>
  <si>
    <t>Huy Đinh</t>
  </si>
  <si>
    <t>100040124201205</t>
  </si>
  <si>
    <t>Xin chào mọi người. Mọi người chỉ dùm em cách trị dầu da đầu với ạ, em bị mỗi cái mái trước, còn hôi hôi nữa chứ, dù là ngày nào cũng gội. 😭😭
Kinh nghiệm sau khi đọc cmt
1. Sử dụng phấn rôm chữa cháy rất hiệu quả.
2. Hạn chế gội đầu ( 2 ngày gội 1 lần)
3. Không để tóc mái
4. Gội đầu thêm ít muối pha loãng với dầu gội
5. Dùng dầu gội khô ( có tác dụng với 1 số bạn, vẫn còn 1 số như mình sài đúng 5s lại bết hơn)</t>
  </si>
  <si>
    <t>2019-12-13 09:34:50</t>
  </si>
  <si>
    <t>Tuyền Meoly</t>
  </si>
  <si>
    <t>100003834401016</t>
  </si>
  <si>
    <t xml:space="preserve">Mọi người review em sản phẩm nào giúp chữa da mỏng thấy mạch máu không ạ:(( tại mẹ em h trắng quá nên nó nổi lên
#ask </t>
  </si>
  <si>
    <t>2019-11-26 02:17:55</t>
  </si>
  <si>
    <t>Thu Hồng</t>
  </si>
  <si>
    <t>100013939181234</t>
  </si>
  <si>
    <t>Em mới đi khắc xong, lúc ở chỗ làm, nhìn tới nhìn lui không thấy gì, về đến nhà mới thấy, hình như hai bên hơi lệch, với sao nó đỏ quá đỏ á! Cả nhà mình tư vấn cho em với!
Note bổ sung: sau ngày thứ 4 thì nó bong ra gần hết, và cái cặp mày sau khi bong ra thì đã được hoàn nguyên về cặp mày trước khi làm 😂</t>
  </si>
  <si>
    <t>2019-12-20 13:58:15</t>
  </si>
  <si>
    <t>Thành Đô</t>
  </si>
  <si>
    <t>100010436508919</t>
  </si>
  <si>
    <t>Da mình không biết là bị mụn ẩn hay mụn dị ứng nữa, mụn li ti mọc chi chít khắp mặt, da ửng đỏ và khô căng cực kì luôn. Lỗ chân lông to, ra spa người ta bảo là da mình bị lão hóa. Mọi người có kinh nghiệm gì không chia sẻ giúp mình với ạ 
#trimun</t>
  </si>
  <si>
    <t>2019-12-02 06:02:58</t>
  </si>
  <si>
    <t>Nguyyễn Huyền</t>
  </si>
  <si>
    <t>100030864857309</t>
  </si>
  <si>
    <t xml:space="preserve">Mọi người ơi, có ai sử dụng trà diếp cá này chưa ạ. Cho em xin ít review ạ. Em bị mụn ở lưng và mặt ạ :((( Mong ad duyệt bài giúp em. Cảm ơn mọi người. 
#review </t>
  </si>
  <si>
    <t>2019-08-18 07:31:48</t>
  </si>
  <si>
    <t>Huỳnh Hân</t>
  </si>
  <si>
    <t>100015301206541</t>
  </si>
  <si>
    <t>Từ bé e k dùng 1 loại chăm sóc da gì cả vì tính tình như đàn ông 😜 và đc 1 cái là da cũng khá đẹp . Nhưng từ ngày lấy ck thay đổi nội tiết nên cứ bầu là mụn . 2 lần bầu đều mụn cả 2 . Cứ sinh con khoảng đến tháng t4 là e hết mụn nhưng nói chung da cũng k còn đc đẹp như hồi con gái . Điên dở vào 1 ngày đẹp trời mua 1 tuýp srm của Nhật về dùng đc 5 hôm thì lên mụn như ảnh 1 . Sau đó e ngưng luôn . Do k có thời gian cũng như kinh phí để đi spa nên e lại đánh liều 1 lần nữa hỏi tư vấn và mua thải độc của innisfree + srm trà xanh innisfree luôn . E đã dùng thải độc và srm đc 1 tuần thì thấy rất hợp . Trong lúc thải độc và rửa srm mụn cũng tự bật ra luôn nên giờ đỡ như ở hình 2 . Đang định mua kit dưỡng về dùng thử nhưng nay lướt trên hội mình lại thấy bảo trà xanh thì lại k hợp cho da mụn nên lại lo . Các bác cho e xin ý kiến với</t>
  </si>
  <si>
    <t>2019-12-09 00:47:13</t>
  </si>
  <si>
    <t>Da em bị mụn ẩn rất nhiều,,trước kia em có sài tẩy trang senka với srm acness ạ nhưng càng ngày mụn ẩn càng nổi nhiều, da em là da nhạy cảm, mong mn review cho em srm và tẩy trang cho dạng da này :(((</t>
  </si>
  <si>
    <t>2019-12-11 01:51:15</t>
  </si>
  <si>
    <t>100040716694505</t>
  </si>
  <si>
    <t xml:space="preserve">Mọi người biết dùng son gì mà bền màu và lì, khi ăn uống không bị dây ra thành cốc, bát ... không ạ :((( em dùng nhiều loại mà chả ưng loại nào cả . Hôm nọ đi chơi xong uống cốc trà sữa lúc bỏ ra son dính đầy ống hút xong các bạn nhìn thấy mà ngại quá khong biết nói gì 😭😭
</t>
  </si>
  <si>
    <t>2019-10-28 10:25:23</t>
  </si>
  <si>
    <t>Độ Khánh Trang</t>
  </si>
  <si>
    <t>100022746782929</t>
  </si>
  <si>
    <t>Mặt em bị lệch nặng (mắt 1 bên sụp mí mặt tròn, 1 bên rõ mí mặt bành rõ ra) như thế này thì nên nhuộm màu gì và để tóc kiểu nào thì hợp ha mn. 
Trước giờ em chưa từng làm tóc, tóc mái tóc đuôi toàn tự cắt nên nhìn buồn cười lắm, chả biết để kiểu nào vì mặt em lệch lệch trông kỳ cục.
Tết đến rồi em muốn thay đổi chút ạ, em năm nay 20 😁 
Với em có 1 vết lằn hóp vào trên má nhỏ nhỏ có từ cấp 2 rồi, 2 vết đó làm mặt trông già và thiếu sức sống lắm luôn, để ý kỹ bức đầu sẽ thấy. Em nên đến đâu và làm gì cho hết ạ? Tại chưa từng đi viện thẩm mỹ hay gì nên em mù mờ quá. 
Em cảm ơn mọi người rất nhiều. Chúc một ngày tốt lành!</t>
  </si>
  <si>
    <t>2019-12-20 22:07:38</t>
  </si>
  <si>
    <t>Lưu Thư</t>
  </si>
  <si>
    <t>100044447526340</t>
  </si>
  <si>
    <t>Ad duyệt hộ em ạ  . Các chị ơi đã ai dùng bộ trị mụn cure medicine chưa ạ . Em đang tính dùng thêm nước hoa hồng AHA -BHA và kem dưỡng cindeltox mà da e thuộc da cực dầu nhờn không biết nên dùng ko . Các chị ai đã dùng cho e ít review với ạ !</t>
  </si>
  <si>
    <t>2019-05-07 06:33:20</t>
  </si>
  <si>
    <t>Nguyen Nga</t>
  </si>
  <si>
    <t>100005125955249</t>
  </si>
  <si>
    <t xml:space="preserve"> #review 
[ Trị Rụng Tóc ]
Em thấy mùa này ai cũng rụng tóc nhiều, em chia sẻ cách em khắc phục ạ ❤️ Trước tóc em yếu dã man mỏng dính dù hay đi hấp gội dầu cặp đắt đến đâu thì vẫn chán kinh khủng nghe các bà mác nên em cả Mẹ dùng ntn được thời gian dài tóc cải thiện lắm ạ
Edit : Em có ghi cách nấu ở ảnh rồi ý ạ. Còn nếu tóc ai bị khô em khuyên nên ủ dầu dừa  trước khi gội sau đó kết hợp với bưởi+ bồ kết thì đảm bảo mềm mượt. Còn nếu ai không có thời gian ý ạ chỉ cần ủ dầu dừa thôi tóc cũng cải thiện nhiều rồi ạ. À 1 tuần em gội ntn 2-3 lần thôi còn bình thường sẽ gội dầu hoặc là ủ dầu dừa thôi ạ chứ không phải gội thường xuyên</t>
  </si>
  <si>
    <t>2019-06-11 15:55:30</t>
  </si>
  <si>
    <t xml:space="preserve"> Nguyễn Ngọc Huyền</t>
  </si>
  <si>
    <t>100004250927253</t>
  </si>
  <si>
    <t>Huhu các chị đẹp có cách nào giúp em không ạ.
Chân tay mặt mũi em bị khô bong tróc rồi nứt ra ntn.
Em dùng mấy loại kem dưỡng ẩm mà chưa thấy đỡ ạ...</t>
  </si>
  <si>
    <t>2019-12-11 06:11:35</t>
  </si>
  <si>
    <t>Thùy Trang</t>
  </si>
  <si>
    <t>100007547867653</t>
  </si>
  <si>
    <t>#ask #kieutoc 
Nhiều năm nay cứ duỗi rồi nhuộm em chán quá muốn uốn để thay đổi một chút , muốn xin ý kiến mng là có nên uốn không ạ và nếu uốn thì chăm tóc như thế nào cho đẹp , em là người không biết nhiều về tóc xin mng giúp đỡ tóc e dày và nhiều 
Em cám ơn ad duyệt bài e</t>
  </si>
  <si>
    <t>2019-12-17 23:11:48</t>
  </si>
  <si>
    <t>100015444765855</t>
  </si>
  <si>
    <t xml:space="preserve">#kieutoc #ask </t>
  </si>
  <si>
    <t>#trimun
Mong ad duyệt cho em với ạ 
Dạ cả nhà ơi, cho em hỏi sữa rửa mặt và kem trị mụn nào dành cho da dầu ạ hicccc. Bây h mặt em dính phải kem trộn ghê lắm ạ 
Em cảm ơn nhiều ạ 😍♥️♥️</t>
  </si>
  <si>
    <t>2019-10-23 13:56:29</t>
  </si>
  <si>
    <t>Nguyễn Thị An Kim</t>
  </si>
  <si>
    <t>100011619163363</t>
  </si>
  <si>
    <t>Mình mới đi Phan Thiết về không biết bị con gì cắn mà nó như thế này, bị khoảng 10 vết như vậy, ngứa dã man luôn. Ngay vết cắn nó nổi mụt nước nhỏ luôn mà mình không dám gãi. Các bạn cho mình hỏi là bôi thuốc gì cho nó lành và không bị ngứa nữa ạ. Mình xin cám ơn!</t>
  </si>
  <si>
    <t>2019-12-18 05:23:48</t>
  </si>
  <si>
    <t>Mỹ Hưng</t>
  </si>
  <si>
    <t>1789595255</t>
  </si>
  <si>
    <t>Nhiều người vẫn ngây thơ #8k mà vẫn hỏi real hay fake 🤣🤣 
K biết chi phí làm ra thỏi son này là bn các chị nhỉ 🤣🤣
#son8k</t>
  </si>
  <si>
    <t>2019-11-13 13:21:04</t>
  </si>
  <si>
    <t>Nguyễn Thu Hằng</t>
  </si>
  <si>
    <t>100005426855307</t>
  </si>
  <si>
    <t xml:space="preserve">#son8k #8k </t>
  </si>
  <si>
    <t xml:space="preserve">
#Review #silk
Chào cả nhà.
Cả nhà cho em hỏi, có ai dùng sản phẩm này chưa ạ.   E ước ao mình có làn da như trứng gà bóc .nhưng đm trớ trêu Da e thuộc loại da hơi ngâm ngâm  . xài nhìu loại r vẫn k thấy ưng  . ai xài dòng này r cho e ít nhận xét với .
Cảm ơn cả nhà ❤️</t>
  </si>
  <si>
    <t>2019-05-13 10:39:58</t>
  </si>
  <si>
    <t>Ngân Trần</t>
  </si>
  <si>
    <t>100021087679503</t>
  </si>
  <si>
    <t xml:space="preserve">#silk #Review </t>
  </si>
  <si>
    <t xml:space="preserve">Mọi người ơi, cho mình xin tí review về uốn lạnh phần đuôi được không ạ? (Tóc mình dài đến giữa lưng)
Sẵn tiện chị em nào có tóc uốn lạnh đuôi cho mình xem để lấy tí kinh nghiệm với được không ạ 😘😘
#ask </t>
  </si>
  <si>
    <t>2019-11-26 12:40:44</t>
  </si>
  <si>
    <t>Tô Chúc Nữ</t>
  </si>
  <si>
    <t>100033284864088</t>
  </si>
  <si>
    <t>Mong ad xem xét duyệt bài hộ e 😔😔
Chào cả nhà.. chuyện là e theo nhóm đã lâu nhưng không màng đến chuyện chăm sóc da nên không tham khảo nhiều cho lắm. Đến hôm nay e rãnh rổi ngồi xem gương thì mới phát hiện da mặt mỏng và có hiện tượg dãn mạch, da e thuộc dạng dầu vùg chữ T và lcl to nơi giữa sóg mũi và gò má, mụn ẩn li ti dưới cằm.
Nay e củg muốn chăm sóc da nhưng không biết nên bắt đầu từ đâu và với sản phẩm nào, mong cả nhà giúp đỡ e với ạk 😔😔</t>
  </si>
  <si>
    <t>2019-11-25 13:53:23</t>
  </si>
  <si>
    <t>Nguyễn Thị Thanh Hằng</t>
  </si>
  <si>
    <t>100004185968615</t>
  </si>
  <si>
    <t>Tình trạng da em do xài không hợp loại mỹ phẩm. Mặt em bị nổi mụn đỏ và ngứa. Chị nào biết cách trị giúp em với ạ☹️
#helpme</t>
  </si>
  <si>
    <t>2019-12-03 13:39:03</t>
  </si>
  <si>
    <t>Phan Thư</t>
  </si>
  <si>
    <t>100021506163956</t>
  </si>
  <si>
    <t>#foreo 
Có bạn nào đã dùng máy rửa mặt foreo chưa cho mình hỏi chút ạ:
-Sạc máy foreo bằng gì thì tốt nhất?
-Mình có tìm hiểu thì thấy được 2 nơi hướng dẫn bên dưới nhưng chỗ thì bảo nên sạc qua laptop, không sạc bằng củ sạc ip,  nơi thì lại nói ngược lại là cắm bằng đầu điện thoại, không cắm sạc vào laptop. Vậy cái nào mới đúng ạ? -Mình sạc bằng sạc dự phòng được không nhỉ? 
- Máy mới mua về sạc đầy rồi mới dùng hay dùng hết pin rồi mới sạc và thời gian sạc là bao lâu?
Cảm ơn mn đã đọc bài.</t>
  </si>
  <si>
    <t>2019-10-20 10:21:06</t>
  </si>
  <si>
    <t>Trang Trần</t>
  </si>
  <si>
    <t>100005686770682</t>
  </si>
  <si>
    <t xml:space="preserve">#foreo </t>
  </si>
  <si>
    <t xml:space="preserve"> 
Mng chỉ giúp em vài cách mặc váy cưới nhìn có ngực tí với ạ. Hơn tháng nữa em cưới rồi mà giờ ngực khá bé , em có sử dụng các sản phẩm tăng v1 rồi nhưng vẫn kh có hiệu quả gì 😭 Có cách nào nhìn cho có tí ngực không ạ</t>
  </si>
  <si>
    <t>2019-08-06 10:46:16</t>
  </si>
  <si>
    <t>Phạm Thanh Xuân</t>
  </si>
  <si>
    <t>100011338951336</t>
  </si>
  <si>
    <t>Thấy mấy chị đăng ảnh phun môi em thấy ham quá, cũng thèm lâu r mà chưa dám đi làm do ko biết nên làm kiểu nào. 
Thấy quảng cáo nào là phun môi ruby, phun môi collagen,...
Chị nào làm rồi cho em hỏi nó khác nhau chỗ nào và da ngăm nên phun theo hình thức nào màu nào ạ ?
#phunmoi</t>
  </si>
  <si>
    <t>2019-09-29 05:07:11</t>
  </si>
  <si>
    <t>Dương Tử</t>
  </si>
  <si>
    <t>100010412921796</t>
  </si>
  <si>
    <t xml:space="preserve">#phunmoi  </t>
  </si>
  <si>
    <t>Mọi người cho e hỏi mặt e ntn thì nên dùng loại gì được ạ, e bị cả năm nay rồi hết rồi bị thật sự stress lắm rồi ạ 😞
Da e da dầu và cũng bị nóng trong người nữa</t>
  </si>
  <si>
    <t>2019-12-15 15:53:00</t>
  </si>
  <si>
    <t>Ngọc Hít</t>
  </si>
  <si>
    <t>100005090374606</t>
  </si>
  <si>
    <t xml:space="preserve">
#hoidapthacmac
Mn trong nhóm có ai mặt to tròn bèn bẹt mà để tóc tém chưa ạ ??? Với ai để r cho e xin ít ảnh làm động lực với ạ. E cảm ơn. E thích để kiểu Hiền Hồ mà sợ k hợp mặt to tròn. ☹️☹️</t>
  </si>
  <si>
    <t>2019-08-29 23:52:17</t>
  </si>
  <si>
    <t>Hương Nguyễn</t>
  </si>
  <si>
    <t>100029425842763</t>
  </si>
  <si>
    <t xml:space="preserve">#hoidapthacmac </t>
  </si>
  <si>
    <t>Chào mọi người mình Sài dou+ đc gần 1 tháng mà cứ bị lên mụn viêm😭 không biết như v là đẩy mụn hay là do da mình không hợp. Mong mọi người tư vấn giúp ạ 😅</t>
  </si>
  <si>
    <t>2019-12-25 11:15:07</t>
  </si>
  <si>
    <t>Nhân Nguyen</t>
  </si>
  <si>
    <t>100030613605083</t>
  </si>
  <si>
    <t>Đêm muộn em xin viết bài để tham khảo mong ad duyệt bài cho em
- các chị các mẹ cho e hỏi ,đã chị nào mẹ nào dùng nước tẩy trang này mà bị rát bị ngứa như em không ạ😭, chả là rất ít khi em dùng mĩ phẩm lên e cũng không cần đến nước tẩy trang ,e mua lọ này dùng được mấy lần mà mỗi khi dùng là n rát và rất ngứa ,vậy là do da e bị dị ứng với nước này hay ntn ạ… các chị các mẹ thông thái gthich dùm e mới ạ</t>
  </si>
  <si>
    <t>2019-11-21 00:52:18</t>
  </si>
  <si>
    <t>Tuyết Lan</t>
  </si>
  <si>
    <t>100031076020665</t>
  </si>
  <si>
    <t>Có nên uống tăng cân cường anh không mn? Trc đây đã dùng qua Vy&amp;tea rồi nhưng ko ăn thua! Bao giờ mới thoát kiếp gầy 😢 , ai dùng tăng cân Cường Anh rồi cho mình xin ý kiến với ạ 😉 
#tangcan💋💋💋</t>
  </si>
  <si>
    <t>2019-06-23 12:25:20</t>
  </si>
  <si>
    <t>Mến Đỗ</t>
  </si>
  <si>
    <t>100022420421451</t>
  </si>
  <si>
    <t xml:space="preserve"> #ask #tự_nhuộm_tóc #thuốc_nhuộm
Da em đen, tóc cũng đen tuyền chưa nhuộm bao giờ và đang muốn tìm một loại thuốc nhuộm để tự nhuộm ở nhà. Ace review cho em màu nhuộm hợp da đen mà không cần tẩy + tên thuốc nhuộm lên màu chuẩn với ạ!</t>
  </si>
  <si>
    <t>2019-12-22 13:23:28</t>
  </si>
  <si>
    <t xml:space="preserve">#thuốc_nhuộm #tự_nhuộm_tóc #ask  </t>
  </si>
  <si>
    <t xml:space="preserve">
#bíquyếtgiamcan
Chào mọi người. Cách đây 20 ngày trước em cao 1m60 và nặng 52kg. Hiện tại em cao 1m60 và nặng 59kg. Chế độ ăn uống của em vẫn bình thường thậm trí còn ăn ít hơn đợt em 52kg. Em tiền sử bị cao men gan nên em sử dụng rất nhiều thuốc tây. Mọi người có cách nào giảm cân hay có thuốc nào giảm cân tốt mách em với ạ. Chưa em hoang mang quá😭
Em cảm ơn😊</t>
  </si>
  <si>
    <t>2019-10-23 11:07:18</t>
  </si>
  <si>
    <t>Hà Thị Khánh Linh</t>
  </si>
  <si>
    <t>100028727273817</t>
  </si>
  <si>
    <t xml:space="preserve">#bíquyếtgiamcan </t>
  </si>
  <si>
    <t>Cộng đồng làm đẹp chuyên sâu về Thẩm Mỹ cho các thím, cmt TGDK để được duyệt vào nhanh nhé mọi người.</t>
  </si>
  <si>
    <t>2019-12-16 08:23:19</t>
  </si>
  <si>
    <t>Bí Mật Showbiz</t>
  </si>
  <si>
    <t>1090944304372098</t>
  </si>
  <si>
    <t>#Help #Trimun
Em năm nay 16t ạ, em bị mụn từ năm lớp 8 đến giờ vẫn không hết.Mặt em mụn gì cũng có đủ, mụn viêm sưng, mụn ẩn, mụn đầu đen, mụn mủ, mụn cám,blabla. Cứ càng ngày càng nhiều thêm😭😭 Các bước skincare của em mỗi ngày như này ạ
- Tẩy trang Laroche possay
- Srm Laroche possay
- Toner Thayers
- Kem chấm mụn Laroche possay
( Em đắp mặt nạ đất sét innisfree 2 lần mỗi tuần)
Anh chị giúp mặt em với😭😭</t>
  </si>
  <si>
    <t>2019-12-02 00:26:53</t>
  </si>
  <si>
    <t>Huỳnh Phương Linh Đan</t>
  </si>
  <si>
    <t>100022458314417</t>
  </si>
  <si>
    <t xml:space="preserve">#Trimun #Help </t>
  </si>
  <si>
    <t>Em mới làm quả tóc đón tết. Em đưa mẫu ntn, nhưng kết quả thì ... 
em buồn mấy ngày nay, em uốn cúp, giờ làm lại có hư tóc k chị em ơi? 
Chứ em buồn khủng khiếp , tóc cái vênh bên này, cái cúp bên kia. Em hỏi thợ thì họ kêu phải sấy khô nó mới cụp nhưng đi gió tí lại vênh ngược vênh xuôi. Chả lẻ lúc nào e cũng phải sấy , em cũng mò vào thẩm mĩ viện tóc to đùng làm ấy chứ 
Em stree thật sự 😔😔😔
Có cách nào k chị em?</t>
  </si>
  <si>
    <t>2019-12-24 22:39:42</t>
  </si>
  <si>
    <t>Nguyễn Thùy</t>
  </si>
  <si>
    <t>100005514932914</t>
  </si>
  <si>
    <t>#help #innisfree #mụnẩn
Chào các chị em thân iu :((. Chả là hồi tháng trước em có cùng bạn đến shop của innisfree thì được giới thiệu mua bộ Jeju Cherry Blossom và sữa rửa mặt trà xanh. Bạn em mua serum trà xanh và tẩy tế bào chết volcanic. Thì sau một tháng sử dụng cả em và bạn em đều nổi mụn ẩn lên như hình dưới, da mặt sần sùi trông mất thẩm mĩ lắm luôn ạ dù trước đó em không hề có mụn trên mặt, chỉ có ở vùng trán thôi :(((( Vậy bây giờ em có nên tiếp tục sử dụng không hay là ngưng hẳn luôn ạ. Chị em cho em xin ý kiến với 😭</t>
  </si>
  <si>
    <t>2019-10-02 13:18:03</t>
  </si>
  <si>
    <t>Trần Mỹ Ngọc</t>
  </si>
  <si>
    <t>100041745828810</t>
  </si>
  <si>
    <t xml:space="preserve">#mụnẩn #innisfree #help </t>
  </si>
  <si>
    <t xml:space="preserve">
#cânrewiew
#collagenuống
Chả là e mới sinh em bé xong đc 7 tháng. Sau sinh thì bị nám nhẹ. E dùng collagen Perles De Peau đc 1 tháng ( 30 ống ) hết khoảng 2tr . Dùng thấy khá oke, da đẹp và sáng lên, nhưng khổ lỗi giá so vs e thì hơi cao vì vẫn phải nuôi con nhỏ tốn kém nữa
Các chế có loại collagen nào uống oke mà giá rẻ hơn hút xíu giới thiệu em với ạ
Em cảm ơn mọi người, mong ad duyệt bài ạ</t>
  </si>
  <si>
    <t>2019-10-15 01:57:59</t>
  </si>
  <si>
    <t>Huyen Nguyen</t>
  </si>
  <si>
    <t>100006504729961</t>
  </si>
  <si>
    <t xml:space="preserve">#collagenuống #cânrewiew </t>
  </si>
  <si>
    <t xml:space="preserve">
Trời trở lạnh là nỗi ám ảnh nhất đời t :)) cả người ( tay chân đùi...) cứ bị bong da như thế này, mặc quần áo cứ bị dính lại lớp da bị tróc. Khó chịu lắm các bạn ơi với lại mình thường xuyên mặc váy nữa nên ngại lắm, có lúc phải nghỉ làm cả tuần vì SỢ phải mặc váy... các bạn gợi ý cho mình vài tips hoặc sản phẩm để cải thiện da  với ~~ mình sợ mùa đông lắm rồi 😭😭</t>
  </si>
  <si>
    <t>2019-12-17 11:08:16</t>
  </si>
  <si>
    <t>Quynh Beomie</t>
  </si>
  <si>
    <t>100028057173542</t>
  </si>
  <si>
    <t xml:space="preserve">Ad duyệt giúp em vs ạ. 
E bị mụn 2 năm rồi mà bh nó cứ ntn. E nhờ các chị giúp e với ạ? E nên dùng j và bắt đầu từ đâu ạ. H e chút dùng mỗi srm celtaphin thôi ạ. Dạ e là đã hh thiên dầu ạ
</t>
  </si>
  <si>
    <t>2019-12-13 23:27:17</t>
  </si>
  <si>
    <t>Yến Lê</t>
  </si>
  <si>
    <t>100007544133527</t>
  </si>
  <si>
    <t>Em chào mọi người. Em 26 tuổi và mới bị tai nạn giao thông được 2 tuần. Giờ trên trán e có 1 sẹo dài tầm 3,5cm và do lúc cấp cứu bác sĩ khâu vết thương xấu quá, da bị chênh, 1 bên thấp 1 bên cao. Nên giờ nhìn vào rất mất thẩm mỹ.
Mọi người ai đã từng trị sẹo thành công hoặc có cách nào chỉ giúp e để xoá hoặc làm mờ xẹo.
Mong mọi người giúp em với.
Em cảm ơn</t>
  </si>
  <si>
    <t>2019-12-21 18:05:05</t>
  </si>
  <si>
    <t>Ngọc Duyên</t>
  </si>
  <si>
    <t>100000454517577</t>
  </si>
  <si>
    <t>#gochoidap
Mọi người cho e hỏi,3 loại nước tẩy trag này loại nào dùng ổn ạ. Da em hơi nhờn.có 1 ít mụn đậu đen ở tráng và 2 bên má í.</t>
  </si>
  <si>
    <t>2019-11-22 07:34:42</t>
  </si>
  <si>
    <t>Thy Minh Nguyệt</t>
  </si>
  <si>
    <t>100012266859157</t>
  </si>
  <si>
    <t>Momg ad duyệt bài cho e với ạ
Mọi người trong nhóm mình có ai đã từng điều trị mụn thịt và nốt ruồi ở vùng mắt chưa ạ. Mình nên đi thẩm mỹ viện hay là nên đi bệnh viện da liễu ạ, và khi bắn laze vậy có đau nhiều không và có dễ để lại sẹo hay thâm ko ạ
Em cảm ơn mọi người</t>
  </si>
  <si>
    <t>2019-12-14 16:49:00</t>
  </si>
  <si>
    <t>Hoài Thanh</t>
  </si>
  <si>
    <t>100000967183801</t>
  </si>
  <si>
    <t>Chào mn. Da mặt em trước giờ ok lắm. Em không xài gì cả. Nhưng khoảng vài tháng nay, lỗ chân lông xuất hiện đậm và thấy ghê như hình. Các anh chị có thể tư vấn giúp em dùng gì để cải thiện không ạ? 
(Em mới được tư vấn dùng mặt nạ đất sét của Kiehl’s. Đã mua và dùng được 2 lần nên chưa biết có hiệu quả hay không nữa... )😭😭😭</t>
  </si>
  <si>
    <t>2019-11-22 17:01:54</t>
  </si>
  <si>
    <t>100006752827107</t>
  </si>
  <si>
    <t>Gần lễ tết, các xị em mách dùm em làm sao hết thâm nhanh nhanh với ạ 😭😭 da em thuộc da hỗn hợp ạ 😭 em cảm ơn</t>
  </si>
  <si>
    <t>2019-12-08 14:43:41</t>
  </si>
  <si>
    <t>Thương Hoài</t>
  </si>
  <si>
    <t>100006334031290</t>
  </si>
  <si>
    <t>Ai đã từng bị mụn lưng như em thì sẽ hiểu nỗi khổ của em.
Em bị hồi tháng 4 lúc đầu bị ít nghe lời người ta mua men vi sinh gì đó xịt lên mấy ngày tan nát hết lưng mụn chi chít 
Đi spa nặn nhưng không có nhân mụn toàn máu không thôi 😫
Bắt đầu hoảng sợ e đi da liễu. E đi được 2 lần sau đó em bị sợ uống thuốc thuốc viên to cực kì nên em uống là em óy ra hết.
Lúc đó stress giữ lắm e phải đi mua lá trà xanh về rửa sạch rồi tắm, xen kẽ thoa chanh lên các bạn nên né chỗ có vết thương.
1 tuần em tấy tbc cafe 1 lần,tắm xà phòng của ấn, tối ngủ em thoa derma forte em mua ở tiệm thuốc tây lúc này e chỉ thoa tuýt này, sáng em thoa rau má cho da dịu điiii.
Cứ như thế à mà e có lấy nhân mụn mà mụn lưng cực kỳ đâu 😭. E phải gồng lắm mà nước mắt chảy ra 😂 nhưng nghĩ lại phải ráng để mặc đồ đẹp 😂.
Giờ lưng em còn thâm sương sương nên ráng dưỡng lại.
Chị em nào bị mụn lưng nên kiên trì đừng mất lòng tin ạ 😊
#munlung #chiase
Mong add duyệt bài ạ</t>
  </si>
  <si>
    <t>2019-10-27 01:17:02</t>
  </si>
  <si>
    <t>Nguyễn Thị Thùy Linh</t>
  </si>
  <si>
    <t>100026792841679</t>
  </si>
  <si>
    <t xml:space="preserve">#chiase #munlung </t>
  </si>
  <si>
    <t>Chào các tiền bối ah
Em đang muốn tìm một loại phấn nước hoặc phấn make úp nào có thể che khuyết điểm và kiềm dầu tốt ak
Dạ e là da dầu và bị thâm mụn
Em cảm ơn nhiều ak
#phankiemdauchekhuyetdiem
#manythanks</t>
  </si>
  <si>
    <t>2019-09-26 12:46:43</t>
  </si>
  <si>
    <t>Pham Tuyet</t>
  </si>
  <si>
    <t>100006006125523</t>
  </si>
  <si>
    <t xml:space="preserve">#manythanks #phankiemdauchekhuyetdiem </t>
  </si>
  <si>
    <t>Xin chào mọi người
Mũi em mới nâng được 1 tháng thì có thể sử dụng máy rửa mặt foreo mini 2 ở vùng mũi ko ạ . Tại mũi e rất nhìu mụn đầu đen . 
#Mụnđầuđen</t>
  </si>
  <si>
    <t>2019-12-23 11:04:44</t>
  </si>
  <si>
    <t>Khắc Tuyền</t>
  </si>
  <si>
    <t>100010097883897</t>
  </si>
  <si>
    <t xml:space="preserve">#Mụnđầuđen </t>
  </si>
  <si>
    <t xml:space="preserve"> #dadaumunan #helpme
Mọi người ơi giúp em với ạ. Da em cứ trời nóng lên là da lại đỏ như cà chua ý :((( Da em thuộc loại da dầu trước kia bị rất nhiều mụn trên trán và 2 má. Nhưng trị mụn xong da bị thâm, mụn ẩn và đỏ ở bên 2 má, Mn cho em xin ít riew để da hết đỏ và hết mụn ẩn đc k ạ :((</t>
  </si>
  <si>
    <t>2019-12-07 07:59:27</t>
  </si>
  <si>
    <t>Minh Minhh</t>
  </si>
  <si>
    <t>100034361826033</t>
  </si>
  <si>
    <t xml:space="preserve">#helpme #dadaumunan  </t>
  </si>
  <si>
    <t>#timkiem #sonmoi 
Các chị cho em hỏi màu này có dòng son nào có ạ?
em lấy ảnh này ở báo, giới thiệu là maybelline superstay matte ink, màu tìm trong bảng son, tìm lòi cảm mắt 😭😭😭 mà không thấy, các chị giúp em với ạ</t>
  </si>
  <si>
    <t>2019-07-30 13:31:06</t>
  </si>
  <si>
    <t xml:space="preserve">#sonmoi #timkiem </t>
  </si>
  <si>
    <t>#ask #đẹpchanhxả
Em thấy nhiều topic trao đổi về collagen nhưng em vẫn thắc mắc: 
1. Thời điểm nao bắt đầu uống colagen là hợp lý (từ 25t em đã bắt đầu uống không biết coa bị coi là sớm không?)
2. Uống đang nước hay dạng viên thì tốt hơn?
3. Mọi người đang sử dụng sản phẩm nào? Cảm nhận cũng như hiệu quả nthe nào ạ?
Mong ad duyệt bài. 😘</t>
  </si>
  <si>
    <t>2019-08-23 09:36:58</t>
  </si>
  <si>
    <t>Hà Thanh</t>
  </si>
  <si>
    <t>100001574112600</t>
  </si>
  <si>
    <t xml:space="preserve">#đẹpchanhxả #ask </t>
  </si>
  <si>
    <t>Da mặt e dễ bị đỏ với mụn ẩn da e thuộc da dầu mà hông bk sao mấy nay lạnh lại bong da liti mng cho e xin vài bước dưỡng da va trị mụn với ạ tết đến mông rồi 
Mong ad duyệt bài e ❤️</t>
  </si>
  <si>
    <t>2019-12-14 07:05:22</t>
  </si>
  <si>
    <t>Hảii Nguyễnn</t>
  </si>
  <si>
    <t>100022088341091</t>
  </si>
  <si>
    <t>Dạo gần đây sáng nào ngủ dậy cũng bị vài cục mụn trắng 😭 ai biết cách làm thế nào để hết khôngggggg
Mình đang dùng srm + toner + serum của some by mi</t>
  </si>
  <si>
    <t>2019-12-10 08:27:11</t>
  </si>
  <si>
    <t>Tống Diễm Quỳnh</t>
  </si>
  <si>
    <t>100029580707950</t>
  </si>
  <si>
    <t>#sonmoi 
Hello các chị , các chị cho em xin vài thỏi son có màu như dưới ảnh với ạ . Em đang đánh 3ce taupe nhưng dễ trôi quá 😭</t>
  </si>
  <si>
    <t>2019-11-12 12:17:45</t>
  </si>
  <si>
    <t>Thư Trần</t>
  </si>
  <si>
    <t>100027598486188</t>
  </si>
  <si>
    <t xml:space="preserve">#sonmoi </t>
  </si>
  <si>
    <t>1 bên là ăn son để chứng minh son không chì 😑 còn bẻn là lọ MTM đỗ xún đất hút ngược vài sài tiếp . Hông hiểu sao làm vậy được luôn ă☹️😕. Biết là bán hàng mà có cần làm quá dị hông . Bữa nào chắc cũng có người ăn kem trộn cho các chị coi khoảng thời gian trước trên Youtube có clip thỳ phải😳 . Bởi dùng đồ trộn quá nó tẫy luôn cái Não chắc teo còn bằng đầu núm dú của con bé em ở nhà quá😑😳</t>
  </si>
  <si>
    <t>2019-09-24 03:13:46</t>
  </si>
  <si>
    <t>Nguyễn Thảo My</t>
  </si>
  <si>
    <t>100039064911825</t>
  </si>
  <si>
    <t>vùng dưới mắt của mình bị nhăn
có cách nào trị ko ạ
#nhanmat</t>
  </si>
  <si>
    <t>2019-12-22 09:32:21</t>
  </si>
  <si>
    <t>Quân Nguyễn</t>
  </si>
  <si>
    <t>100037065437358</t>
  </si>
  <si>
    <t xml:space="preserve">#nhanmat </t>
  </si>
  <si>
    <t>#ask 
Em bị té xe được 2 tuần rưỡi và lành như này rồi. Giờ em thấy bị sẹo, khác màu với da bình thường.
Mọi người cho em hỏi giờ có thuốc trị sẹo gì tốt nhất để da nó bình thường lại ko ạ? Có cần kiêng cử gì ko ạ? Em cảm ơn mọi người nhiều ạ</t>
  </si>
  <si>
    <t>2019-12-05 08:30:00</t>
  </si>
  <si>
    <t xml:space="preserve">
 #maytrietlong
( cảm ơn ad đẹp duyệt bài ạ)
Tình hình là nhà mình e và bé e gái đều nhiều lông.  Lông tay. chân. Lưng....  Nói chung là full người lun ấy. Lâu nay 2 chị e cứ war rồi cạo các thứ rồi viêm lổ chân lông này kia.  Đang tính đi TRIỆT nhưng 2 chị e thì cũng chưa làm ra nhiều tiền mà triệt hết body cũng tốn kém với cả đi làm ko có time ra spa thường xuyên nữa ạ. 
Trước tình cờ có thấy bạn kia pr mấy cái loại TRIỆT LÔNG MINI TẠI NHÀ thấy cũng hiệu quả và tiện.  E lên mạng seag thì ra nhiều loại quá.  Bạn nào xài rồi cho e xin it thông tin về giá. Công dụng Và địa chỉ bán với ạ . E cảm Ơn mọi người nhiều :))) 
Em. Ở ĐÀ NẴNG nha.</t>
  </si>
  <si>
    <t>2019-05-12 09:38:02</t>
  </si>
  <si>
    <t>Nhu Y Pham Thi</t>
  </si>
  <si>
    <t>100014179482934</t>
  </si>
  <si>
    <t xml:space="preserve">#maytrietlong  </t>
  </si>
  <si>
    <t>#ask #daugoi 
Hi mọi người,
Da đầu mình da dầu, tóc ít, dễ rụng và rụng rất nhiều. 
Trước mình dùng dầu gội + xả của Dove thì tóc mượt, mềm nhưng rụng nhiều. Sau chuyển sang cặp gội xả của OXG loại màu tím thì tóc bớt rụng hẳn nhưng khô hơn rất nhiều luôn. 
Mình cũng có thử dùng gội này xả kia (Dove + OXG) nhưng tóc vẫn khô quá khô TT__TT
Mình cũng từng dùng qua Loreal loại màu đen nắp tím, The Bodyshop mùi chuối, Percy &amp; Reed loại dưỡng ẩm nhưng vẫn không hiệu quả. Đặc biệt là quỷ Loreal làm tóc mình rụng nhiều dã man.
Mọi người có loại gội xả nào làm tóc bớt rụng nhưng vẫn mềm và không nhanh bết không? 
Cảm ơn mọi người đã đọc.</t>
  </si>
  <si>
    <t>2019-10-19 17:09:01</t>
  </si>
  <si>
    <t>100030697672157</t>
  </si>
  <si>
    <t xml:space="preserve">#daugoi #ask </t>
  </si>
  <si>
    <t>mắt em các bác ạ đi đâu ai cũng khen là to như cắt mí ý nhưng khổ nỗi lúc nào nó cũng thâm không phải do em thức khuya mà em như vầy từ bé mặc dù đã sài rất nhiều kem trị thâm rồi sài phấn mắt hay kẻ mắt cũng không ăn phấn đánh như không đánh ý ạ. Có cao nhân nào chỉ em kem trị thâm và cách đánh màu mắt lên chuẩn không ạ chứ em nhìn mn make up em cũng thấy mê quá 🤦🏻‍♂️</t>
  </si>
  <si>
    <t>2019-12-07 13:18:39</t>
  </si>
  <si>
    <t>#ask #tips #đigiàycaogót
Xin chào mọi người. Em bình thường hay đi giày thể thao, sandal, không thích đi giày cao gót vì em không quen. Đi 5 phân thôi em đã muốn té rồi ý ạ T^T mà công việc sau này của em cần vài lần đi cao gót nên em muốn xin a/c chỉ cho e vài cách tập đi giày cao gót sao cho dễ đi.
Em cảm ơn ad đã duyệt bài và mọi người ạ ❤</t>
  </si>
  <si>
    <t>2019-07-28 16:50:55</t>
  </si>
  <si>
    <t>Li Zhuang</t>
  </si>
  <si>
    <t>100032153190089</t>
  </si>
  <si>
    <t xml:space="preserve">#đigiàycaogót #tips #ask </t>
  </si>
  <si>
    <t>Update: các bạn mến thương, các bạn vui lòng không share bài nhé, tôn trọng ý kiến riêng của mình xíu
-------------
không định viết đâu, cái sự tự ti về nám tàn nhang của mình bắt đầu từ những người thích khẩu nghiệp, xưa mình xinh xắn và có người yêu sớm năm đầu ĐH, yêu tha thiết sau khi chia tay (lý do mình k thể nói đc) buồn đi du lịch, đi không che chắn nên nám, quyết tâm tập gym cật lực cho đẹp và body rất đẹp thì bị đồn thổi là có bầu, chia tay nên bỏ thai nên mới bị nám, mới gầy đi, ngực mới to (ngực mình 93 lận) rồi suốt ngày bị ánh mắt soi mói, đi đâu ai cũng hỏi sao mới tý tuổi đã nám tàn nhang ??? Hồi đó làm gì có kiến thức làm đẹp đâu. Trầm cảm 1 tg rất dài, nó lại làm nám và tàn nhang càng đậm và nặng. Sau này quen người mới và lấy chồng thì họ vẫn tiếp tục chim lợn với chồng mình,.... nhiều vđề lắm. Nói chung m chỉ mong dù vô tình, đừng bodyshaming bất kì ai cả, người nghe sẽ stress lắm. Nám và tàn nhang không ảnh hưởng đến sức khỏe (không như béo phì hay gầy tong teo) nên ai bị nám tàn nhang quan trọng là chăm da thật khỏe và giữ vững sự tự tin yêu đời trước bình luận ác ý chứ đừng vội vàng chữa nám
------------------------------
  Hôm nay mình mới can đảm viết về làn da của mình. Bài hơi dài và mong hữu ích với các bạn. Xin lỗi vì toàn những hình ảnh không đẹp. Đừng ai bê bài của mình đi muôn nơi mà chưa hỏi ý mình nha
Mình 30 tuổi. Da mình không phải Rocesca nhưng bây giờ thành da yếu, mỏng, mẫn cảm do trải qua nhiều đợt làm tổn thương da. Mình viết theo trình tự thời gian nhé.
Do hồi xưa mình không che chắn cẩn thận khi đi nắng nên mặt bị tàn nhang, tuy vậy da vẫn khỏe bóng căng nên mình tự ti lắm, hồi đó cứ tự ti về ngoại hình sao ấy, chắc bị body-shaming nhiều, nhà mình da ai cũng đẹp có mỗi mình da xấu. Năm 2015, mình có nghe lời hứa hẹn lăn kim 1 chị người quen của 1 spa cỏ, Natural Spa chị Vân, làm thủ thư của ĐH Công Đoàn nên nghĩ yên tâm, sđt 098 230 06 32, đc 43 ngõ 167 Tây Sơn, sau ĐH Công Đoàn, lăn kim sau đó mụn lên chi chít, nặn mụn các kiểu rồi lại lăn kim, sản phẩm thì lởm nhưng bán giá trên trời, chỉ toàn gạ mua các đồ như srm của Amway (Artistry), kem dưỡng, nước hoa hồng cũng Artistry, sản phẩm trị mụn là lọ dưỡng chất Cá Mập của Trung Quốc, 3W clinic, kem nghệ vàng khè của Hàn mà toàn gần 2 triệu 1 món, gần 1 năm trời cứ như vậy da mình có sáng lên nhưng nám vẫn vậy, mình bỏ luôn, nhưng không hề để ý các bạn ah, da đã bị yếu đi rồi, sau đó lên mạng tự mày mò, bôi Serum trị nám của Murad, nhưng hồi đó đâu biết các loại kem trị nám đều làm bào mòn da đi,,
Sau đó tháng 10 năm 2017 mình đi bắn laser toning ở spa Doctor Skin 50 Yên Bái, hệ thống Spa 3 cơ sở HN có vẻ toàn xịn xò mà spa không có tâm, quảng cáo dùng đồ Dermalogica mà thực sự dùng srm The Face Shop, kem dưỡng toàm đồ trung bình của Hàn, đáng lẽ ra bắn vậy phải cách nhau ít nhất 10-14 ngày thì 1 tuần bắn 1 lần, da bị bào mòn kinh khủng và sau đó gạ làm nâng cơ hifu 2,5 triệu, da lại bị tổn thương,
Tháng 6 năm 2018 mình đặt niềm tin vào laser spa Divine số 2 Hàng Chuối, thì chao ôi, mình mua 6 buổi laser 3,6 triệu, laser công nghệ cũ, sau 1 lần là đỏ mặt và ngứa rát châm chích khi bôi mỹ phẩm như Nivea, Clinique, Laneige, sau đó nhân viên cứ đổ tại mình không chịu dưỡng da, trong khi mình dưỡng rất chăm luôn, còn xúi ngày nào cũng đắp mask HA dưỡng ẩm, trong khi da nhậy cảm đắp mask như vậy sẽ bị mụn li ti, Spa trên phố, xịn xò như vậy mà nhân viên lẫn quản lý không hiểu biết gì luôn các bạn ah, mình cố đi hết 5 buổi chỉ để đẩy tinh chất và đắp mặt nạ chứ không cho làm laser nữa.
Thú thật mình tự ti xấu hổ lắm lắm, chán quá rồi, da mỏng yếu đến mức nấu ăn hơi nước bốc lên cũng đỏ lừ mặt nhưng vẫn muốn hết sạch tàn nhang và nám. Mình uống hết 1 hộp Transino trị nám loại 1.4 triệu/hộp. Tháng 12 mình đi laser chỗ Paula’s Choice ở Mai Anh Tuấn, sau 1 buổi thì đóng mày và sau đó bong, vì da mình quá mỏng nên bạn nhân viên phải bắn laser 3 lần mới hết, nhưng mình chỉ bắn 2 lần thôi, vẫn còn vết nhưng thôi, , che chắn rất kĩ càng để không nám, không tăng hắc sắc tố trở lại, kem cn bôi thật dày, cứ 3h bôi lại 1 lần. Giờ chăm da kỹ lắm, rửa mặt bằng nước đã qua máy lọc vì nước buổi sáng nhiều Clo quá, đeo 2 khẩu trang, rửa mặt bằng máy Foreo và srm của Laroche Posay dành cho da siêu nhạy cảm, không dùng được kem tẩy trang và dùng máy Belulu làm sạch da (máy Belulu tương tự như máy chăm sóc da Hada Crie nhưng giá mềm hơn), toner Mamonde Toner này nguyên chất hoa hồng 99% nên rất thích nhưng hình như nó không có tác dụng gig mấy, dùng máy Belulu đẩy serum Rosaliac của LRP xen kẽ serum B5 Skinceuticals, đẩy kem dành cho da nhạy cảm LRP Toleriane Ultra Light, sau đó kem chống nắng Cell Fusion C đỏ, mask Dr jart Cicapair cho da nhạy cảm, mask Mediheal NMF cái Mediheal vẫn có mùi cồn nhẹ nha-1 tuần 2 lần đắp Dr Jart thi thoảng mới Mediheal NMF, hàng ngày uống Collagen shiseido và Viên Aqua rich Innerb xen kẽ, da cũng đỡ nhạy cảm hơn, tuy nhiên sau khi rửa mặt và điện di serum, cream bằng máy Belulu thì vẫn hơi đỏ, quanh khóe miệng vẫn lộ mạch máu 😞 không biết có sản phẩm nào tốt hơn không a? Mình soi gương nhìn da mình là xót ruột. 1 số ảnh sản phẩm ở sau cùng đấy ah (mình không post ảnh theo trình tự thời gian đc, vui lòng xem chú thích ở các ảnh nha) Thân mến chào cả nhà, đừng ai comment ném đá nha
#nam  #tannhang #danhaycam #damongye</t>
  </si>
  <si>
    <t>2019-10-30 13:34:13</t>
  </si>
  <si>
    <t>August Xanh</t>
  </si>
  <si>
    <t>100016167693304</t>
  </si>
  <si>
    <t xml:space="preserve">#damongye #danhaycam #tannhang #nam </t>
  </si>
  <si>
    <t xml:space="preserve">Hi cả nhà, 
Cho mình hỏi có bạn nào biết đầu móng tay mình bị như vậy là có bị nấm hay bị gì không ạ? 
Đợt rồi mình làm móng liên tiếp 3 lần sơn gel nên móng mình bị mỏng và có hiện tượng như trên , mình quan sát bên trong phần thịt dưới móng thì nó tự hở tạo thành vết trắng như mình khoanh tròn dưới hình 😢 
Và có cách nào giúp móng dày trở lại và cứng móng ko ạ, vừa mỏng vừa yếu ko làm được gì 😭 
Mong ad duyệt bài của mình ❤️
</t>
  </si>
  <si>
    <t>2019-12-25 04:09:31</t>
  </si>
  <si>
    <t>Mai Phương</t>
  </si>
  <si>
    <t>100021315940751</t>
  </si>
  <si>
    <t xml:space="preserve">
#tangcan
#help
Lần thứ 2 em viết bài để mong nhận được sự góp ý của mọi người trong nhóm ạ.
Em rất mất tự tin về thân hình cò hương của em. Cụ thể em cao m58 nhưng chỉ nặng có 41 kg. Người em nó phằng lì tư trên mà xuống 😌
Em đang tìm kiếm các cách đê tăng cân, tăng cơ nhưng không tăng mỡ ( hoặc tăng rất ít). Em có tìm hiểu về các chế độ ăn Eat Clean hay thực phẩm chức năng nhưng em vẫn hoang mang quá. 
Trong nhóm mình có ai gầy kinh niên nhưng đã cải thiện đc thì chia sẽ cho em làm cùng với ạ??
Em cảm ơn mọi người  💋</t>
  </si>
  <si>
    <t>2019-10-19 16:47:21</t>
  </si>
  <si>
    <t>Loan Trann</t>
  </si>
  <si>
    <t>100007832203220</t>
  </si>
  <si>
    <t xml:space="preserve">#help #tangcan  </t>
  </si>
  <si>
    <t>Mọi ng có ai dùng ủ tóc này chưa ạ cho e xin tí review tiện thể ai biết ủ loại tốt chỉ e với ạ
#review #ủ #tóc</t>
  </si>
  <si>
    <t>2019-06-05 07:01:00</t>
  </si>
  <si>
    <t>Trương Thu Hoài</t>
  </si>
  <si>
    <t>100004426846301</t>
  </si>
  <si>
    <t xml:space="preserve">#tóc #ủ #review </t>
  </si>
  <si>
    <t>#tuvan #xitphong
Cảm ơn admin đã duyệt bài ạ. Post này em không hỏi về làm đẹp mà hỏi về vấn đề khử mùi phòng ngủ ạ.
Chuyện là nhà em chỉ có 1 phòng ngủ, em ở cùng anh 2. Trước kia em còn ngủ chung phòng nhưng vì ko chịu nổi mùi hôi nên em phải chuyển ra phòng khách ngủ cho thoáng. Đồ đạc cá nhân vs tủ đồ vẫn để trong phòng nên em vẫn ra vô phòng đó. Dù có phân chia đứa nào ở đâu thì dọn đó nhưng anh em siêu lười siêu bẩn, khiến phòng ngủ bốc mùi rất nặng làm ảnh hưởng cả em. Mỗi lần anh em về nhà là đóng kín phòng, đóng cửa sổ kéo rèm lại r bật điều hòa. Tắm xong người còn ướt mà nằm lên nệm luôn nên lâu dần phòng bị ám mùi ẩm mốc. Mỗi lần đang ngủ ngon mà ổng mở cửa phòng là mùi như mùi chuột chết pha với mùi mốc xông vô mũi, gây ngộp thở (ngột thở thật sự) làm em tỉnh giấc luôn. Ah bonus thêm mùi nc hoa nồng nặc ổng dùng đi làm nữa😂 Em toàn phải canh ổng ko có nhà để mở cửa, kéo rèm cho ánh sáng vô phòng. Phải 1h sau mùi mới đỡ lận.
Chung là em đã lau phòng cho, xông nhà r xịt phòng, sáp thơm các kiểu mà mùi chỉ giảm đi 1 ít. Mấy bạn mấy chị có cách gì giúp phòng lưu hương lâu thì chỉ em với, em cảm ơn ngàn lần luôn 😭 
P/s: đừng ai nói em phải nói riêng vs ổng để cải thiện tình hình, nói 2 lần ko thay đổi dc nên em mới phải ra ngoài ngủ. Kiểu ổng quen dc phục vụ vs dc dạy "con trai nó biết gì đâu nên kệ đi" thành ra ổng để mặc cái phòng bay mùi v luôn 😔</t>
  </si>
  <si>
    <t>2019-11-28 23:53:29</t>
  </si>
  <si>
    <t>Hoàng Giang</t>
  </si>
  <si>
    <t>100005818596479</t>
  </si>
  <si>
    <t xml:space="preserve">#xitphong #tuvan </t>
  </si>
  <si>
    <t>Chào ad và mọi người. Em là mem mới ạ 
Đầu tiên em xin lỗi vì up quả ảnh bị ghê quá :&lt;
Em mới 18t vào năm nhất đại học. Nhỏ lớn về răng miệng mẹ đều lo cho em rồi từ khi thay răng đến giờ em cũng k biết chăm sóc như nào ngoài đánh răng sáng tối và sau khi ăn. Em có súc miệng = nước muối sinh lý nữa
Trc kia răng miệng em rất tốt nhưng gần đây em ăn uống k đều độ chắc do thiếu dinh dưỡng rồi bị viêm nướu bên hàm trái (em chuyển sang nhai bên phải) rồi em cũng search gg thấy thiếu vitamin C thì em ăn cam nhiều vào rồi nó hết. Sau đó lại chuyển sang bị hàm phải bị như 1 lớp trắng mềm bao bọc nướu chân răng rồi em lấy tăm bông vệ sinh thì lại ra máu và có mùi hôi. Em thật sự không biết ra sao và em sợ đi nha khoa lắm. Mong đc ad duyệt và đc mọi người giúp đỡ ạ 
 #răng #help</t>
  </si>
  <si>
    <t>2019-10-25 13:16:53</t>
  </si>
  <si>
    <t>100030858677312</t>
  </si>
  <si>
    <t xml:space="preserve">#help #răng  </t>
  </si>
  <si>
    <t>Chào mn 
E là tvm năm nay e 16+ 
Mn cho e xin vài tip trị mụn ẩn và mụn đầu đen với ạ. E da thường bửa h k có skincare, 2 ngày gần đây e tập skc nên mua 1 bộ Loeal bao gồm tẩy trang và sữa rửa mặt nhưng khi tẩy trang với rửa mặt xong mặt e bị ửng đỏ lên tới sáng mới hết, mụn thì e xài serum Jiuhe nhưng k có dấu hiệu giảm mn nghĩ e có nên xài tiếp k ạ 
Giúp e với ạ help mee
Ad duyệt giùm em</t>
  </si>
  <si>
    <t>2019-11-24 10:20:17</t>
  </si>
  <si>
    <t>Mong ad duyệt bài giúp mình với ạ!!
Mng ơi cho mình hỏi anh trai mình bị ntn thì nên sài cái gì ạ ?? Đã đi spa theo liệu trình trị mụn nhưng nó vẫn ko hết , mình tính mua combo trị mụn của La roche-posay được ko ạ . Anh mình Da dầu , mng ai bị rồi chỉ giúp mình vớiii . Cám ơn mng nhiều ạ</t>
  </si>
  <si>
    <t>2019-12-10 08:19:41</t>
  </si>
  <si>
    <t>Tue Nhi</t>
  </si>
  <si>
    <t>100015257355991</t>
  </si>
  <si>
    <t>Có ai bị thế này chưa ạ, ko ngứa, ko rát, mình nhìn thấy mới biết luôn ạ. Mình có bé 11m, bé bây giờ cũng bị i mình vậy, nhìn giống vẩy nến nhưng mình lại ko ngứa ạ 😔</t>
  </si>
  <si>
    <t>2019-12-15 14:13:54</t>
  </si>
  <si>
    <t>Chào mọi người, tớ ở trong group cũng được tầm 1 tháng rồi nay mới dám đăng bài. Mọi người có cách nào hoặc sản phẩm dưỡng trắng da body và mặt nào tốt k gây bết dính giới thiệu cho tớ biết với 😭 khổ nỗi da đen từ khúc khủyu tay xuống bàn tay, đầu gối, bàn chân, mặt xuống cổ 😭 phần còn lại trắng lắm phơi nắng mấy nó cũng k hề đen luôn... Da body chưa hề sd sp làm trắng nào luôn ấy ạ 😭 da đen bị chê quá ạ 😭
Lần đầu đăng bài có sai sót m.n bỏ qua cho ạ ☺️
#ask
#duongtrangda</t>
  </si>
  <si>
    <t>2019-10-29 15:27:38</t>
  </si>
  <si>
    <t>Phạm Lê</t>
  </si>
  <si>
    <t>100010143340703</t>
  </si>
  <si>
    <t xml:space="preserve">#duongtrangda #ask </t>
  </si>
  <si>
    <t>#review
Mọi người ơi có ai sử dụng máy phun sương này chưa ạ? Dùng có ổn ko nhỉ? Mùa này cấp ẩm cho mặt không kịp là lại bóng nhờn dầu, ai sử dụng rồi review cho e với, thấy giá cũng rẻ chẳng biết thế nào ạ.</t>
  </si>
  <si>
    <t>2019-05-28 03:02:03</t>
  </si>
  <si>
    <t>Mai Quỳnh Vũ</t>
  </si>
  <si>
    <t>100004350969426</t>
  </si>
  <si>
    <t xml:space="preserve">
#ask
#tóc
Mọi người cho e hỏi làm tóc xoăn có bị rối k ạ? Trước đây e làm tóc xoăn rất khó chải. Jo k biết nên để tóc ngắn hay tóc dài mọi người cho e ý kiến nên để tóc ngắn hay dài thì dễ chăm sóc và vào nếp ạ. E có con nhỏ nữa. Bây jo e để tóc ngang vai khi cột tóc cao bị đau da đầu quá.</t>
  </si>
  <si>
    <t>2019-09-18 02:40:51</t>
  </si>
  <si>
    <t>Quỳnh Trâm</t>
  </si>
  <si>
    <t>100007628762708</t>
  </si>
  <si>
    <t>Chào cả nhà nhé.
Nhà mình ai đã sử dụng gel trị thâm B5 của La Roche Posay hay Pure Vitamin C thì cho em xin review với ạ. 
Trước đó em có dùng Red Peel( một tuần một lần)thì nó có hiện tượng đẩy mụn ẩn nên nhiều.Em dùng thêm cả trị mụn Duo+ của La Roche Posay nữa.
Hiện trạng da mặt em bây giờ là có mụn thâm ở hai bên má và cằm.Còn nhìn kĩ thì sẽ thấy hơi sần sùi ạ. 
Còn ai có sản phẩm nào thiên về trị thâm tốt thì chỉ giúp em với nhé. Em cám ơn ạ!</t>
  </si>
  <si>
    <t>2019-11-07 09:03:01</t>
  </si>
  <si>
    <t>E chào mọi người ạ. Da em hiện lỗ chân lông rất to và trên mũi có mụn đầu đen, chưa kể có ria mép  ôi trời ơi con gái mà bao nhiêu cái xầu nó dồn vào cái mặt em. Các chị có cách nào mách giúp với với ạ. Em thật sự cám ơn, chớ e tự ti quá rồi các chị ơi 😭😭😭</t>
  </si>
  <si>
    <t>2019-12-04 04:56:21</t>
  </si>
  <si>
    <t>100006049630659</t>
  </si>
  <si>
    <t>#ask #handmade #review
Hi mọi người, em thấy càng ngày các sản phẩm made in vietnam càng ngày càng được chuẩn bị chu đáo từ hình thức đến chất lượng. Thật sự là nhiều loại nhìn mê kinh khủng vì bao bì quá đẹp. Nhưng em rất e dè vì không biết thật sự chất lượng như thế nào. Nên em muốn hỏi mọi người có ai đã sử dụng các sản phẩm handmade của VN từ các shop nào có thể review cho mọi người cùng biết được không ah?
Một số shop em thấy rất nổi tiếng như: heracles, sulshop, brownyscrub, trạm 69, vspa,......
Edit: có nhiều review về các loại kem của nhiều shop khác nhau, mng khen tác dụng nhưng sao em vẫn sợ chứa các chất khi xài thì đẹp ngưng thì hết như corticoid í. 
Edit: Các shop em nhận được review khá tích cực: trạm 69, brownyscrub, mặt nạ tươi xinh lắm cơ í, the jungle herb, sulshop, M’lalin (mình kh tìm dc ig), sunday beauty, milaganics (nhãn hàng lớn bán ở siêu thị)</t>
  </si>
  <si>
    <t>2019-05-07 14:44:02</t>
  </si>
  <si>
    <t>Phạm Đăng Yến Nhi</t>
  </si>
  <si>
    <t>100009203751812</t>
  </si>
  <si>
    <t xml:space="preserve">#review #handmade #ask </t>
  </si>
  <si>
    <t>#tip #ask #duongtoc
Có ai mê kẹp càng cua như em không ? Đây là tóc e kẹp đc 1 ngày e kẹp qua đêm luôn , đêm thì kẹp lỏng 1 tí cho da đầu dễ chịu . Gội đầu xong e để khô tầm 90% rồi kẹp em thấy quăn lọn xịn xò k kém gì đi uốn thật luôn í . Sẵn tiện cho e hỏi loại xịt dưỡng hay ủ tóc cho tóc khô xơ hay rụng giá hạt dẻ với ạ</t>
  </si>
  <si>
    <t>2019-08-19 23:18:13</t>
  </si>
  <si>
    <t>100010573573733</t>
  </si>
  <si>
    <t xml:space="preserve">#duongtoc #ask #tip </t>
  </si>
  <si>
    <t>Em định đi tẩy nốt ruồi nhưng em sợ đau, sợ để lại sẹo và nó lại lên lại. Em đang phân vân giữa tẩy bằng laser với bôi thuốc. Các chị em cho em xin ít review tẩy nốt ruồi với ạ</t>
  </si>
  <si>
    <t>2019-11-23 12:20:02</t>
  </si>
  <si>
    <t>Ngô Kim Yến</t>
  </si>
  <si>
    <t>100011584241980</t>
  </si>
  <si>
    <t>Mọi người ai giúp em với ạ huhu
Da em hiện tại như thế này ạ. Do ở ktx nước bẩn nên càng lên nhiều hơn :(((</t>
  </si>
  <si>
    <t>2019-12-04 03:36:13</t>
  </si>
  <si>
    <t>Nguyễn Lê Bảo Trân</t>
  </si>
  <si>
    <t>100027632880217</t>
  </si>
  <si>
    <t>Chào mọi người. Mọi ng có thể tư vấn giúp mình để da mịn màn lại được ko. Mình mới sanh xong ma da bị mụn ẩn nám nhẹ + tàn nhan. Bây h nhiều loại mỹ phẩm quá mình ko biết xài loại nào 😭. Tks mọi người</t>
  </si>
  <si>
    <t>2019-12-21 09:35:36</t>
  </si>
  <si>
    <t>Thanh Xanh Lá</t>
  </si>
  <si>
    <t>100006448653745</t>
  </si>
  <si>
    <t>#ask #trịmụn 
Chào mn, cho em xin tất tần tật về sản phẩm, phương pháp trị mụn với ạ 😭 em đi da liễu luôn rồi mà không xi nhê gì , ở ngoài nhiều hơn ạ 😞 
Cảm ơn ad duyệt bài
Cảm ơn mn rất nhiều</t>
  </si>
  <si>
    <t>2019-03-07 08:15:08</t>
  </si>
  <si>
    <t>Hie</t>
  </si>
  <si>
    <t>100018152102674</t>
  </si>
  <si>
    <t xml:space="preserve">#trịmụn #ask </t>
  </si>
  <si>
    <t>Mặt mình bị mụn sau một thời gian dùng thuốc kháng sinh do phẫu thuật ạ. Hiện tại mình kh tìm được sản phẩm nào để trị mụn cả ạ. Mình có dùng srm centaphil với nước muối sinh lý để rửa mặt ạ. Thời gian này mình có uống nước đậu đen ( nghe người lớn bảo uống nước này cho mát ) mình uống có cảm giác những nốt mụn nó khô đầu và rụng ạ. Mặt mình hiện tại có bên thì rờ vào cảm giác kh còn mụn không cộm mà chỉ còn thâm thôi ạ. Mọi người có thể cho mình tuýp sản phẩm nào để trị mụn với thâm kh ạ. Mình uống nước đậu đen cứ thấy cơ thể mình càng ngày càng ốm ấy ạ. Do mình cũng đã ốm rồi ạ ( 21 tuổi - 1m56 mà chỉ 43kg thôi ạ ). Cảm ơn mọi người nhiều ạ. ❤️</t>
  </si>
  <si>
    <t>2019-11-03 03:50:00</t>
  </si>
  <si>
    <t>Lê Thị Xuân Quỳnh</t>
  </si>
  <si>
    <t>100009565890071</t>
  </si>
  <si>
    <t xml:space="preserve">
Mn ơi ai biết sản phẩm gì trị thâm tốt thì chỉ em với ạ ❤️ em cảm mơn mn nhiều 😍</t>
  </si>
  <si>
    <t>2019-10-26 00:28:29</t>
  </si>
  <si>
    <t>Đoàn Ngọc Hậu</t>
  </si>
  <si>
    <t>100023154579638</t>
  </si>
  <si>
    <t xml:space="preserve"> #damong #help
Đây là stt em khẩn cầu xin ad duyệt dùm em 😭
Chẳng là da em là da mỏng bẩm sinh. Hiện giờ da em đang ở mức mỏng vô cùng, trước đây cũng mỏng nhưng bây giờ mỏng tới nỗi nổi gân xanh xanh tím tùm lum em rất lo lắng 😭
Một phần do tính chất công việc nên em phải makeup hàng ngày, em tẩy trang và skincare rất kĩ nên em nghĩ không biết có phải do dùng mỹ phẩm nhiều quá nên nó bào mòn da hay không! 
😢Vậy nên các chị đẹp có loại mỹ phẩm nào làm tái tạo và phục hồi da không ạ 😭 em cám ơn các chị nhiều ạ!!!
#edit: Em là người rất coi trọng làn da nên không bao giờ em xài kem trộn hay hàng xi hàng đểu gì!! Em cám ơn ạ</t>
  </si>
  <si>
    <t>2019-12-04 11:14:42</t>
  </si>
  <si>
    <t>Nguyễn Phương Thảo</t>
  </si>
  <si>
    <t>100007810148836</t>
  </si>
  <si>
    <t xml:space="preserve">#edit #help #damong  </t>
  </si>
  <si>
    <t>#Khửthâmmôi
Mng ơi có ai từng đi khử thâm môi rồi chia sẻ giúp em với ạ.Thợ nói là khử xong thì cỡ 1-2 tiếng sẽ hết sưng nhưng từ hôm qua đến giờ vẫn bị sưng như vậy.Cho em hỏi với tình trạng này thì bao giờ nó mới bong ra trở về tình trạng bình thường ạ.Vì t5 em có việc quan trọng nên không thể để như vậy ra đường đc ạ😭</t>
  </si>
  <si>
    <t>2019-09-02 05:40:22</t>
  </si>
  <si>
    <t>Nguyễn Ngọc Tường Vy</t>
  </si>
  <si>
    <t>100028220645219</t>
  </si>
  <si>
    <t xml:space="preserve">#Khửthâmmôi </t>
  </si>
  <si>
    <t>#Ask #tangcan  Help có ai bị như em không ăn mãi mà không tăng cân,mà chỉ cần nhịn 1,2 bữa là xuống cân ầm ầm.Ai có type gì giúp tăng cân không ạ,chứ em gầy quá mặc quần áo như mắc treo quần áo 😭😭</t>
  </si>
  <si>
    <t>2019-12-06 00:48:59</t>
  </si>
  <si>
    <t>Thâng Còii</t>
  </si>
  <si>
    <t>100033199694152</t>
  </si>
  <si>
    <t xml:space="preserve"> #tangcan #Ask </t>
  </si>
  <si>
    <t xml:space="preserve">Mọi người ơi cho em hỏi sản phẩm trị thâm sau mụn nào ok ạ, da em thuộc tuýp da dầu ạ. Em cảm ơn.
Mấy chị đừng rũ em dùng kem trộn nữa :( 
</t>
  </si>
  <si>
    <t>2019-11-13 11:31:40</t>
  </si>
  <si>
    <t>黃飞莺</t>
  </si>
  <si>
    <t>100022218461217</t>
  </si>
  <si>
    <t>Mọi người cho em hỏi Serum Snail TrueCiCa dùng ổn không ạ... 
Chủ yếu để trị thâm + đều màu da... 
Hiện tại e đang dùng : đêm
Srm : Hiruscar
Toner : klairs
Serum : C kilaris ( gần như không còn thấy tác dụng nữa ) đã 3 tháng , mờ thâm chậm , không thu nhỏ đc lỗ chân lông , e định đổi qua Snail TrueCiCa
Kem Klairs Xanh
Chấm thâm neotips
Ngày : cấp nước klairs , chấm thâm neotips và ... 
Tất nhiên không thiếu tẩy trang... 
Mọi người tư vấn em với ạ... 
Công việc e là sửa điện thoại nên ngồi nhiều trước ánh đèn , và sử dụng nhiệt nữa... 
( có khẩu trang y tế )
Mong ad duyệt em.
#HỏiDap</t>
  </si>
  <si>
    <t>2019-11-05 00:52:32</t>
  </si>
  <si>
    <t xml:space="preserve">#HỏiDap  </t>
  </si>
  <si>
    <t>Hôm qua em mới tông con chó =)) có cách nào cho bớt sẹo không mọi người</t>
  </si>
  <si>
    <t>2019-12-22 01:41:31</t>
  </si>
  <si>
    <t>100006111497623</t>
  </si>
  <si>
    <t>Mọi người cho em hỏi mấy cái mụn này là mụn gì vậy ạ e định ra spa nặn nhưng vì sợ spa thấy mụn gì cũng đè ra nặn để lại sẹo hoặc bị nặng hơn 
Mong anh chị giúp đỡ 
Em cám ơn nhiều ạ :&lt;</t>
  </si>
  <si>
    <t>2019-12-05 14:18:52</t>
  </si>
  <si>
    <t>Hân Kim</t>
  </si>
  <si>
    <t>100041201310135</t>
  </si>
  <si>
    <t>Mọi người tư vấn giúp em với ạ
Đây là tình trạng da em hiện tại: - Mụn viêm sưng mọc nhiều ở vùng cam và xung quanh xương hàm.- má ít hơn, mụn đầu trắng.- Trên mặt em giờ rất nhiều sẹo thâm do mụn nữa ạ.
Em không biết có phải mụn nội tiết Ko và phân Vân có nên đi khám da liễu hay nội tiết. Hay điều trị tại nhà, skincare trước ạ? 
Hiện tại em chỉ dùng: Tẩy trang bio xanh, srm hạt nghệ của thorakao, kcn của innisfree. 
Em cảm ơn mọi người nhiều ạ.</t>
  </si>
  <si>
    <t>2019-12-11 07:20:49</t>
  </si>
  <si>
    <t>Le Thanh Thao</t>
  </si>
  <si>
    <t>100012301398436</t>
  </si>
  <si>
    <t>Em mới sinh viên năm nhất nên em rất chú trọng đến vấn đề làm đẹp đặc biệt em rất thích nhuộm tóc ( Con gái ai cũng thích làm đẹp, m.n đừng chửi em đú tội em). Trong vòng 2 tháng em đã thay 3 màu tóc. Lần đầu em nhuộm em đã nâng tone để nhuộm màu đỏ cam, bạn em có nói lúc chải tóc nhuộm tóc em rụng nhiều nhưng em cũng chỉ nghĩ là rụng lúc này thôi sau nó mọc tiếp hoặc k tụng nữa 😓
Lần 2 em nhuộm là màu đỏ, đơn giản chỉ là do tóc mọc chân đen nên em nhuộm màu khác luôn. Em thấy tóc em nó rụng thực sự nhiều, gội đầu thì bị rít tóc mà em để mái nên hay bết mái thế là cứ gội mà gội nhiều thì màu lại nhanh phai mà em thì mùa hè hay đông cũng cứ phải tắm bằng nước ấm nên màu cứ thế là phai 😞
Thấy tóc rụng em lo nên em nhuộm sang màu nâu ( vì em nghe nói nhuộm đem còn hại hơn, nên em mới nhuộm nâu để tóc có lên chân đen cũng k quá gớm) do em đã nâng tone hoặc nhuộm những màu sáng nên khi nhuộm nâu nó vẫn sáng. Và tóc em thì vẫn cứ rụng. Em để màu này đã 1 tháng rồi và lên chân đen cũng khá nhưng vẫn rụng tóc nhiều😢
Em vô cùng hoang mang và em định gần tết sẽ nhuộm tiếp ( em dự từ lâu gần tết sẽ nhuộm xanh mà thấy tóc vậy nên em hoang mang và lên đây xin tips, không được thì em thôi nhuộm) Em thấy nhiều hotgirl hoặc ulzzang thay màu xoành xoạch mà sao trông tóc vẫn kiểu bóng khoẻ. Tóc em ban đầu rất dày giờ còn có ít😰
Có chị nào có tips hoặc kinh nghiệm nào chia sẻ giúp em với ạ! Em thực sự cảm ơn.
Em đã edit trong ngoặc để giải thích cho m.n ạ
#toc</t>
  </si>
  <si>
    <t>2019-11-30 15:26:18</t>
  </si>
  <si>
    <t>Hà Lưu</t>
  </si>
  <si>
    <t>100007881521634</t>
  </si>
  <si>
    <t xml:space="preserve">#toc </t>
  </si>
  <si>
    <t>#vếtbầmmắt
Em chào anh/chị 
Em muốn xin cách làm cho vết bầm mắt kia mau hết ạ 
Em bị ngã xe nên mặt cà đường  1 trust ban đầu thấy mỗi bị trầy nhẹ mà không hiểu sao sang hôm sau nó bầm híp cả mắt lại , em có uống alphachoay (chườm đá trong 24h đầu và sau đó chuyển sang chườm nước nóng )mà nó chuyển sang tím đậm hơn luôn:&lt;&lt;
Em xin cảm ơn !!!</t>
  </si>
  <si>
    <t>2019-12-21 18:06:43</t>
  </si>
  <si>
    <t>100023825182939</t>
  </si>
  <si>
    <t xml:space="preserve">#vếtbầmmắt </t>
  </si>
  <si>
    <t>Đợt gần đây mặt mũi tự dưng đen + mụn + béo
Anh chị em có cách nào giúp em được không ạ? Nhưng phải an toàn ạ? Em cảm ơn ạ</t>
  </si>
  <si>
    <t>2019-11-24 10:20:48</t>
  </si>
  <si>
    <t>Đỗ Quí Dương</t>
  </si>
  <si>
    <t>100042184113741</t>
  </si>
  <si>
    <t xml:space="preserve">
#phuchoi
#trimun
Mọi người ơi giúp mình với.. Thật sự bây h mình rất bất lực với cái mặt của mình.. Mình dùng tt với srm laroche.. Tdc rostte xanh...Xịt khoáng aven.. Kem dưỡng phục hồi bio tím.. Chấm mụn klenzitc .. Với megaduol nhưng mặt mk vẫn k cải thiện mấy.. Nó cứ ửng đỏ và bị viêm miết.. Mk thấy da mk rất yếu và mỏng vậy đó.. Cứ chấm mụn già r mk đi nặn nhưng cái khác lại lên.. Mặt lúc nào cũng nhờn và mụn ẩn chi chít nổi trên bề mặt và cả dưới da. Mk có uống l-cystin với kẽm và vtm c.. Bây h mk hết cách rồi ạ.. Mn giúp mk với hay do mk dùng sai cách hay sai sản phẩm j k ạ.. Cảm ơn mn nhiều</t>
  </si>
  <si>
    <t>2019-12-01 09:11:06</t>
  </si>
  <si>
    <t>Heo Ngốc</t>
  </si>
  <si>
    <t>100022094977885</t>
  </si>
  <si>
    <t xml:space="preserve">#trimun #phuchoi </t>
  </si>
  <si>
    <t>Mong ad duyệt bài giúp e...
Có ai dùng qua loại này chưa ạ? 
Tình hình là e bị mụn đang trị ngoài spa và bong da ntn ak...họ bảo bong cong mua loại kia về bôi tái tạo da...
Mọi ng cho e hỏi có nên mua dùng K ạ? Hay nên dùng loại nào để tái tạo da cho tốt ạ</t>
  </si>
  <si>
    <t>2019-11-28 04:58:26</t>
  </si>
  <si>
    <t>Hồ Hy Vũ</t>
  </si>
  <si>
    <t>100013927480106</t>
  </si>
  <si>
    <t xml:space="preserve">#ask Mong ad duyệt bài sớm giúp em ạ 
Em chào anh chị. Em biết đây là nhóm làm đẹp về da nhưng em muốn xin anh chị hoặc bạn nào đã từng niềng răng trong nhóm rồi cho lời khuyên tư vấn niềng răng. Em cũng có đăng trong nhóm niềng răng rồi nhưng k có phản hồi nhiều lắm ạ. 😓
Em năm nay 21 tuổi. Răng em bị hô. Hiện tại em đang muốn đi niềng răng luôn. Nhưng có vấn đề là tầm tháng 7 tháng 8 sau khi tốt nghiệp xong em đi nước ngoài làm việc (cụ thể là ở Đài Loan ) Tính đến thời điểm đó niềng chắc chỉ được nửa năm thôi ạ. Mà nếu niềng bên VN thì chị phí rẻ hơn nhưng e sợ là lỡ dở vì phải đi nước ngoài. Nhưng nếu niềng bên Đài Loan thì chị phí cao hơn rất nhiều 😔. Anh chị cho em lời khuyên với ạ. Nên niềng ở đâu ạ? Trong thời gian niềng có phải đến thăm khoa nha khoa thường xuyên k ? E muốn niềng ở VN để đỡ chi phí hơn nhưng k biết có đảm bảo được k. Tiện anh chị cho em xin địa chỉ niềng răng uy tín ở Hà Nội với ạ. 
Ảnh dưới đây là răng của em ạ. 
Em lần đầu viết bài, văn phong lủng củng mong anh chị bỏ qua ạ.
</t>
  </si>
  <si>
    <t>2019-12-25 05:29:55</t>
  </si>
  <si>
    <t>Mai Ngô</t>
  </si>
  <si>
    <t>100035782148579</t>
  </si>
  <si>
    <t>Mọi người ơi gần tết đến nơi mà da e đổ dầu và mụn ẩn nhiều 
Em thì ngưng sài srm và serum trị mụn 1 thời gian rồi ạ 
Mụn ẩn nhiều thế này mọi người chỉ cách giúp e hết với , đa số e bị mụn ẩn ở chân mày mà gần quanh miệng còn dứ cằm chỉ là thâm mụn để lại ạ</t>
  </si>
  <si>
    <t>2019-12-19 23:22:55</t>
  </si>
  <si>
    <t>Em mò lên chia sẻ thành quả sau 3 tháng kiên trì theo hướng dẫn của 1 chị trong hội mình 😊😊😊.
Dài mi + chân mày rõ nét (dài lông mày). 
Đối với đứa 1mí như e thì được cặp mi như thế này là hạnh phúc lắm rồi, lúc trước để ý lắm mới thấy loe ngoe tí mi mà ngắn củn cơ. Còn chân mày là trước e ra tiệm tỉa gọn mà họ làm tém mất đuôi rồi lẹm lẹm nên sau cứ tự cạo cạo chỉnh chỉnh, cũng may vớ được bí kíp nên giờ nó mọc nhanh cho mà chỉnh.
Bí kíp là "vaselin + dầu dừa". 1 tuần e làm 2-3 lần, lấy tăm bông chấm vào vaselin rồi chấm vào dầu dừa sau đó chuốt lên mi với dáng mày mình muốn là ok. Nhanh gọn lẹ. Mà dầu dừa cũng dễ làm lắm nên e tự làm cho an toàn.
P/s: dầu dừa e tự làm theo youtube. Còn vaselin e mua ngoài nhà thuốc. E có cmt hình dưới rồi (k hiểu sao e k thêm hình vào bài được).</t>
  </si>
  <si>
    <t>2019-11-07 03:11:15</t>
  </si>
  <si>
    <t>Lam Lam</t>
  </si>
  <si>
    <t>100032803200015</t>
  </si>
  <si>
    <t xml:space="preserve">#hỏiđáp #niềngrăng #tưvấn
Mọi người cho mình hỏi là giá của niềng răng toàn bộ là bao nhiêu tiền ak? ( bao gồm clean răng, làm đều răng, vì răng mình là răng thỏ o trước và k đều ak) Thời gian làm đến khi tháo niềng ra là bao lâu? Trong thời gian niềng răng thì mình sẽ đi kiểm tra răng khoảng bao nhiêu lần ak? 
Thank mọi người 😊😊😊
</t>
  </si>
  <si>
    <t>2019-12-13 08:28:49</t>
  </si>
  <si>
    <t>Lê Thi</t>
  </si>
  <si>
    <t>100044404508047</t>
  </si>
  <si>
    <t xml:space="preserve">#tưvấn #niềngrăng #hỏiđáp </t>
  </si>
  <si>
    <t>Em năm nay học lớp 11 mà tóc em rụng lại cực nhiều ạ ;-; phải tầm 5 10 cọng 1 ngày ấy ạ ;-; cho em hỏi chỗ giữa tóc mái với tóc sau của em lúc em cột đuôi gà là nó lại cứ lộ hẳn 1 mạng da đầu ạ ;-; cho em hỏi như này là bị hói chưa ạ? Và làm sao để tóc mọc dày lại ạ? Trước đây tóc em ai cũng bảo dày mà giờ em lại thấy còn mỗi một nhúm :(( em sợ lắm ạ</t>
  </si>
  <si>
    <t>2019-11-26 13:27:57</t>
  </si>
  <si>
    <t>Nguynn Can</t>
  </si>
  <si>
    <t>100030441338846</t>
  </si>
  <si>
    <t>Dạo này mặt em nát kinh khủng, mụn của em có nhân cứng nên em hay cạy, em biết là ko tốt nhưng mà nó đã lên nhân cứng màu trắng luôn rồi ý ạ.nếu em tẩy tế bào chết và xài kem dưỡng thì có đỡ ko ạ. Hay là em nên rửa mặt bằng nước muối sinh lý, vì em nghe nói rửa nó sẽ đỡ 1 ít. Hiện em chỉ xài sửa rửa mặt Acnes thôi ạ</t>
  </si>
  <si>
    <t>2019-12-08 05:46:35</t>
  </si>
  <si>
    <t>Nguyễn Thùy Dung</t>
  </si>
  <si>
    <t>100009076920693</t>
  </si>
  <si>
    <t>HELP !!! Các chị em trong gr cho em xin kinh nghiệm cứu vớt làn da kinh khủng của em với..! :((( 
Em xin phép dùng acc clone ạ (vì tự ti gặp ng quen) 
Mặt em bị mụn 5 năm nay rồi, toàn bị mụn viêm, mụn bọc. Cách đây 3 năm em trị mụn ở spa họ đưa em hũ thuốc về sứt mặt sạch mụn láng o, rồi em mới biết mình dính kem trộn rồi nên sợ không xài nữa. Bỏ kem cái là cái mặt nổi mụn còn gê hơn trước nữa 😔 
Hiện tại Em làm cty nên phải xoay ca liên tục, 2 tuần làm ngày 2 tuần đêm. Nơi làm việc bụi nên em đeo khẩu trang trong 12h làm việc liên tục ạ. 
Em đọc review trong gr mình nhiều rồi nên quyết định mua 3sp của Caryophy  và tpcn dhc của nhật, gồm rau, vtm c, kẽm. Mà uống vtm c bị nóng bị lên mụn nhiều hơn ấy nên em ngưng. Chỉ uống rau với kẽm thôi ạ. 
Các chị cho em hỏi có ai xài caryophy mà mặt bị nổi mụn gớm như em chưa ạ😭😭 này là nó đẩy mụn lên hay da em không hợp ạ?? Em thấy em càng sứt nó càng lên mụn. Các chị em xài rồi tư vấn cho em với ạ. Với lại em bị mụn viêm nó trồi mủ trắng vậy rồi có nên đi nặn mụn không ạ?? 
Lần đầu tiên em viết bài còn lủng củng có gì sai xót mong ce bỏ qua cho em ạ!!! 
NOTE: hình đầu tiên em chụp trong lúc em đang đến kì kinh nguyệt. Kinh nguyệt em không đều, lúc 2 tháng, lúc 3 tháng, lúc 1 tháng chưa có lúc nào đúng ngày hết ạ. Mà mỗi lần đến kì là mặt em nổi nhiều mụn lắm mng cho em hỏi em nên đi khám phụ khoa, nội tiết, da liễu ạ. Và cho em xin d/c uy tín ở bình dương với ạ. Năm nay em mới 18t.
#GocTuVan #Caryophy</t>
  </si>
  <si>
    <t>2019-10-27 09:20:53</t>
  </si>
  <si>
    <t>Vi Vi</t>
  </si>
  <si>
    <t>100033886578984</t>
  </si>
  <si>
    <t xml:space="preserve">#Caryophy #GocTuVan </t>
  </si>
  <si>
    <t>Ở group có ai từng thu gọn đầu mũi và cánh mũi không ạ? Chuyện là mũi em đầu mũi to và cánh mũi to dày. em không thích nâng mũi nên chỉ muốn cắt đầu với cánh mũi gọn lại. Có ai ở đây đã từng cắt cho em xin review vớn ạ.</t>
  </si>
  <si>
    <t>2019-11-24 10:15:50</t>
  </si>
  <si>
    <t>Châu Bình</t>
  </si>
  <si>
    <t>100033377800773</t>
  </si>
  <si>
    <t>#khamphukhoa #benhphunu
Là nữ giới dù có chồng hay chưa vẫn nên đi khám phụ khoa 6 tháng 1 lần. Tầm soát ung thư CTC luôn
Chuyện của t: 
- tháng 12/2017 t đi khám pk định kì, siêu âm bụng thì tất cả bình thường, chỉ viêm nấm ÂĐ nhẹ.
- tháng 9/2018 t khám thì bị viêm lộ tuyến cổ tử cung nhẹ, xét nghiệp PAP cổ tử cung bình thường, (k siêu âm bụng)
Mà cứ cách vài tháng t lại bị tái nấm cadina ÂĐ, bực bối vô cùng luôn
-13 tháng sau tức 3/2019 t đi khám tổng quát ở BV Hòa Hảo tphcm siêu âm bụng mới phát hiện nhân xơ tử cung 4,9cm
- qua hôm sau t liền chạy qua BV Từ Dũ để khám, siêu âm kỹ lại thì ra kết quả như trong hình, có 2 khối nhân xơ (gần giống u xơ) ~5cm, và 2cm
- BS nói bị như t thì sẽ rất khó có con, có thai cũng có thể sẽ bị ảnh hưởng, năm nay t mới có 25t thôi chưa có chồng, cầm tờ kết quả mà t rớt nước mắt.
NGUYÊN NHÂN: bs không biết, t cũng k biết, t hay ăn uống k đều độ và thức khuya, t cũng k có uống thuốc gì, đậu nành thì cả năm t chỉ uống khoảng 4 lít. Mẹ t và mấy chị t đã sinh con hết rồi, không ai bị bệnh giống t.
BV không cho thuốc điều trị, chỉ theo dõi 3 tháng tái khám, t vừa mua lọ thuốc thảo dược ở tiệm thuốc dùng thử xem sao.
Các chị em ai có kinh nghiệm chữa khỏi u xơ, nhân xơ giúp mình với huhu 😭</t>
  </si>
  <si>
    <t>2019-03-26 12:06:35</t>
  </si>
  <si>
    <t>Nhi Hương</t>
  </si>
  <si>
    <t>100035237282769</t>
  </si>
  <si>
    <t xml:space="preserve">#benhphunu #khamphukhoa </t>
  </si>
  <si>
    <t>Mn ơi tư vấn giúp e với ạ.
Mặt e dạng mặt kim cương, mặt dài và trán cao. Chỗ tóc mái bị mọc lổm chổm không theo nếp, gốc tóc hơi xoăn, đã vậy tóc cũng ít nữa. E cũng thích để mái thưa hoặc mái bay nhưng nó không chịu theo nếp, với cả phần tóc để làm mái rất ít, muốn có mái phải lấy tóc từ tận đỉnh đầu. E bế tắc với quả tóc này quá, tết tới rồi mà trông chán không chịu được. Có cách nào để cho e sinh động hơn không ạ? Cảm ơn mn.</t>
  </si>
  <si>
    <t>2019-12-13 23:25:53</t>
  </si>
  <si>
    <t>Tien Thao Truong</t>
  </si>
  <si>
    <t>100003277906245</t>
  </si>
  <si>
    <t>#daugoi #moctoc #chamsoctoc
Vì ham hố tẩy tóc nên e vừa phải cắt hết phần tóc tẩy 
Nay muốn tìm một loại dầu gội cặp có tác dụng nhanh mọc tóc cho nhanh dài
Tóc em hiện tại vẫn rất dày và bị khô nữa ạ, chỉ mong tóc nhanh dài là chính.
Em đang phân vân 2 loại này.
Chị em có ai dùng rồi cho em xin review với ạ.
P/s: không hiểu sao em đăng bài mấy lần rồi mà không được duyệt. Sai ở đâu ad bảo em với
Mong lần này được duyệt bài ạ
Em cảm ơn!</t>
  </si>
  <si>
    <t>2019-09-06 02:35:54</t>
  </si>
  <si>
    <t>Nguyễn Thạch Thảo</t>
  </si>
  <si>
    <t>100003271162377</t>
  </si>
  <si>
    <t xml:space="preserve">#chamsoctoc #moctoc #daugoi </t>
  </si>
  <si>
    <t>Có bác nào vừa dính lỗ chân lông to vừa mụn viêm như em k ạ, ai biết loại thuốc hay cách gì trị mụn tốt với se khít lỗ chân lông chỉ em với ạ!</t>
  </si>
  <si>
    <t>2019-11-25 05:31:19</t>
  </si>
  <si>
    <t>Bạch Dương</t>
  </si>
  <si>
    <t>100011650360629</t>
  </si>
  <si>
    <t>Mong admin duyệt giúp em 
Em bị nổi cục này lên mấy tháng rồi ( mng bảo là mụn cóc ) mà nó kh rụng , mng chỉ em cách làm mất cục này được kh ạ , vì tay đã xấu còn nổi cục này lên nên còn tự ti nhiều hơn ạ
#muncoc</t>
  </si>
  <si>
    <t>2019-12-24 22:43:55</t>
  </si>
  <si>
    <t>100038060044455</t>
  </si>
  <si>
    <t xml:space="preserve">#muncoc </t>
  </si>
  <si>
    <t>Mình đang muốn sử dụng Nhụy Hoa Nghệ Tây, có ai cho mình xin revew với không ạ? Mình bị khó ngủ với stress.</t>
  </si>
  <si>
    <t>2019-12-09 14:39:15</t>
  </si>
  <si>
    <t>Nguyễn Thị Thu Thảo</t>
  </si>
  <si>
    <t>100008705292036</t>
  </si>
  <si>
    <t>Mọi người cho mình xin ý Kiến với ạ.  Da mình hh thiên khô mà nhạy cảm và đang có mụn.  Mình mới sinh em be được hơn 3 tháng.  Mà mùa này lạnh da khô nó bong vảy Lên với nhăn nheo ghê lắm ạ.  Có loại dưỡng ẩm nào hợp với da mình k v ạ, mọi người  Review cho mình vài loại với ạ.
#kemdưỡngẩm  #dakhô</t>
  </si>
  <si>
    <t>2019-12-14 08:01:25</t>
  </si>
  <si>
    <t>100000721499068</t>
  </si>
  <si>
    <t xml:space="preserve">#dakhô #kemdưỡngẩm </t>
  </si>
  <si>
    <t>Mọi người ơi!
Có bạn nào đang sdụng serum này không ạ? Em đang dự định mua về xài vì thấy mọi người review khá nhiều. Không biết em nó có dễ xài cho mọi loại da không mọi người? Tại da mình cũng khá nhạy cảm sợ mua về không hợp lại phí.</t>
  </si>
  <si>
    <t>2019-11-16 09:16:28</t>
  </si>
  <si>
    <t>Chân mình bị to do cơ địa nhưng mình rất thích mặc váy, quần ôm. Mọi người chỉ cách để giảm được không?</t>
  </si>
  <si>
    <t>2019-12-07 15:03:05</t>
  </si>
  <si>
    <t>Hạ Tri</t>
  </si>
  <si>
    <t>100005449515356</t>
  </si>
  <si>
    <t>Da mặt m hiện tại nè, chán kinh khủng! Có bạn nào bị nám mà chữa đỡ ko chỉ m với! M đang dùng v7 với dongsung mà ko thấy đỡ
P/s m năm nay 32 tuổi rồi  hiện tại đang dùng , tẩy trang evoluderm, sữa rửa mặt Hatomudi   , nước hoa hồng thayers ,serum Fracora , sữa dưỡng V7 , sáng dùng kem V7 tối dùng Dong sung ! kem chống nắng m dùng Icesum nhờ mn tư vấn giúp m với</t>
  </si>
  <si>
    <t>2019-11-26 06:44:25</t>
  </si>
  <si>
    <t>Huê Nguyễn Thị</t>
  </si>
  <si>
    <t>100006700451447</t>
  </si>
  <si>
    <t xml:space="preserve">Cả một gia tài 
Chỉ là khoe skincare của một bà mẹ bỉm sữa thôi ạ. Trứớc cũng đầu tư ác lắm.giờ đỡ nhìu rùi. Chỉ cần nhìn đống này thôi là vui lắm rồi. Nhờ đống này mà sau khi sinh bé xong mk đã lấy lại dk sự tự tin...một ngày mà k skincare quả thực là rất khó chịu... Ở gruop mk có mom nào đang vừa chăm con vừa skincare như mk k ạ. Nhìu lúc chăm con mệt mỏi khó chịu lắm mà vẫn phải lết đi skincare.thôi thì vì một tương lai tươi sáng ở phía trứơc.😉
</t>
  </si>
  <si>
    <t>2019-12-10 11:46:41</t>
  </si>
  <si>
    <t>Hương Táo Tàu</t>
  </si>
  <si>
    <t>100006883157792</t>
  </si>
  <si>
    <t>Da e thuộc dạng da dầu, kèm mụn thâm, rỗ như trên ảnh ạ... Em bị mụn nay 5 năm rồi dùng bao nhiêu loại vẫn không giảm luôn ạ. 
Ai đã từng bị mụn lâu năm như em mà dùng sp gì hết hay skincare nào tốt và hiệu quả chia sẻ cho em với ạ. Thật sự ra đường em tự ti kinh khủng ạ 😭😭 Mong ad duyệt bài</t>
  </si>
  <si>
    <t>2019-12-13 05:11:33</t>
  </si>
  <si>
    <t>100038440990652</t>
  </si>
  <si>
    <t>Chào mng ạ 
Em năm nay 15 nhưng da em nó bị nổi những nốt liti quanh mắt và mũi em có hỏi mng , mng có nói là mụn thịt . Em có tìm hiểu nhưng thấy toàn bắn tia laze ở sapa nhưng em sợ để lại sẹo và sợ ch đến tuổi làm mng có bí quyết hay thuốc nào chữa trị được khong ạ . Cho em cái tết ngon lành mới huhu 😢 cảm ơn mng trước ạ 🍀🖤
Mong add duyệt bài ạ ❤️</t>
  </si>
  <si>
    <t>2019-12-01 11:09:48</t>
  </si>
  <si>
    <t>Hoàng Quỳnh Phương</t>
  </si>
  <si>
    <t>100027686113315</t>
  </si>
  <si>
    <t>•Mn cho e hỏi e mới đi nặn mụn được 1 tuần mà mà nó lại lên vài cái mụn sưng như thế này. ( lần nào e đi nặn cũng bị lên lại ấy) chị nvien spa nói là do da bị viêm nên nặn xong nó lại bị lại và k hết được. C ấy tư vấn là nên peel da sinh học cho khoẻ lên thì k biết da e có làm được k ạ. Nếu k thì nên skincare với điều trị ntn cho đỡ ạ chứ e cũng đi nặn nhiều rồi mà nó k hết.
•Và cho e hỏi luôn cách trị sẹo rỗ với ạ vì nặn mụn ẩn to nên hay để lại sẹo rỗ  =((
Mong ad duyệt bài giúp e❤️</t>
  </si>
  <si>
    <t>2019-11-18 12:29:22</t>
  </si>
  <si>
    <t>Trần Linh</t>
  </si>
  <si>
    <t>100040859704737</t>
  </si>
  <si>
    <t>Mọi người ơi làm sao trị cái này được vậy ạk</t>
  </si>
  <si>
    <t>2019-12-04 13:32:54</t>
  </si>
  <si>
    <t>Trut Ly</t>
  </si>
  <si>
    <t>100033593491121</t>
  </si>
  <si>
    <t>Thật sự là làn da ko đẹp có thế kiến bạn già đi rất rất nhiều..não lòng quá các bán ạ!
Hàng ngày nghiên cứu mỹ phẩm thế mà dùng bao nhiêu loại cũng chỉ khiến mình già đi mà thôi 😭😭
Muốn hỏi chị em là mình có nên đi da liễu ko? Da bị lỗ chân lông rất to, mụn nội tiết thỉnh thoảng mọc lên to đùng, da mình da dầu, các loại mình dùng như dưới ạ!
Cần lắm 1 cái tết vui tươi 😥😥
#tuvan</t>
  </si>
  <si>
    <t>2019-12-18 23:05:26</t>
  </si>
  <si>
    <t>Minh Nắng</t>
  </si>
  <si>
    <t>100004713405714</t>
  </si>
  <si>
    <t xml:space="preserve">
#phunmoi
#ask
mọi người cho em hỏi môi em bị nổi hột vậy là bị gì vậy ạ?
và em mới dặm lại môi đc hơn tháng mà bị sẹo với lòng môi trên bị trắng thì chữa bằng cách nào đc ạ ( phần trắng đó là do thợ làm phần đó đậm màu hơn mà ko thành ạ)</t>
  </si>
  <si>
    <t>2019-12-14 05:26:57</t>
  </si>
  <si>
    <t xml:space="preserve">#ask #phunmoi </t>
  </si>
  <si>
    <t xml:space="preserve">Mn ơi giúp em tìm 1 sp nào làm da nó đều màu k ạ. Chứ da em nó đen ở vùng miệng, chỗ đen chỗ trắng ớn lắm ạ
</t>
  </si>
  <si>
    <t>2019-12-16 14:08:05</t>
  </si>
  <si>
    <t>Pham Hiep M.M</t>
  </si>
  <si>
    <t>100018999017141</t>
  </si>
  <si>
    <t>#tuvan
Mấy ac ơi cho em hỏi do em thường xuyên thức khuya làm việc nên mắt em giờ xuất hiện vết thăm và nhăn ạ, cho em xin một số hãng kem mắt tốt ạ hoặc các biện pháp tự nhiêm mà ac biết ạ. Em cám ơn 🥺</t>
  </si>
  <si>
    <t>2019-11-15 07:24:44</t>
  </si>
  <si>
    <t>Lực Phan</t>
  </si>
  <si>
    <t>100006296413816</t>
  </si>
  <si>
    <t>#ask #tips #chămdadầumụn 
Em năm nay 17 tuổi, da em thuộc loại dầu, mụn trứng cá và lỗ chân lông to. Trước em có điều trị theo da liễu nửa năm thì cũng bớt phần nào trong quá trình điều trị thôi, chứ khi ngưng uống thuốc bên đó lại bị lại. Sau đó em có chuyển sang spa theo liệu trình lazer thì cũng bớt được khoảng 70% thôi. Vì em còn đi học nên không đủ điều kiện để theo spa lâu dài. Em quyết định tìm tòi về skincare đúng và đủ bước. Dưới đây là những sản phẩm em mới bổ sung cho hành trình skincare để điều trị mụn: 
1. Tẩy trang Laroche - posay
2. Srm Papulex (em này sau khi rửa xong em thấy da hơi khô, nhưng dưỡng ẩm lại là thấy ok ạ)
3. Toner Caryophy
4. Serum Caryophy
5. Dưỡng ẩm Laroch - posay
6. Chấm mụn tea tree của The body shop (em không biết em này thiên về trị thâm hay trị mụn nữa)
7. Chống nắng Laroche - posay
8. Nước muối sinh lý thì em dùng thường xuyên, mặt cứ kiểu đổ dầu là em dùng thì không biết có đúng không ạ?
 Em mới đi lấy nhân mụn về. Với các sản phẩm như trên thì các anh chị có kinh nghiệm skincare cho em xin các bước dưỡng vào buổi tối và sáng sao cho đúng với. Em cám ơn nhiều ạ.</t>
  </si>
  <si>
    <t>2019-08-17 06:07:58</t>
  </si>
  <si>
    <t>100006469063091</t>
  </si>
  <si>
    <t xml:space="preserve">#chămdadầumụn #tips #ask </t>
  </si>
  <si>
    <t>Mặt em đang bị mụn như thế này mọi người biết sản phẩm nào trị hết chỉ em với ạ 😞😞</t>
  </si>
  <si>
    <t>2019-11-29 11:11:01</t>
  </si>
  <si>
    <t>Bảo Trân</t>
  </si>
  <si>
    <t>100028143129699</t>
  </si>
  <si>
    <t>#ask #nuochoanam
Mong ad duyệt bài giúp e !
Rất cần mng review dùm e chai nước hoa nam nào mùi gỗ mà con trai hay xài với ạ? Giá ổn 1 tí mình mua tặng ạ
Ny e 25t. Bvlgari man e thích cực mà ny e thì có mùi này rồi ạ</t>
  </si>
  <si>
    <t>2019-11-14 03:54:05</t>
  </si>
  <si>
    <t xml:space="preserve">#nuochoanam #ask </t>
  </si>
  <si>
    <t>#spdaitoc #rungtoc #tocdai
Tóc em mỏng với hơi hói phần đỉnh đầu, em có cắt tóc ngắn để tóc nhìn dầy hơn, mà 1 phần hay nhuộm với uốn nên tóc cũng bị hư tổn, bây giờ em đang dưỡng tóc lại, nhuộm đen và cắt phần tóc hư, các chị cho em xin tên các sản phẩm giúp mọc tóc và làm dầy, dài tóc với ạ, Em xin cảm ơn</t>
  </si>
  <si>
    <t>2019-05-22 05:02:59</t>
  </si>
  <si>
    <t>Maii Maii</t>
  </si>
  <si>
    <t>100004195565935</t>
  </si>
  <si>
    <t xml:space="preserve">#tocdai #rungtoc #spdaitoc </t>
  </si>
  <si>
    <t>Em chào mọi người em đanh dùng thuốc trị mụn megaduo nhưng xài vào thì da bị nổi mụn nhỏ tí li,  xoa chỗ nào là ngứa chỗ đó , ngứa xong đã bị sần sần như bị dị ứng . Mọi người cho em lời khuyên có nên tiếp tục xài nữa không ạ</t>
  </si>
  <si>
    <t>2019-12-01 09:06:22</t>
  </si>
  <si>
    <t>Ngọc Huyền Trang</t>
  </si>
  <si>
    <t>100043386709939</t>
  </si>
  <si>
    <t>Xin chào mọi người! Mình hỏi việc này cho bạn mình, mong mọi người giúp đỡ.
Mắt bé này lúc nhỏ bị mụn lẹo, mưng mủ nhưng không được chăm sóc kỹ nên bị thẹo. Khi trang điểm mắt rất khó. Em ấy rất tự ti. Giờ em ấy có mong muốn đi thẩm mỹ lại mà không biết bắt đầu từ đâu. Mọi người ai biết trường hợp này phải làm thế nào và đi chữa ở đâu, xin hãy cho em ấy góp ý với ạ.
Rất cảm ơn mọi người! ❤️
Cảm ơn admin đã duyệt bài! ❤️</t>
  </si>
  <si>
    <t>2019-12-21 18:06:35</t>
  </si>
  <si>
    <t>Huỳnh Thảo</t>
  </si>
  <si>
    <t>100003735546582</t>
  </si>
  <si>
    <t xml:space="preserve">xin tips dùng cây son màu này với ah 
</t>
  </si>
  <si>
    <t>2019-12-03 15:31:50</t>
  </si>
  <si>
    <t>Lữ Kim Yến</t>
  </si>
  <si>
    <t>100039110947644</t>
  </si>
  <si>
    <t xml:space="preserve">
 #xinykien 
#review
Mọi người cho mình hỏi, da ít khuyết điểm tuổi 30.
Mình đang phân vân giửa SK II và Huxley để chống lão hoá. 
Mọi người thấy loại nào nên dùng hơn ạ? 
Cảm ơn ad đã duyệt bài ạ.</t>
  </si>
  <si>
    <t>2019-06-16 06:58:45</t>
  </si>
  <si>
    <t>Quynh Giang</t>
  </si>
  <si>
    <t>100005127670186</t>
  </si>
  <si>
    <t xml:space="preserve">#review #xinykien </t>
  </si>
  <si>
    <t>#goccantuvan
E năm nay 23 tuổi, đây là da e sau khi dùng BHA2% paulachoice được 4 tuần rồi. Da bị thâm khá nhiều và lỗ chân lông to vùng cánh mũi kèm vài cái sẹo rỗ do trước đây e không biết cách nặn mụn . Da e nhìn già hơn so với tuổi 23 phải không ạ :( .  E đang phân vân giữa dùng redpeel và retinol để giải quyết tình trạng trên .
Routine hiện tại của e bao gồm
1. Nước tẩy trang loreal - dầu tẩy trang kose
2. Srm yvesrocher + máy rửa mặt
3. Bha 2% paulachoice
4. Vichy m89
5. Niacinamide 5% lucenbase
6. Kem dưỡng B5 larocherposay
6. Kcn cellfusion C. 
Trước e có dùng toner lancome , esteelauder và kiehls nhưng e cảm thấy không cần thiết lắm nên tầm nửa tháng nay e không dùng nữa. Ngoài ra e còn có serum ARN , peptide, dưỡng ẩm clinique . E nên mix vào như nào thì ổn ạ. Mong ac tư vấn cho e với ạ.</t>
  </si>
  <si>
    <t>2019-10-03 05:40:16</t>
  </si>
  <si>
    <t>Pu Chi</t>
  </si>
  <si>
    <t>100004277268376</t>
  </si>
  <si>
    <t xml:space="preserve">#goccantuvan </t>
  </si>
  <si>
    <t>Em có dùng bách thiên thảo nó giống mùi rượu a,đầu tháng này em mua về dùng xong em gần khóe mắt nên nó sưng mắt a,xong rồi em ngưng 2 ngày hết xong e tiếp tục dùng đến hôm thứ 3 tuần này thì nó bắt đầu sưng mắt và mũi,mắt nó sụp lại bé tí ak,em lo quá, do em bôi gần mắt và sóng mũi nó sưng như ong chít ý, mặt thì sưng lên nữa a.Chị ý bảo em k sao em ngưng vài ngày nó hết, em đun lá chè cho vào tủ lạnh rồi rửa, Không biết có tự hết được không a.Mong mọi người tư vấn em cái, làm sao nó hết nhanh a,em lo quá a</t>
  </si>
  <si>
    <t>2019-12-08 05:44:42</t>
  </si>
  <si>
    <t>100028687684529</t>
  </si>
  <si>
    <t xml:space="preserve">Da em bị khô không đều màu, xài bộ sr này da bị đổ dầu lên mụn như hình đó ạ stress kinh khủng 😭 
Ai cũng đang xài cho em cái review và lời khuyên với ạ 😭
#trimun
#trikhoda
</t>
  </si>
  <si>
    <t>2019-11-17 02:25:02</t>
  </si>
  <si>
    <t>Hồ Thị Thương</t>
  </si>
  <si>
    <t>100008202512954</t>
  </si>
  <si>
    <t xml:space="preserve">#trikhoda #trimun </t>
  </si>
  <si>
    <t xml:space="preserve">
#Gocthamkin
#kinhnguyet
Mong ad duyệt bài giúp em với ạ. 
Năm nay em 19 tuổi. E qua nhật được 3 tháng và 4 tháng nay e chưa có kinh nguyệt. Em lo lắng lắm mọi người ạ. Hồi ở vn e cũng tầm 2 đến 3 tháng là có. Lần này lâu vậy e thấy rất sốt ruột mà đi khám ở nhật thì rất khó khăn và phức tạp. Các chị hồi ở độ tuổi như em có ai bị như e k ạ ? Và làm thế làm để cho kinh nguyệt đều vậy ạ? E cảm ơn mọi người nhiều ạ ❤️</t>
  </si>
  <si>
    <t>2019-06-15 08:55:05</t>
  </si>
  <si>
    <t>Mỹ Hạnh Hoàng</t>
  </si>
  <si>
    <t>100010909424048</t>
  </si>
  <si>
    <t xml:space="preserve">#kinhnguyet #Gocthamkin  </t>
  </si>
  <si>
    <t>Mn có sản phẩm nào trị mụn đầu đen và da dầu tốt không ạ?? Chỉ em với 🙁</t>
  </si>
  <si>
    <t>2019-12-19 05:14:13</t>
  </si>
  <si>
    <t xml:space="preserve">Mng ơi em mới xỏ helix với couch dc 2 ngày. Tối nay em có thử xoay khuyên couch để xem nó có thành thịt bám vào khuyên không thì giờ nó sưng như này ạ 😢 đau lắm huhu, nghiêng đầu sang bên kia cũng đau. E có bị viêm hay phải tháo khuyên không ạ
#xokhuyen </t>
  </si>
  <si>
    <t>2019-09-17 14:40:59</t>
  </si>
  <si>
    <t>100030328622900</t>
  </si>
  <si>
    <t>Da mặt của em nó bị lỗ lỗ như này có cách nào trị không ạ, mn giúp em với huhu. Với cả em da dầu hay bị mụn đầu đen với cả mụn trứng cá ấy, e 16t</t>
  </si>
  <si>
    <t>2019-12-20 10:13:22</t>
  </si>
  <si>
    <t>Đang Lê</t>
  </si>
  <si>
    <t>100017552562223</t>
  </si>
  <si>
    <t>Mong ad duyệt bài ạ! Cảm ơn ad nhìu nhìu
Các chị ơi cho em hỏi mỹ phẩm nào dùng chăm sóc da mặt cho mẹ bầu khi mang thai ạ? Do lần đầu mang thai nên không có kinh nghiệm.
Cám ơn các chị ạ!!!
Ps: hình chống trôi bài nha</t>
  </si>
  <si>
    <t>2019-12-02 02:55:11</t>
  </si>
  <si>
    <t>Phạm Nguyễn Đan Thy</t>
  </si>
  <si>
    <t>100007824276499</t>
  </si>
  <si>
    <t>#help
Đây là bạn trai mình, kêu đi chữa mà không chịu, cứ nói mình chỉ quan trọng bề ngoài, còn kêu dùng sản phẩm đặc trị để da nó đỡ hơn cũng không vì sĩ diện:"đàn ông ai dùng mĩ phẩm" rồi để da ngày càng nặng hơn, em khuyên mãi mà không được,cả nhà giúp em với</t>
  </si>
  <si>
    <t>2019-12-17 11:07:44</t>
  </si>
  <si>
    <t>Thanh Tu Minh</t>
  </si>
  <si>
    <t>100039775816107</t>
  </si>
  <si>
    <t>Mọi người cho em xin cách trị sẹo với😢😢😢
Hồi trước em hay bị té xe nên để lại sẹo khá nhiều, hâu hết các loại thuốc trị sẹo mọi người giới thiệu trong nhóm em đều dùng qua hết rồi nhưng không có hiệu quả😢 Sẹo làm em mất tự tin trong cuộc sống rất nhiều luôn ý ạ😭😭😭</t>
  </si>
  <si>
    <t>2019-12-18 01:58:58</t>
  </si>
  <si>
    <t>Nguyễn Hoài Phong</t>
  </si>
  <si>
    <t>100008423412247</t>
  </si>
  <si>
    <t>Mn có bí quyết j giúp ngực tăng thêm tí k,giúp m vs!   Stress với cái mang hình phẳng này quá🤧
   P/s: hình coppy</t>
  </si>
  <si>
    <t>2019-09-28 04:04:17</t>
  </si>
  <si>
    <t>My Nguyễn</t>
  </si>
  <si>
    <t>100006473978145</t>
  </si>
  <si>
    <t>Da của em là da hỗn hợp thiên dầu, nhiều mụn ẩn, nhiều bã nhờn. Thường thì em sử dụng sữa rửa mặt của Innisfree, giờ em muốn đổi sang dùng Senka vì nghe nói làm sạch da khá tốt nhưng không biết màu nào phù hợp nên cần mọi người tư vấn ạ !!!
#srmSenka
#hỏiđáp</t>
  </si>
  <si>
    <t>2019-11-24 14:07:42</t>
  </si>
  <si>
    <t xml:space="preserve">#hỏiđáp #srmSenka </t>
  </si>
  <si>
    <t xml:space="preserve">
Huhu mọi người giúp em với,tình hình là mụn đầu đen của em rất nhiều,em chụp bằng flash đấy ạ,em chăm tẩy tbc với đắp mask đất sét innifree mà nó kh đỡ hic.Em dùng srm innifree loại dành cho mụn đầu đen,nước hoa hồng Laroche,kcn AQUA , tẩy trang Lorea .Máy rửa mặt Sunmay.Da em dạ thường mn ạ.Ai giúp em khắc phục với hic
Mong ad duyệt bài 😞
Edit:Em cảm ơn mn đã tư vấn cho em,mn cho em hỏi mask khổ qua rừng của Lemonmask dùng được không ,an toàn kh ạ? Em hỏi nhiều rồi mà kh thấy ai trả lời huhuuu</t>
  </si>
  <si>
    <t>2019-11-13 15:24:28</t>
  </si>
  <si>
    <t>100024514664426</t>
  </si>
  <si>
    <t>Mn giúp e vs. E dag định mua detox blanc để sd nhunge có nhiều ng bảo đấy là trộn, cũng có nhiều ng bảo ngta mua phải hàng nhái chứ hàng thật có hiệu quả lắm. Có cả diễn viên thanh hương j đó sd. E dag thật sự rất hoang mang ko biết ntn. Ngta có cả giấy chứng nhận nữa ạ. 
E có up đoạn ib của bạn e và e nha mn
#detoxblanc</t>
  </si>
  <si>
    <t>2019-08-15 04:16:40</t>
  </si>
  <si>
    <t>Bui Ngoc Anh</t>
  </si>
  <si>
    <t>100015616710552</t>
  </si>
  <si>
    <t xml:space="preserve">#detoxblanc </t>
  </si>
  <si>
    <t>Chào mọi người 
Mình sinh năm 94 , mình đang tính đi tiêm vaccine HpV . Mình đã qhtd và không biết có phải khám phụ khoa trước khi tiêm vaccin không ? Và nếu tiêm vaccine rồi thì không được qhtd trong thời gian 6 tháng đúng không ạ ?  . Mấy chị đi trước cho em xin ít ý kiến tham khảo ! E cảm ơn ạ ! 
Mong ad duyệt bài 😞</t>
  </si>
  <si>
    <t>2019-10-28 11:20:25</t>
  </si>
  <si>
    <t>Phim Dinh</t>
  </si>
  <si>
    <t>100001448711249</t>
  </si>
  <si>
    <t>Nhóm mình có ai bị viêm xoang hàm chưa ạ.
E bị 2năm nay rồi uống thuốc nhiều rồi nhưng hết thuốc lại bị ạ.cứ chảy nước mũi hoài. Giống bị cảm ấy ạ.
Có cách nào cải thiện ko các chị. Giúp e với e cảm ơn ạ
#đẹpchanhsả</t>
  </si>
  <si>
    <t>2019-12-16 15:11:43</t>
  </si>
  <si>
    <t>Áo Rách Tả Tơi</t>
  </si>
  <si>
    <t>100039013161517</t>
  </si>
  <si>
    <t xml:space="preserve">
Mng ơi có ai rửa bông phấn mà gặp như này chưa ạ. Hôm nay e rửa bông phấn bóp mạnh và thấy như này, lần đầu tiên thấy luôn. May mà phát hiện sớm nếu ko chắc dồn vào và nổi mụn :(((. Vs cả cho e hỏi nên dùng gì để vệ sinh bông phấn vs cọ trang điểm vậy ạ. Em cám ơn mng.</t>
  </si>
  <si>
    <t>2019-10-21 19:35:18</t>
  </si>
  <si>
    <t>Long Hoc Trinh</t>
  </si>
  <si>
    <t>100004662031650</t>
  </si>
  <si>
    <t>#goctuvan #tocdep
Chào mọi người, cho e hỏi mặt e nên để tóc kiểu nào ạ.
Edit: thêm cái video cho chân thực ạ, gò má e nó hơi cao😅</t>
  </si>
  <si>
    <t>2019-12-20 09:38:29</t>
  </si>
  <si>
    <t>Kim Anh</t>
  </si>
  <si>
    <t>100039476891285</t>
  </si>
  <si>
    <t xml:space="preserve">#tocdep #goctuvan </t>
  </si>
  <si>
    <t>#ask 
Mọi người cho em hỏi có cách nào để bớt vân môi không ạaaa. Môi em chăm dưỡng mềm với không bị khô bao giờ nhưng mà vẫn môi nhiều cực kì ý ạ, không biết có tip nào để bớt được vân không ạ??😅😅. Em cảm ơn mọi người nhiều ạ!!!</t>
  </si>
  <si>
    <t>2019-12-02 11:10:22</t>
  </si>
  <si>
    <t>Diệu Ngân</t>
  </si>
  <si>
    <t>100008779753534</t>
  </si>
  <si>
    <t>Các chị e sành điệu chanh sả đợt này newfeed có ai bị như mình không? 
Liên tục hiện lên các review kèm quảng cáo bán mấy loại son Hàn Quốc công ty Emcoss hay gì gì đó. Review của mấy trang fb đăng hình hotgirl nhưng vào trang thì chỉ thấy có mấy bài đăng vơ vẩn thôi, các comments tua tủa cũng là các trang fb đồng loại. 
Kiểu quảng cáo này đâm cứ nghi nghi là son đấy ko phải Hàn xịn mà là lại như kem trộn ý. 
#bocphot
#thắcmac</t>
  </si>
  <si>
    <t>2019-08-01 07:51:01</t>
  </si>
  <si>
    <t>Ninh Khánh Tân</t>
  </si>
  <si>
    <t>1387768746</t>
  </si>
  <si>
    <t xml:space="preserve">#thắcmac #bocphot </t>
  </si>
  <si>
    <t xml:space="preserve"> #ask 
Các ce cho xin tên một số pp trị thâm môi được không ạ . Em đã sài son dưỡng DHC của Nhật nhưng không thấy hiệu quả cho lắm , nước cốt chanh vs mật ong hay đường cũng k tiến triển là bao 😩</t>
  </si>
  <si>
    <t>2019-03-08 04:05:35</t>
  </si>
  <si>
    <t>Dương Thu Huyền</t>
  </si>
  <si>
    <t>100010586836200</t>
  </si>
  <si>
    <t>Chào mọi người. Chuyện là mình bị té xe, môi mình bị dập và trầy sau đó trở nên như thế này. Mình khổ tâm quá, mình còn chưa có first kiss mà TT Làm sao để viền môi trở lại bình thường đây ạ?
Cảm ơn mọi người đã đọc tin ạ!</t>
  </si>
  <si>
    <t>2019-12-08 12:06:31</t>
  </si>
  <si>
    <t>Bao Bao</t>
  </si>
  <si>
    <t>100008056036397</t>
  </si>
  <si>
    <t>#ask #thammat
Sắp đến Tết rồi mà mắt e như thế này đây , mọi người có cách nào cho hết quầng thâm ở dưới mắt không ạ :(( ? Trước e có đeo kính cận 1 thời gian dài mổ thg6 mà giờ vẫn chưa hết thâm</t>
  </si>
  <si>
    <t>2019-12-03 08:04:56</t>
  </si>
  <si>
    <t>Vi Nguyễn</t>
  </si>
  <si>
    <t>100018432459481</t>
  </si>
  <si>
    <t xml:space="preserve">#thammat #ask </t>
  </si>
  <si>
    <t>Mọi người ơi. Da dầu, lỗ chân lông to thì mùa đông này nên xài loại kem nền và phấn nào để có lớp makeup đẹp và không bị bết ạ 😞</t>
  </si>
  <si>
    <t>2019-12-06 06:55:19</t>
  </si>
  <si>
    <t>Bé Xíu</t>
  </si>
  <si>
    <t>100039265605445</t>
  </si>
  <si>
    <t>#ask #tebaogoc 
Chào mọi người, hiện tại mình đang tìm hiểu phương pháp làm đẹp bằng cấy tế bào gốc.
Nôm na phương pháp này sẽ giúp phục hồi lại làn da hư tổn, thúc đẩy sản sinh collagen và trẻ hóa da v.vv...
Nhưng thật sự thông tin trên mạng khá tràn lan nên mình không thể chọn lọc cũng như không hiểu rõ về phương pháp làm đẹp này.
Mình vừa hỏi giá 1 Spa, cho mỗi lần cấy tế bào gốc là 900k, duy trì tầm 10 lần. Spa này cũng chưa tư vấn rõ cho mình, họ nói đến xem da rồi mới chọn loại tế bào gốc phù hợp. Nên mình cũng chần chừ chưa dám đi.
Lại có người khuyên mình nên tự mua tế bào gốc rồi đến spa cấy, còn dư đem về thoa. 
Mong chị nào có kinh nghiệm chia sẽ mình với, không biết làm xong da có thực sự hồi phục không, vì giá chát ghê í 😭
Help me 🙏🙏🙏</t>
  </si>
  <si>
    <t>2019-08-14 02:48:15</t>
  </si>
  <si>
    <t xml:space="preserve">#tebaogoc #ask </t>
  </si>
  <si>
    <t>#ask
Trong hội có chị em nào bị như hình k ạ? Hè sắp tới rồi mà như vầy sao dám mặc váy 😭😭😭... Chữa viêm nang lông khó và k thể khỏi hẳn đc đúng k ạ? Ai đã chữa được hoặc biết cách, địa chỉ uy tín méc em với ạ!!! Help me!!! 😣😣😣😣
Em bị viêm lỗ chân lông từ ngày cấp 1 rồi ấy ạ, cứ mùa rét nó bị nặng, sang hè thì đỡ hơn 😭😭😣😞</t>
  </si>
  <si>
    <t>2019-03-07 10:31:10</t>
  </si>
  <si>
    <t>Tăng Yến</t>
  </si>
  <si>
    <t>100007657204786</t>
  </si>
  <si>
    <t xml:space="preserve">Tóc đẹp cho công túa đây ạ. Kể ra mà có đứa con như này chắc ở nhà ấp nhau suốt ngày chứ làm lụng gì nữa 😊😊😊
</t>
  </si>
  <si>
    <t>2019-11-30 09:11:06</t>
  </si>
  <si>
    <t>#viêmchântóc #help
Mình là nam sinh năm 1992.Mình bị viêm nang lông da đầu hay còn gọi là viêm chân tóc gây hói trụi hết cả đầu. Mụn ngứa, hạt trắng như kê đầy đầu rất khó chịu. Mình mắc từ 2010 đến nay mong mọi người giúp đỡ e ak. Đi da liễu 2 người rồi nhưng không hết. Mình ở sài gòn mong mọi người hoan hỷ giúp đỡ
Lưu ý:3 tấm đầu là hình trong 1-2 năm gần đây. Tấm cuối mới chụp gần đây chụp dưới ánh sáng mak ko thấy luôn chân tóc</t>
  </si>
  <si>
    <t>2019-08-17 09:38:40</t>
  </si>
  <si>
    <t>Trần Hào</t>
  </si>
  <si>
    <t>100016763732881</t>
  </si>
  <si>
    <t xml:space="preserve">#help #viêmchântóc </t>
  </si>
  <si>
    <t>Bị rạn da và bị thâm bụng sau sinh thì sử dụng sản phẩm gì hiệu quả ạ. Các chị giúp em với nhé !</t>
  </si>
  <si>
    <t>2019-10-15 08:21:48</t>
  </si>
  <si>
    <t>100009641298041</t>
  </si>
  <si>
    <t>Em xin phép đc sử dụng acclone vì lý do cá nhân ạ. Em học lớp 12 da em bị như này em phải làm sao để khắc phục ạ. Em cảm ơn 
Em cũng kh sử dụng bất kì loại mĩ phẫm nào chỉ sử dụng sữa rửa mặt thôi ạ.</t>
  </si>
  <si>
    <t>2019-11-30 00:06:22</t>
  </si>
  <si>
    <t>Anh Duong</t>
  </si>
  <si>
    <t>100035764192509</t>
  </si>
  <si>
    <t xml:space="preserve">
#ask
#hair
#ủtoc
Xin chào mọi người, bài viết này mong mọi người chỉ cho em cách ủ tóc tại nhà đúng cách ạ. Em cũng có tham khảo trên mạng nhưng bài này nói khác, bài kia nói khác nên không biết ủ như thế nào tóc mới khoẻ mượt hơn. Mọi người cho em xin vài review về một số loại ủ tóc tốt nhé! Em cảm ơn !
Ảnh dưới là tóc của em. Phần gốc khá ổn nhưng ngọn thì hơi khô, xơ.</t>
  </si>
  <si>
    <t>2019-08-01 15:41:10</t>
  </si>
  <si>
    <t>Toi La Xanh</t>
  </si>
  <si>
    <t>100024003722869</t>
  </si>
  <si>
    <t xml:space="preserve">#ủtoc #hair #ask </t>
  </si>
  <si>
    <t xml:space="preserve"> #latex #fitness
Chuyện là em đang có hứng thú với đeo Latex, em có tập thể dục và dùng nó để hỗ trợ thôi ạ. Nhưng tìm hiểu thì thấy nhiều ý kiến trái chiều quá. Mn cho em hỏi đeo Latex có ảnh hưởng việc sinh nở không? Nên đeo mấy tiếng một ngày và có cần lưu ý gì không ạ
Em cảm ơn ^^</t>
  </si>
  <si>
    <t>2019-10-20 06:59:42</t>
  </si>
  <si>
    <t xml:space="preserve">#fitness #latex  </t>
  </si>
  <si>
    <t>Mn ơi cho em hỏi, vết sẹo do bỏng bô xe máy này của em có cách nào cho mờ bớt đi ko ạ? 
Em bị cũng được nửa năm rồi, hồi mới bị thì do để bị nhiễm trùng nên lâu khỏi, bôi thuốc trị sẹo 1 2 lần thì sợ nó không khô miệng nên thôi, dần dần quên luôn, đến lúc bong vẩy, lành rồi mới bôi thì thành sẹp rồi, sẹo ko lồi ko lõm nhưng đen sì. Mỗi lần tẩy da chết cũng cố kì kì lâu lâu 1 chút mong nó ra da mới nhưng có vẻ cũng ko tác dụng gì.
Em thấy mn có vết bỏng bô xe cũng ko đen như em. Em bình thường có sẹo như muỗi cắn, ngã này nọ cũng thâm, sẽ lâu nhưng dần dần nó cũng hết. Còn cái này thì mãi ko thấy biến chuyển gì 😭😭😭😭 Thỉnh thoảng nhìn thấy lại thấy chán mà chẳng biết làm sao. Có cách nào cho nó nhanh hết ko ạ?</t>
  </si>
  <si>
    <t>2019-12-01 14:07:45</t>
  </si>
  <si>
    <t>100004594695303</t>
  </si>
  <si>
    <t xml:space="preserve">                                                                    Mong ad duyệt bài giúp e với ạ
E không biết có phải do tác dụng phụ của thuốc tây k vì e uống cũng hơi lâu mà trong đó có kháng sinh ạ. Tình trạng mắt e ở trên và dưới mắt nổi hạt nhỏ nhỏ mà hơi nhiều, nó còn đỏ và khá ngứa nữa ạ, nó chốc chốc lên e cào nó ra từng mảng nhỏ luôn ấy. E thấy mắt rất dễ mỏi, nhắm mắt mạnh thì nó sẽ đau lắm ấy. 
Có ai bị tình trạng như vậy tư vấn e với ạ</t>
  </si>
  <si>
    <t>2019-12-05 14:15:41</t>
  </si>
  <si>
    <t>Trang Nguyen</t>
  </si>
  <si>
    <t>100012513109525</t>
  </si>
  <si>
    <t>#ask #help #tuvan
Em năm nay 18 tuổi nên xin phép xưng em😊, trong group có ai bị như em ko ạ, mặt em bị lệch khá rõ sau đợt em bị quai bị từ hồi cấp 1, đến giờ cũng nhiều năm rồi, trc đó em cũng không quan tâm quá vì nghĩ là mình ko nhai kĩ 2 bên nên mới lệch như vậy, nhưng bây giờ em để ý e đã nhai cân bằng nhưng mặt vẫn bên má to má bé, đã vậy mắt của e cx lệch ạ, mắt em 2 bên đều có 2 mí rõ ràng nhưng chs ko to bằng nhau, kiểu mắt nổ mắt xịt ý ạ 😭😭. Thực sự em rất tự ti mỗi khi chụp ảnh vs mọi ng hoặc là đi chụp ảnh thẻ, vì mặt em lệch rõ và nhìn rõ khuyết điểm đôi mắt luôn ý ạ 😭😓.
Các a chị có tips hay cách khắc phục thì giúp e với huhu, mong ad duyệt bài của e ạ, em cảm ơn nhiều❣️💗</t>
  </si>
  <si>
    <t>2019-08-05 03:50:02</t>
  </si>
  <si>
    <t>Quynh Anh Pham</t>
  </si>
  <si>
    <t>100032826438457</t>
  </si>
  <si>
    <t xml:space="preserve">#tuvan #help #ask </t>
  </si>
  <si>
    <t>#ask #sonli Mọi người có thể recommend cho mình loại son nào cực lì mà ăn uống ko trôi nhiều ấy vì mình đi làm cả ngày không có thời gian đánh lại, mà ăn xong trôi 1 nửa nhìn rất kì. Tks mn ạ !!</t>
  </si>
  <si>
    <t>2019-07-29 05:06:41</t>
  </si>
  <si>
    <t>Trịnh Ngọc Tuyết</t>
  </si>
  <si>
    <t>100003768202762</t>
  </si>
  <si>
    <t xml:space="preserve">#sonli #ask </t>
  </si>
  <si>
    <t>Thật sự rất buồn dùng rất nhiều loại mỹ phẩm rồi mà vẫn ko si nhê có bạn nào có bí quyết chỉ mình các bước skincare ok ko da mình da nhạy cảm ? Vs da như này thì dùng gì làm sao hết được những cái lốm đốm , lcl vs sẹo mụn để lại đây ???mình có bầu nhưng 1 2 tuần nữa sanh rồi nên các bạn chỉ mình để trong cữ mình chăm da 1 thể luônnnn ạ !!!! Tks all ...</t>
  </si>
  <si>
    <t>2019-12-06 13:45:15</t>
  </si>
  <si>
    <t>Nguyên T Thuy Tiên</t>
  </si>
  <si>
    <t>100003514962656</t>
  </si>
  <si>
    <t>&lt;CỨU EM&gt;
Cách đây mấy tháng em có dính phải thuốc rượu mọi người ạ.  Em dùng được nửa tháng thì  đọc đuoejc mấy bài về thuốc rượu nên em dừng ạ. Và bây h mặt em cứ bị ửng đỏ , khô và sờ vào rất nhám ạ.  Mọi người có cách gì ko giúp em với. Em cảm ơn nhiều lắm ạ.</t>
  </si>
  <si>
    <t>2019-12-24 01:20:57</t>
  </si>
  <si>
    <t>Anna Nguyễn</t>
  </si>
  <si>
    <t>100032312641652</t>
  </si>
  <si>
    <t xml:space="preserve">
#seoloi 
Chào các anh chị đây là chân em ạ :((
Em mới bị tai nạn cách đây 5 tháng.  Do da em dữ nên vết thương rất lâu lành..
Em đã kiêng đủ thứ như rau muống , trứng, thịt gà, thịt bò mà nó vẫn lồi như vậy
Em cũng dùng thuốc trị sẹo rồi mà bôi nó không có chuyển biến gì nên em quyết định ngưng..
Em thấy bảo tiêm hay là có thể hết được đúng không ạ? Anh chị nào đã bị sẹo lồi như vậy có thể chỉ em được không😓</t>
  </si>
  <si>
    <t>2019-08-04 17:10:40</t>
  </si>
  <si>
    <t>Nguyễn Thị Hoài Thu</t>
  </si>
  <si>
    <t>100011572998700</t>
  </si>
  <si>
    <t xml:space="preserve">#seoloi </t>
  </si>
  <si>
    <t>Mấy chị ơi coi giúp e hàng fake hay real với ạ. 
E mới biết skincare nên không rành về mĩ phẩm lắm ạ
Cám ơn mấy chị nhen 😍</t>
  </si>
  <si>
    <t>2019-12-18 02:19:08</t>
  </si>
  <si>
    <t>Hồng Lan</t>
  </si>
  <si>
    <t>100006243945504</t>
  </si>
  <si>
    <t>Với  kinh nghiệm từng làm trong ngành mỹ phẩm nên kết luận lại rằng không có  cái mỹ phẩm nào của mấy cha mấy má, mấy em hot girl lập lên mà chất  lượng hết.Ngay cả nhà máy mỹ phẩm đạt chuẩn GMP của VN cũng không chất  lượng, t từng tham gia buổi giám sát chất lượng của sở y tế tpHCM cho 1  nhà máy đạt chuẩn, chuẩn đâu t ko thấy chứ cuối buổi mỗi anh, mỗi chị 1  bao thư dày ú ụ ( sếp lớn nhất &gt; 50 củ, mấy người khác cũng 10-20  củ) nên không đạt chuẩn cũng thành chuẩn hết. Rồi thì bằng này, cúp kia,  xin thưa sẽ có 1 bảng giá cụ thể, muốn nằm trong top bao nhiêu phải chi  số tiền cụ thể. Rồi muốn báo nào, đài nào đăng bài cứ có tiền thì được  đăng hết. Ai vào cãi với t dụ này đi, t cho hẳn danh sách liên hệ mua  cúp, mua giải rồi viết báo đăng hình luôn. Quay lại với MTM, t không dám  dùng nên t ko nhận xét về chất lượng (mà t cũng tự biết chất lượng nó  đến đâu nên t méo dùng), nhưng riêng về khoản PR cho sản phẩm sữa rửa  mặt mới ra thì t cười đau cả bụng, quay hẳn video quy trình sx tiên tiến  tại Mỹ, nhưng t nhìn cái khâu sx, máy móc là t thấy là quay trong cái  xưởng cùi bắp rùi, đã thế còn có hẳn 1 thằng đứng cuối băng truyền bốc  bốc lụm lụm từng chai, thì t đến lạy quy trình tại Mỹ của nó. Ngoài kia  có bao nhiêu thương hiệu Mỹ phẩm chất lượng, bán đầy các siêu thị, trung  tâm thương mại, cửa hàng mỹ phẩm thì không dùng, lại cứ đâm đầu dùng  mấy em mỹ phẩm giá sx chưa đến 30K/lọ nhưng bán giá gần 300K như thế (  cái này t từng tính giá gia công cho mấy hãng nên t biết, ai không tin  lại là liên hệ t chỉ chỗ cho gia công nhé 😁😁😁)
P/s: mới bổ sung thêm cho các bạn về nội dung xử phạt các vi phạm trong đóng gói và lưu thông hàng hoá. Nếu sai nhãn mác bao bì thì phạt bao nhiêu? Hàng như thế nào thì bị buộc tiêu huỷ ? Phạt 70tr, buộc tiêu huỷ chắc là do sai nhãn mác, cười ỉa 🤣🤣🤣🤣. 
Chẳng lẽ t lại bỏ vài triệu mang mẫu MTM đi đến viện Paster chạy sắc ký khí để phân tích thành phần, rồi làm bài phân tích hàm lượng, chỉ tiêu....cho thêm phần thuyết phục.
 #kemtron</t>
  </si>
  <si>
    <t>2019-09-11 11:20:05</t>
  </si>
  <si>
    <t>Rita Tran</t>
  </si>
  <si>
    <t>100003100639386</t>
  </si>
  <si>
    <t>#Funny
Tui khổ quá mà 
Cre : ST</t>
  </si>
  <si>
    <t>2019-12-25 03:38:33</t>
  </si>
  <si>
    <t xml:space="preserve">
#review
#RwineBeauty
Chào mng, em là thành viên mới ạ
Mng có ai dùng Mặt nạ ủ trắng nhau thai Nhật Rwine Beauty chưa ạ? Cho em xin ít review với. 
Em search thử trong gr thì chưa thấy ai nhắc tới nên em chưa dám dùng thử😭 Trên gg thì thấy công dụng và uy tín lắm nhưng em muốn hỏi mng cho chắc, chứ lỡ da bị gì thì khổ hic. Da em là da hỗn hợp dầu và bị mụn ẩn+ vài nốt thâm mụn ạ. Cảm ơn mng nhiềuu❣️</t>
  </si>
  <si>
    <t>2019-10-31 02:32:41</t>
  </si>
  <si>
    <t>Vân Nguyễn</t>
  </si>
  <si>
    <t>100005161295054</t>
  </si>
  <si>
    <t xml:space="preserve">#RwineBeauty #review </t>
  </si>
  <si>
    <t>Mọi người cho e hỏi mặt em bị mụn mà đi nặn 2/3 lần rồi mà nó k hết thâm đc vài hôm lại nổi mụn chổ những vết thâm cũ mà toàn lên mụn to to thôi giờ phải làm sao để làm mờ về thâm với đỡ mụn đc k</t>
  </si>
  <si>
    <t>2019-11-24 14:06:24</t>
  </si>
  <si>
    <t>Hoàng Sơn</t>
  </si>
  <si>
    <t>100009455292456</t>
  </si>
  <si>
    <t xml:space="preserve"> #Trịmụn #Trịthâm
Mn cho e xin tip trị thâm, trị mụn đi ạ!</t>
  </si>
  <si>
    <t>2019-10-23 13:35:21</t>
  </si>
  <si>
    <t>Ly Ly</t>
  </si>
  <si>
    <t>100010750698235</t>
  </si>
  <si>
    <t xml:space="preserve">#Trịthâm #Trịmụn  </t>
  </si>
  <si>
    <t>#ask
#duongtoc 
Chào mọi người , tóc em bẩm sinh đã xoăn xù và chất tóc xấu , nên mọc đến đâu em ép đến đấy và thêm nhuộm + làm xoăn thì cực kì sơ xác ( ảnh tóc em ) . Nhưng em rất thích để tóc dài , em muốn hỏi mọi người là làm gì để tóc trông bóng mượt “ giả” , trước em có lướt qua bài viết có bạn nói về tẩy tóc là tóc chết nên chỉ dưỡng giả nhìn suôn mượt thôi ! Mọi người cho em xin tên dầu gội và dưỡng + ủ bóng tóc tốt với ạ!! Em xin cảm cảm ơn và mong ad duyệt bài vì em đăng nhiều vấn đề lắm mà không được duyệt ạ !</t>
  </si>
  <si>
    <t>2019-05-13 03:25:10</t>
  </si>
  <si>
    <t>Minh Anh Nguyen</t>
  </si>
  <si>
    <t>100030680868631</t>
  </si>
  <si>
    <t>Chào các chị ạ!!! Em là thành viên mới, hôm nay em có một vấn đề muốn thỉnh cầu ý kiến của các chị ạ 😭 Vấn đề là em có nhiều lông trên mặt cực, nó khiến e khá tự ti vì nhìn như khỉ ấy -,- mẹ em bảo em không được động vào tại sợ lần sau nó mọc lại sẽ đậm hơn thì chết. Các chị giúp em với ạ
#longmat :(</t>
  </si>
  <si>
    <t>2019-06-22 11:47:19</t>
  </si>
  <si>
    <t>Giang Bi</t>
  </si>
  <si>
    <t>100019135601644</t>
  </si>
  <si>
    <t xml:space="preserve">#longmat </t>
  </si>
  <si>
    <t xml:space="preserve">
#ask #thuốctrịmụn
Mình đã bị mụn rất lâu. Vài tháng trước do về quê nhiều dị ứng nước nên nổi mụn rất nhiều. Mình đã đên spa peel da. Phần mụn viêm ở má của mình có giảm nhưng vùng trán và cằm lại nổi lên nhiều. Đi nặn mụn là tuần sau lại lên tiếp để lại thâm và sẹo. Hôm nay mẹ mình đã đến tiệm thuốc người ta kê thuốc và cái tuýp bôi cho mình. Không biết ai đã sử dụng chưa và có tác dụng phụ gì không . Mong ad duyệt giúp mình ạ</t>
  </si>
  <si>
    <t>2019-08-22 02:38:40</t>
  </si>
  <si>
    <t>Kim Thảo</t>
  </si>
  <si>
    <t>100009508099441</t>
  </si>
  <si>
    <t xml:space="preserve">#thuốctrịmụn #ask </t>
  </si>
  <si>
    <t>#gochoi
#goctuvan
Chào cả nhà, không biết trong nhóm mình có ai bị như em không nhỉ? 😞
Em thì không có vấn đề gì về da cả nhưng cân nặng của em thì có vấn đề nghiêm trọng. Em 19t 1m57 và chỉ đc 40kg. Ai có cách nào để tăng cân không ạ? Em đã từng sử dụng thuốc tăng cân 1 lần rồi và vẫn tụt cân.
Mong nhận được ít kinh nghiệm của các chị em đã tăng cân thành công 😣</t>
  </si>
  <si>
    <t>2019-07-19 09:38:00</t>
  </si>
  <si>
    <t>Lê Thị Tuyết Tuyết</t>
  </si>
  <si>
    <t>100027712402501</t>
  </si>
  <si>
    <t xml:space="preserve">#goctuvan #gochoi </t>
  </si>
  <si>
    <t>#trithamchan 
Mọi người ơi có cách nào trị được những nốt thâm như hình ko ạ . Da em rất độc , nên muỗi cắn xíu gãi là có dấu ngay :(((
Tết nhất tới mông rồi nhìn mà nó nản :(((</t>
  </si>
  <si>
    <t>2019-12-17 09:56:41</t>
  </si>
  <si>
    <t>Kiều Danh</t>
  </si>
  <si>
    <t>100013910943468</t>
  </si>
  <si>
    <t xml:space="preserve">#trithamchan </t>
  </si>
  <si>
    <t>Em xin tư vấn,  dạo gần đây trán và 2 bên cằm em hiện rất nhiều mụn mủ sưng và đau, em đã thay đổi chế độ sinh hoạt khoa học và vệ sinh da sạch nhưng tình trạng ko khỏi, mọi người tư vấn giúp e thuốc bôi gì giảm đc mụn với ạ, da em dầu và nhạy cảm, từng dính kem trộn rựu thuốc</t>
  </si>
  <si>
    <t>2019-12-20 09:32:01</t>
  </si>
  <si>
    <t>100029328733695</t>
  </si>
  <si>
    <t>Ai biết sản phẩm nào trị thâm do côn trùng đốt hiệu quả, review cho em phát nào. 
Cảm ơn mn.</t>
  </si>
  <si>
    <t>2019-11-11 08:53:25</t>
  </si>
  <si>
    <t>Ngọc Diệu</t>
  </si>
  <si>
    <t>100004199761745</t>
  </si>
  <si>
    <t>#toc 
Team mặt vuông đâu ạ
Tóc em vừa ít, mỏng combo mặt vuông nữa nhưng lại thích tóc ngắn, mọi người đi qua cho em xin hình ảnh nào hợp với mặt vuông đi. Ai mặt vuông đã cắt tóc ngắn thành công cho e xin ít động lực với ạ. 
Cảm ơn ad nhiều</t>
  </si>
  <si>
    <t>2019-11-28 01:45:09</t>
  </si>
  <si>
    <t>Ánh Nguyễn</t>
  </si>
  <si>
    <t>100006040444242</t>
  </si>
  <si>
    <t>#tuvan
 Da e thuộc loại hỗn hợp thiên khô, sau khi ra SG thì da mặt nổi rất nhiều mụn...Hiện giờ e đang dùng Tẩy trang của lo'real, srm innisfree, và chấm mụn Dou+ nhưng thấy k có tác dụng nhiều, giờ e đang tính dùng mặt nạ của mediheal nhưng k biết có hiệu quả k, ac nào dùng rồi chone xin ita review được k ạ 😭😭. Tình trạng da e đây ạ.</t>
  </si>
  <si>
    <t>2019-11-26 06:41:34</t>
  </si>
  <si>
    <t>Tuân Trịnh</t>
  </si>
  <si>
    <t>100016463470004</t>
  </si>
  <si>
    <t>Hôm qua em make up đi nguyên ngày, đến tối về em đi chơi có nhậu nên tối về em lăn ra ngủ luôn không tẩy trang
Sáng dậy mặt em hơi sần và còn ngứa nữa là bị sao hả chị em ? Mọi người có ai từng bị vậy không ạ ?</t>
  </si>
  <si>
    <t>2019-12-25 00:21:33</t>
  </si>
  <si>
    <t>Tuyết Nguyễn</t>
  </si>
  <si>
    <t>100005328251838</t>
  </si>
  <si>
    <t>#collagen 
Mình đã viết nhiều bài ở đây rồi nhưng không được duyệt. Hy vọng hôm nay ad sẽ duyệt. Mình muốn hỏi về việc nên dùng sản phẩm  nào giữa collagen ex của hãng shisedo và collagen enrich Shisedo.
Trước đây mình đã dùng 1 liệu trình 3 hộp Pure white của Shisedo. Và khá hài lòng khi lỗ chân lông nhỏ lại nhiều (tuy da không lên tone) nên khá thích shisedo. Nói mình là fan cuồng của shisedo cũng không sai.  Hiện tại mình đã 28 tuổi. Tuổi này thì choáng váng đau lòng lắm khi cơ thể sụp đổ. Nếp nhăn và râu rồng dần xuất hiện sâu. Bạn cứ hiểu là đang xấu mà đẹp thì ai cũng vui mà từ đang đẹp đang trẻ tự nhiên vừa già vừa xấu thì ai cũng đau lòng.
Sản phẩm Pure white mình xài thì chỉ tính là bổ sung vitamin C chứ không được coi là collagen như nhiều người lầm tưởng. Hiện tại thì dòng mình định và muốn xài là Shisedo Collagen Ex và Enrich và đang phân vân giữa hai loại.
Trên mạng bảo Ex phù hợp cho người trên 25 và Enrich cho từ 40 trở lên.
Giá tiền thì chênh nhau không bao nhiêu nhưng hàm lượng enrich cao hơn nhiều. Trong khi đó mình đang sụp đổ luôn vì thiếu collagen (ít ra mình nghĩ như vậy)
Gia đình mình không thích ăn cá biển hay thịt thà. Với lại người nhà dị ứng rất nhiều món. Dị ứng cá..dị ứng gà. Đủ loại dị ứng nên ngoài rau không dị ứng ra.. chắc chẳng còn gì. Nên nguồn bổ sung vitamin từ thực phẩm của mình coi như đứt. Mình ăn theo gia đình mà.
Bạn nào đã dùng có thể góp ý giúp ạ.</t>
  </si>
  <si>
    <t>2019-09-06 10:33:37</t>
  </si>
  <si>
    <t xml:space="preserve">#collagen </t>
  </si>
  <si>
    <t>Các chị cho em hỏi ở hàn có hãng này ko ạ? Bạn em nó mới đi xin học việc vừa học vừa làm ở spa chỗ em mặt nó có mụn. Xong mấy spa bảo chữa cho nó ,nó mua lọ này hơn 2tr , bạn e bôi xong mặt sưng đỏ, bong tróc , xót và rát e bảo nó đưa e xem lọ đấy, thì mở ra mùi ngửi giống mùi rượu táo hay uống ở quán nhậu ý ạ. E bảo nó hỏi nguồn gốc thì spa nó bảo thương hiệu độc quyền. Mng cho e hỏi bên Hq có hãng này ko ạ? Mà có web , spa nó đưa em cái wed ở dưới ạ . E tìm trên google chả ra thông tin gì cả 😢 khai sáng cho bạn e với, đắt 2tr mấy 1 lọ mà càng dùng càng xấu  ,ko thấy đẹp hỏi thì nó bảo :còn phải dùng lọ nữa cùng liệu trình nó mới đẹp còn bh đang đẩy mụn . bạn em dừng dùng rồi ạ, vì da nó rát với bong quá.  E cảm ơn mọi người.</t>
  </si>
  <si>
    <t>2019-12-09 11:58:41</t>
  </si>
  <si>
    <t>100022064317468</t>
  </si>
  <si>
    <t>#auth #fake #ask ( mong ad duyệt, e đăng lần này là lần 3 rồi :(( )
Mọi người chi em hỏi ạ, e mua lọ sk ii này, chị bán hàng nói đây là hàng nội địa nhật nhưng lỗi chữ do vận chuyển nên fix giá rẻ 1 chút. Sau khi nhận hàng về thì từ chất kem đến chữ e đều thấy khác so với bình thường. Em cảm ơn ạ !</t>
  </si>
  <si>
    <t>2019-12-05 01:54:14</t>
  </si>
  <si>
    <t>Nguyễn Khánh Uyên</t>
  </si>
  <si>
    <t>100013674191861</t>
  </si>
  <si>
    <t xml:space="preserve">#ask #fake #auth </t>
  </si>
  <si>
    <t>cho em hỏi làm kiểu này có hợp với mặt tròn và bị nhanh duỗi k ah?
#lamtoc</t>
  </si>
  <si>
    <t>2019-12-25 08:57:38</t>
  </si>
  <si>
    <t>Anh Thu Nguyen</t>
  </si>
  <si>
    <t>100024577176402</t>
  </si>
  <si>
    <t xml:space="preserve">#lamtoc </t>
  </si>
  <si>
    <t>Hic mấy chị ơi làm sao để tóc nhanh dài ạ ? Trc khi sanh em bé , em ngơ ngơ đi cắt ngắn ngủn để cho mát.. Ai dè sanh xong giờ nhìn thấy tóc mà muốn chán đời luôn .😥</t>
  </si>
  <si>
    <t>2019-11-23 12:17:34</t>
  </si>
  <si>
    <t>Huỳnh Kim Ngân</t>
  </si>
  <si>
    <t>100006746280357</t>
  </si>
  <si>
    <t>Mới đi nặn mụn về thốn quá các bạn ạ 😭.
Mình là kiểu nhìn bình thường ko thấy cục mụn nào, tưởng là da đc đc đó, nhưng mà sờ mới thấy lộm cộm và đi nặn ra mới thấy các con mụn ẩn nó núp dưới da. 
Không hiểu sao phẫu thuật thẩm mỹ mình ko thấy đau nhưng nặn mụn thì đau vcđ các bạn ạ. Ít khi đi nặn lắm chừng nào mà sờ thấy lộm cộm mới đi nặn, sợ nặn lắm.
Mình muốn hỏi về vấn đề lỗ chân lông, lỗ chân lông 2 bên má mình rất to ( như hình), cũng sợ sợ sau này rỗ, vì c gái mình cũng vậy xong ko dưỡng gì cả giờ rỗ lớn lắm. 
Có đi nhiều nơi nhưng cái vụ lỗ chân lông to này nó nan giải, mình ko sợ đen, ko cần căng bóng, chỉ sợ lỗ chân long to với rỗ, duyệt bài cho các thím ngày đêm rùi giờ các thím thân yêu có thể trợ giúp cho bà admin đau khổ này cải thiện lỗ chân lông be bé lại ko 🥺🥺🥺? 
Da mình, da nhạy cảm, dễ kích ứng, đụng nhẹ cũng thấy rát và châm chích. Thời tiết thay đổi hay bất kì cái gì lạ cũng dễ khiến mình dị ứng da. (có tiền sử dị ứng cơ địa rùi)
#lỗchânlông
Cre Ad Hằng</t>
  </si>
  <si>
    <t>2019-12-14 12:36:47</t>
  </si>
  <si>
    <t xml:space="preserve">#lỗchânlông </t>
  </si>
  <si>
    <t xml:space="preserve">Tóc em thuộc dạng xoăn xù, rễ tre, cứng nữa! Năm nào cũng đi duỗi mà xoăn vẫn hoàn xoăn, mà em thì không hợp với tóc dài, mà tóc ngắn ép vài tháng nó lại xoăn tít lên! Ai có cách giúp em với ạ!😭
#tocxoanxu
</t>
  </si>
  <si>
    <t>2019-11-29 07:33:45</t>
  </si>
  <si>
    <t>Nguyễn Thu Trang</t>
  </si>
  <si>
    <t>100041068171320</t>
  </si>
  <si>
    <t xml:space="preserve">#tocxoanxu </t>
  </si>
  <si>
    <t>#Help 
Chào mn ạ,
Đây là da của mẹ em, có nhiều tàn nhan, nám và một số chỗ lộ tia máu, do mẹ em có dùng kem trộn, e thì trước đó không am hiểu nên không cản được. Bây giờ ngưng kem thì mặt sẽ bị ngứa, đắp mặt nạ bị đau như kim chích . Mn cho em xin vài tips cũng như các dòng sản phẩm  để khắc phục với ạ.
Nên cấp ẩm hay chống lão hoá ạ vì mẹ em cũng ngoài 40 rồi</t>
  </si>
  <si>
    <t>2019-12-25 12:24:35</t>
  </si>
  <si>
    <t>100041058397665</t>
  </si>
  <si>
    <t>#ask #munmong #thammong #help
Hello m.n.. Chuyện là e hay bị rối loạn kinh nguyệt và hay thức khuya.. nên e mua tinh dầu hoa thảo backmore về uống.. thì đc 1 thág hơn có kinh lại bt.. nhưng mụn lại nổi nhiều ở vùng mông.. không hiểu sao luôn...mặt e thì láng o...chỉ bị ở môg ...1 tháng nay e cũg mua bộ sản phẩm tẩy tế bào chết và lotion của da69station trên inta dùng hết sp rồi nhưng vẫn không hết mụn thâm cũg còn nhiều những vùg ko có mụn thì da cũg mềm ... mỗi lần soi gương cái mông e buồn e stress luôn.. e có mua thêm muối tắm vitamax nghệ mật ong..  rồi xà phòng trái đào của nhật nữa để tắm mỗi ngày ... 1 tháng hơn nay e ở nhà thì mặt quần hoặc váy thóag ko mặt quần lót để thôg thóag.. rồi hạn chế ngồi lâu.. nhưng kiểu môg vẫn nổi... e buồn quá... ai có thể giúp e có sp gì trị khỏi mụn mông và thâm mông không?  e cũg chã biet có phải do tinh dầu hoa thảo ko nữa haizzz... còn sản phẩm trị thâm mông dr.seoul ai dùng qua chưa cho e ít rw ạ..thank m.n</t>
  </si>
  <si>
    <t>2019-08-07 03:44:30</t>
  </si>
  <si>
    <t>Babies Molly</t>
  </si>
  <si>
    <t>100026564854552</t>
  </si>
  <si>
    <t xml:space="preserve">#help #thammong #munmong #ask </t>
  </si>
  <si>
    <t xml:space="preserve">
#răngthưa
Các chị ơi, có ai bị răng cửa thưa như em không ạ😭? Em là răng cửa thưa bẩm sinh
Câu chuyện là 3 năm trước em có đi niềng răng ở một nha khoa gần nhà. Em niềng 1 năm, sau khi tháo thì răng khít, đẹp. Chị bs có đưa cho em 1 cái máng niềng nhựa để giữ răng không bị tái phát. 
Em đeo máng liên tục 1 năm tiếp theo không sao hết, nhưng đến khoảng nửa năm tiếp theo em bắt đầu thấy hơi thưa lại( nhưng chỉ là một ít thôi, không soi kĩ thì không nhìn ra được) cũng không để tâm lắm. Nhưng cứ dần dần thưa ra 1 tẹo. Đến khi 3 tháng trước em làm mất máng, lại đúng đợt thi cử nên bận rộn không đi khám lại được. Đến giờ thì thưa hẳn, em tá hoả đi đến chỗ nha khoa kia hỏi. Chị BS kia nhận định là do em không đến khám sớm nên mới bị như thế 😃???  
     Nói rằng “Răng thưa thì phải đeo cái máng bảo vệ kia cả đời!! Bây giờ 1 tuần chị có thể khiến răng em khít lại, tiếp tục đeo niềng nhựa bảo vệ kia, chi phí là 1 triệu” em sock luôn ạ 😭😭 xong thái độ chị BS kia khó chịu mắng em.  
Ngta đeo niềng nhựa bảo vệ vài tháng 1 năm. Đằng này em giữ tận 2 năm, mà còn bị thưa lại. Các ac cho em lời khuyên với ạ!!  Chứ tốn hơn chục triệu, 1 năm niềng đau đớn mà chẳng đâu vào đâu thế này :((((( 
Có thật là răng thưa sau khi niềng phải đeo máng giữ cả đời thật không ạ? 🤔</t>
  </si>
  <si>
    <t>2019-08-11 12:28:04</t>
  </si>
  <si>
    <t>Bùi Thị Trâm Anh</t>
  </si>
  <si>
    <t>100004099373862</t>
  </si>
  <si>
    <t xml:space="preserve">#răngthưa </t>
  </si>
  <si>
    <t>#help
Mọi người ơi, có ai mùa này rụng tóc như em không ạ?
Đợt trước em rụng có uống botion thấy tóc con ra nhiều và bớt rụng
Hết 1 hộp bây giờ tình trạng rụng kinh hơn, uống nửa lọ thứ 2 rồi k thấy tác rụng
Ai biết cách gì giúp em với</t>
  </si>
  <si>
    <t>2019-08-08 10:56:59</t>
  </si>
  <si>
    <t>Lê Chi</t>
  </si>
  <si>
    <t>100003277656907</t>
  </si>
  <si>
    <t>Mình chào mn ạ. Mình cứ bị cười to là gò má cao, làm mình mất tự tin khi cười lắm. Mỗi lần cười là chỉ cười mỉm thôi. có ai  có cách nào để cười đẹp k ạ
#mongadduyeta</t>
  </si>
  <si>
    <t>2019-11-29 14:04:41</t>
  </si>
  <si>
    <t>July Nguyên</t>
  </si>
  <si>
    <t>100007682642874</t>
  </si>
  <si>
    <t xml:space="preserve">#mongadduyeta </t>
  </si>
  <si>
    <t>Cho mình hỏi sản phẩm nào có thể giúp da mịn màng và thu nhỏ lỗ chân lông ạ.- sản phẩm mà bạn đã từng sử dụng và có hiệu quả nha</t>
  </si>
  <si>
    <t>2019-12-24 22:46:43</t>
  </si>
  <si>
    <t>Nguyễn Hạnh Nxo</t>
  </si>
  <si>
    <t>100008080657786</t>
  </si>
  <si>
    <t>Các chị đẹp. Cho e xin ít review về một loại kem làm trắng da mặt ạ. Tầm giá luôn ạ. 
E thuộc dạng da khô. Mùa hanh này e khổ tâm lắm.</t>
  </si>
  <si>
    <t>2019-11-02 03:43:32</t>
  </si>
  <si>
    <t>Thanh Tam</t>
  </si>
  <si>
    <t>100004022889955</t>
  </si>
  <si>
    <t>#ask
Chào mọi người ạ, em năm nay 20 tuổi, da em ban đầu không phải da đẹp mịn màn nhưng không có mụn nhiều, đa phần là mụn ẩn, cách đây 1 năm thì bắt đầu mọc mụn, lúc đầu chỉ là những mụn li ti hơi ửng đỏ, cách 3 tháng trở lại đây em có đi Spa nặn mụn thì thấy cũng đở nhưng sau thì mụn lên nhiều hơn chi chít thâm đỏ hết cả mặt, mụn cũ chưa khô cồi thì mụn mới lại mọc. Do lúc trước không bị mụn nhiều nên em cũng không sử dụng mĩ phẩm cũng như Skincare (không dùng sữa rửa mặt luôn ạ), dạo này do mụn quá nhiều nên có dùng sữa rửa mặt (Innisfree green tea foam cleanser ) và nước tẩy trang (L'oréal Hồng). Anh/chị cho em hỏi có cách nào trị mụn và trị thâm không ạ? Em cảm ơn ạ.</t>
  </si>
  <si>
    <t>2019-11-26 13:25:28</t>
  </si>
  <si>
    <t>Cáo</t>
  </si>
  <si>
    <t>100008642711723</t>
  </si>
  <si>
    <t>Hiện tại tình trạng da của em đag tồi tệ như thế này 😭😭😭. Ac nào  có kinh nghiệm trị mụn thế này tư vấn giúp em với ạ 
Tiện thể gợi ý cho em 1 số sản phẩm skincare cho da của em được không ạ. Em cảm ơn 😍😍</t>
  </si>
  <si>
    <t>2019-11-22 04:39:06</t>
  </si>
  <si>
    <t>Yến Lý</t>
  </si>
  <si>
    <t>100008968481589</t>
  </si>
  <si>
    <t xml:space="preserve">Xin chào mọi người cho em hỏi một chút là có cái gì trị thâm mun ở mông không ạ 
</t>
  </si>
  <si>
    <t>2019-12-21 08:00:03</t>
  </si>
  <si>
    <t>Người Cô Độc</t>
  </si>
  <si>
    <t>100042537752535</t>
  </si>
  <si>
    <t>Cách đây 1 tuần mặt em lên đầy mụn ( như trong hình ấy ạ) 
Em sài sửa rửa mặt Vedette, toner của Some By Mi và kem Yoosun 
Mọi ng b cách trị thì giúp em với ạ. Em stress cả tuần nay vì mặt cứ như v mà hổng hết 😔😔Mong mn giúp đỡ em. Em chân thành cảm ơn.</t>
  </si>
  <si>
    <t>2019-10-27 12:51:58</t>
  </si>
  <si>
    <t>100014124995192</t>
  </si>
  <si>
    <t>#gochoihan
Bé e mình lúc nhỏ có thói quen sờ chân mày, bh chỗ đó nổi lộm cộm và k ra lông mày nữa ( như hình). Bthuong bé hay bôi vasaline và lucas để làm mềm nhưng k hiệu quả. Mấy ce có thuốc nào bôi để mềm và k còn sần nữa k ạ, chỉ giúp e với 😔😔😔</t>
  </si>
  <si>
    <t>2019-12-22 15:13:56</t>
  </si>
  <si>
    <t>Minh Ty</t>
  </si>
  <si>
    <t>100002695586622</t>
  </si>
  <si>
    <t xml:space="preserve">#gochoihan </t>
  </si>
  <si>
    <t>Em xin phép dùng nick ảo em ngại ạ  mọi người tư vấn giúp em sài sản phẩm j với em c.ơn ạ</t>
  </si>
  <si>
    <t>2019-12-06 14:53:23</t>
  </si>
  <si>
    <t>Khanh Thanh</t>
  </si>
  <si>
    <t>100022277110626</t>
  </si>
  <si>
    <t xml:space="preserve">
#GócNhờTưVấn
Chào mọi người đây là bài đăng thứ 2 của mình ạ..😘😘 Lần trước nhờ Gr mình tư vấn về giảm cân,nên mình đã tìm đc phương pháp phù hợp để mình áp dụng rồi,sẵn bài thứ 2 này mình thật sự cám ơn mọi người nhiều vì đã tư vấn nhiệt tình...Quay lại vấn đề bài thứ 2 này ạ...Mong mọi người tư vấn cho mình về vấn đề rụng tóc,và rụng rất nhiều,trước đây tóc mình khỏe lắm,sau này bị rụng tóc mà chân tóc lại cứng và trắng như trong ảnh ấy ạ....mình đi khám bác sĩ rồi,mới đầu bs nói viêm nang chân tóc,uống thuốc mãi vẫn không hết...Nên mình nhờ mọi người tư vấn giúp mình..Và chân tóc lại trắng cứng như vậy kèm theo ngứa kinh khủng,chỗ ngứa chỉ cần tướt nhẹ thôi tóc sẽ rụng theo như vậy đấy ạ..🤧🤧🤧 mọi người tư vấn cho mình lời khuyên với ạ❤</t>
  </si>
  <si>
    <t>2019-08-22 02:40:25</t>
  </si>
  <si>
    <t>Yo Yo</t>
  </si>
  <si>
    <t>100003725163727</t>
  </si>
  <si>
    <t xml:space="preserve">#GócNhờTưVấn </t>
  </si>
  <si>
    <t>Em xỏ khuyên đc 2 tháng rồi mà nó bị sưng như này các chị ạ. Nếu bị sẹo lồi thì có cách nào trị kh ạ=((</t>
  </si>
  <si>
    <t>2019-11-28 05:37:24</t>
  </si>
  <si>
    <t>Lê Phương Linh</t>
  </si>
  <si>
    <t>100026444859813</t>
  </si>
  <si>
    <t>#góc_hỏi_đáp
#tư_vấn
Da mặt em trước giờ chưa từng sử dụng qua mỹ phẩm hay các loại kem gì, thường ngày chỉ dùng sữa rửa mặt cho bớt dầu (da em là da dầu). Hồi lúc dậy thì mặt em trổ mụn rất nhiều, qua giai đoạn đó thì hết nhưng giờ vẫn còn lấm tấm mụn thịt và rỗ sẹo, lỗ chân lông còn rất to nữa. Mong được mọi ng hướng dẫn có loại mỹ phẩm/ thuốc nào giúp da mặt căng mịn, thu hẹp chân lông với ạ. Em cảm ơn 🥺🥺🥺</t>
  </si>
  <si>
    <t>2019-12-14 12:25:06</t>
  </si>
  <si>
    <t>Huỳnh Phan</t>
  </si>
  <si>
    <t>100005839833859</t>
  </si>
  <si>
    <t xml:space="preserve">#tư_vấn #góc_hỏi_đáp </t>
  </si>
  <si>
    <t>Mọi người ơi cho em hỏi, mấy bữa nay lạnh chân với tay em cứ tím đỏ hết lại ý, rồi nó còn nứt ra nữa:( Mọi người có biết là tại sao và cách điều trị không ạ:( Em cảm ơn</t>
  </si>
  <si>
    <t>2019-12-11 13:16:41</t>
  </si>
  <si>
    <t>Hạ Dương</t>
  </si>
  <si>
    <t>100022843830529</t>
  </si>
  <si>
    <t>#do_lot #ask
Chào mọi người!
Số là dạo này em có hứng với đồ lót kinh khủng. Kiểu bao nhiêu lâu nay cứ mặc cho có mà không quan tâm, giờ để ý mới thấy tầm quan trọng của nó. Nên nhờ mấy chị đi trước, review sơ sơ cho e mấy loại áo hay chất liệu, nhãn hàng nào mà mấy chị ưng ý đi ạ. 
😂😂😂 Ngực em thì chỉ gọi là có chứ không to. Nhưng xưa giờ e ghét mặc áo ngực kinh khủng, quay sang mặc bra thì lại bị chật chật😵. Thành thử bây giờ có loại nào nhẹ nhàng với đám nhỏ thì mấy chị ưu tiên tư vấn cho em với nha.
Cảm ơn các chị đẹp nhoa😘😘😘.</t>
  </si>
  <si>
    <t>2019-11-26 15:28:04</t>
  </si>
  <si>
    <t>Ngô Nhật Minh</t>
  </si>
  <si>
    <t>100010252052942</t>
  </si>
  <si>
    <t xml:space="preserve">#ask #do_lot </t>
  </si>
  <si>
    <t>#Funny
 Tao tức á</t>
  </si>
  <si>
    <t>2019-12-24 04:40:18</t>
  </si>
  <si>
    <t>#ask #daudua #longmi
Trước em thấy nhiều người review dầu dừa giúp lông mi dày và dài hơn nhưng sau khi em sử dụng mỗi sáng dậy lại thấy rụng 1,2 cọng lông mi (kể cả tối hôm trước không dùng dầu dừa ) và thấy hơi ngứa chỗ mi có làm sao ko ạ ??</t>
  </si>
  <si>
    <t>2019-10-07 15:14:22</t>
  </si>
  <si>
    <t xml:space="preserve">#longmi #daudua #ask </t>
  </si>
  <si>
    <t xml:space="preserve">
Mình hiện tại đang có bầu và chăm con nhỏ mình có dùng bộ kem dưỡng da của Pond, giá cả nó phải chăng hợp túi tiền, vừa dễ mua nhiều chỗ bán.Mình có mua kem dưỡng ban ngày và ban đêm,kem chống lão hoá ban ngày , kem nền,và nước hoa hồng.Có chị em nào dùng pond giống mình k,pond nó có tốt k , có hại da k ạ,mọi người cho mình xin ý kiến với ạ</t>
  </si>
  <si>
    <t>2019-07-26 01:58:41</t>
  </si>
  <si>
    <t>Cảnh Trang</t>
  </si>
  <si>
    <t>100029794690304</t>
  </si>
  <si>
    <t xml:space="preserve"> #ask  #BiologiqueRecherche  #review
Hi mọi người! Mình vừa đọc đc 1 bài review về sp Biologique Recherche của Pháp. 
Nhìn da bạn viết bài mê quá nên tính bấm bụng mua mini về dùng thử do giá nó hơi chát 😭
Có bạn nào đã từng sử dụng qua hãng này chưa cho mình chút review về em nó nha 😘</t>
  </si>
  <si>
    <t>2019-05-08 09:13:03</t>
  </si>
  <si>
    <t>Yun Vũ</t>
  </si>
  <si>
    <t>1827850465</t>
  </si>
  <si>
    <t xml:space="preserve">#review #BiologiqueRecherche #ask </t>
  </si>
  <si>
    <t>Chào mọi người e là thành viên ngầm trong đây lâu lắm rồi ! Mặt e ngày có dính miếng mai thảo mộc, giờ da cứ yếu yếu hay nổi mụn viêm (như hình) giờ e không biết xài gì để hết được, trước e có đi skin o2 cũng hết nhưng một thời gian sau vẫn nổi ạ ! E mong được mọi người tư vấn để giúp e có một cái tết an vui hạnh phúc và trọn vẹn ạ ^^
Quy trình skincare mỗi ngày của e
Sữa rửa mặt : Simple
Toner : klairs ( màu nâu ) 
E mong được ad duyệt ạ ^^</t>
  </si>
  <si>
    <t>2019-12-19 12:32:04</t>
  </si>
  <si>
    <t>Tấn Khoaa</t>
  </si>
  <si>
    <t>100022403250411</t>
  </si>
  <si>
    <t>#ask #serum #toner #lancome #pixitonic #dior #ételauder
Chào cả nhà mình đang băn khoăn các sản phẩm dưới đây ạh,mọi người ai có sử dụng 1 trong 4 loại dưới đây rồi cho e xin review với ạ,em là da dầu ạ!
Cảm ơn cả nhà 😘😘😘😘</t>
  </si>
  <si>
    <t>2019-10-13 00:03:09</t>
  </si>
  <si>
    <t>Peach Peach</t>
  </si>
  <si>
    <t>100004012099171</t>
  </si>
  <si>
    <t xml:space="preserve">#ételauder #dior #pixitonic #lancome #toner #serum #ask </t>
  </si>
  <si>
    <t>#ask #riamep
Em chào tất cả các chị em trong hội ❤ Mong mọi người giúp đỡ em.
Vấn đề của em đấy là RIA MÉP. Sinh ra người đầy lông lá khổ quá các chị ơiiii, vùng ria mép của em rậm rạp như đờn ông vậy huhuhu. Các chị có biết loại wax nào có thể dùng cho ria mép, hoặc bôi gì cho nó rụng bớt, mỏng bớt ria mép đi thì bảo em vớiii. 
Cảm ơn mọi người rất nhiều ạ ❤ 
Ad duyệt bài cho em với nhaaa. ❤
EDIT: Em đã từng đi triệt đủ 10 buổi nhưng h nó lại mọc. Và chả đỡ hơn ban đầu là bao mà quá tốn kém 😞</t>
  </si>
  <si>
    <t>2019-04-25 08:57:46</t>
  </si>
  <si>
    <t>100005383963271</t>
  </si>
  <si>
    <t xml:space="preserve">#riamep #ask </t>
  </si>
  <si>
    <t>Mọi người cho em hỏi nốt ruồi này có nên tẩy không, với cả tẩy thì tẩy cách nào an toàn và triệt để nhất ạ? :(
Em tự ti với nó lắm mà ai cũng bảo không nên tẩy...</t>
  </si>
  <si>
    <t>2019-12-05 12:10:54</t>
  </si>
  <si>
    <t>Dương Dii</t>
  </si>
  <si>
    <t>100021437881187</t>
  </si>
  <si>
    <t xml:space="preserve">
#ask
#kembody 
chào mọi người trong gr ạ 
Cho em hỏi mọi người ai xài kem body 9 wishes này rồi ạ , cho em xin review với ạ ❤ 
Em xin cảm ơn 😍</t>
  </si>
  <si>
    <t>2019-07-23 01:29:28</t>
  </si>
  <si>
    <t>Mai Ly</t>
  </si>
  <si>
    <t>100010395338137</t>
  </si>
  <si>
    <t xml:space="preserve">#kembody #ask </t>
  </si>
  <si>
    <t>Da em là da khô. Em có dùng srm ladalabo trắng, nước tẩy trang byphasse và toner labo labo, toner laneige. Từ khi dùng toner da mặt em bị nổi mấy nốt này ạ :( các chị giúp em với ạ.</t>
  </si>
  <si>
    <t>2019-12-15 05:55:15</t>
  </si>
  <si>
    <t>Mai Hằng</t>
  </si>
  <si>
    <t>100004505025415</t>
  </si>
  <si>
    <t>#đepchanhsa #ask #serum
Đang có ý định đổi serum vì e thấy dùng nhiều cũng bị kiểu như lờn hay sao ý. Chị e nào đã dùng trị thâm mấy loại dưới đây như red c, b5, TO,... rồi cho e xin review với
tình trạng da e hiện tại da dầu, hết mụn nhưng còn thâm li ti ý nên cùng muốn kiếm loai nào trị được thâm nhưng đều màu da chứ sợ hết thâm lại vệt trắng :(</t>
  </si>
  <si>
    <t>2019-05-17 06:17:48</t>
  </si>
  <si>
    <t>100011418186743</t>
  </si>
  <si>
    <t xml:space="preserve">#serum #ask #đepchanhsa </t>
  </si>
  <si>
    <t>#trimun 
Đây là em trai em mới 15 tuổi, dậy thì lên mụn nhiều lắm ạ. Mọi người có thể chỉ em cách trị mụn cho em em được không ạ. Đơn giản thôi ạ tại nó con trai cũng lười chăm sóc bản thân lắm ạ.</t>
  </si>
  <si>
    <t>2019-12-01 14:04:32</t>
  </si>
  <si>
    <t>Phương Quỳnh</t>
  </si>
  <si>
    <t>100012704235420</t>
  </si>
  <si>
    <t>Các chị ơi 
Em bị mụn nội tiết ạ 
Da em da dầu 
Dùng gì cũng kh ăn thua 
Em đang định dùng thuóc nam để giải độc gan mát gan 
Em nghe nói quả la hán tốt ạ 
Có ai dùng chưa cho em xin ý kiến với 
Hay còn cách nào khác không ạ 
Các xụy êmm chỉ giáo với ạ 
Yêu ❤</t>
  </si>
  <si>
    <t>2019-10-31 10:17:46</t>
  </si>
  <si>
    <t>100037679582089</t>
  </si>
  <si>
    <t xml:space="preserve">
#duongtrangda
Các chị cho e xin 1 vài loại dưỡng trắng với ạ huhu mùa hè đi nhiều giờ tay nửa đen nửa trắng xấu dã man ạ :(( với cả làm thế nào để tay mịn màng ko nhăn nheo ạ hic e mới 18t mà tay nhăn nhìn xấu và già lắm ạ 😞 mong các chị giúp e cảm ơn</t>
  </si>
  <si>
    <t>2019-11-16 06:29:32</t>
  </si>
  <si>
    <t>100013329490307</t>
  </si>
  <si>
    <t xml:space="preserve">#duongtrangda  </t>
  </si>
  <si>
    <t>Mong ad duyệt bài này giúp e nhé💕. Cảm ơn ad
_ thật sự sợ giùm các bạn thích dùng mỹ phẩm mà lại thích hàng quá rẻ.
_Vô tình lướt thấy một chị đẹp livetream bán set son MAC 12 cây giá 299k còn freeship😌
_Giá 1 thỏi son MAC  bèo bèo đã 500k - 600k còn này là 1 set 12 thỏi với giá 299k còn bảo là  bán sỉ phân phối mấy trăm thùng các kiểu đã mấy năm rồi điêu không tả nỗi😓
_Thật sự viết bài này chỉ muốn cảnh báo ace về việc hàng fake trôi nổi đã xài mỹ phẩm đừng ham rẻ rồi tin là hàng sale hàng khuyến mãi bla..bla.. Đến lúc hậu quả cũng là do chính mình gánh ace ơi
_Và thời buổi nào cũng v TIỀN NÀO CỦA ĐÓ là chân lý</t>
  </si>
  <si>
    <t>2019-11-27 13:57:11</t>
  </si>
  <si>
    <t>Phan Na</t>
  </si>
  <si>
    <t>100005148700366</t>
  </si>
  <si>
    <t>Mấy chị giúp em với làm thế nào để cải thiện da mặt ạ mụn nhưng ẩn..
Da em là da dầu trước giờ em chỉ dùng sữa rửa mặt chưa từng dùng kem gì mà dạo gần đây mặt em bắt đầu nổi mụn đỏ còn để lại vết thâm
Anh chị em giúp em với ạ emcảm ơn</t>
  </si>
  <si>
    <t>2019-12-08 05:45:08</t>
  </si>
  <si>
    <t>Trần Thị Kiều Oanh</t>
  </si>
  <si>
    <t>100012964453407</t>
  </si>
  <si>
    <t xml:space="preserve">Mọi người ơi cho em hỏi gấp. Mặt em bị mụn như thế này gần nửa năm rồi á. Em rất tự ti luôn. Lúc trước em có sd face pháp lúc mặt chưa mụn mong muốn trắng da. Nhưng ngưng thời gian em bắt đầu lên mụn. Tgian đó em có sử dụng kem chấm mụn nhiều loại nhưng không khỏi. Em bắt đầu đi spa nhưng đi lần đầu thì em thấy không ổn. Bởi cách nói chuyện của họ kh chắc chắn với bắt em mua nhiều sản phẩm quá em hoảng. Sau đó em bắt đầu không sử dụng gì cả. Chỉ rửa mặt bằng nước muối và chấm thêm tuýp trị mụn của s2b thui ạ. Em mong mọi người giúp đỡ em 😢😢😢
#trimun
</t>
  </si>
  <si>
    <t>2019-11-14 11:49:08</t>
  </si>
  <si>
    <t>#tuvan #phunmoi
Em đi phun môi ngày thứ 6 rồi ạ. Xuất hiện nhiều mụn nước nhưng đã khô se hơn. Cả nhà có ai bị như này cho e xin kinh nghiệm làm sao cho nhanh lành ạ.
Edit. Môi bong hết rồi nhé cả nhà ,😅😅😅</t>
  </si>
  <si>
    <t>2019-11-15 11:48:48</t>
  </si>
  <si>
    <t xml:space="preserve">#phunmoi #tuvan </t>
  </si>
  <si>
    <t>ai biết cách chữa bệnh á sừng k ạ, ck e bị, mùa nào cũng nứt nẻ ra, mùa này thì càng nứt ác, cháy máu, nhìn xót lắm luôn ấy, ai biết thuốc gì trị đc thì chỉ e với</t>
  </si>
  <si>
    <t>2019-12-08 05:30:47</t>
  </si>
  <si>
    <t>Hoa Kòy</t>
  </si>
  <si>
    <t>100009771071444</t>
  </si>
  <si>
    <t>#ask #review #tips #daudua
Mọi người cho em xin vài công dụng của dầu dừa đối với việc làm đẹp và vài tips để sử dụng 1 cách hiệu quả với ạ.
Nhân tiện chị nào có sử dụng rồi thì cho em xin luôn review về ưu điểm và nhược điểm của dầu dừa đi ạ. 
Mong các chị chỉ giáo!!</t>
  </si>
  <si>
    <t>2019-08-08 22:37:54</t>
  </si>
  <si>
    <t>Đặng Nhật Vy</t>
  </si>
  <si>
    <t>100015338927842</t>
  </si>
  <si>
    <t xml:space="preserve">#daudua #tips #review #ask </t>
  </si>
  <si>
    <t>Em 19t với khuôn mặt tròn như em  thì để kiểu tóc nào sẽ hợp vậy mọi người . Tết đến nơi rồi  🤩
Em cảm ơn ạ !!!</t>
  </si>
  <si>
    <t>2019-12-24 22:46:36</t>
  </si>
  <si>
    <t>Vũ Mai Ảnh</t>
  </si>
  <si>
    <t>100023886406976</t>
  </si>
  <si>
    <t xml:space="preserve"> #diung #noimuntrang #help
Chị em ơi, giúp em với. Hiện tại không biết có ai bị tình trạng giống em không. Em cũng chả biết em bị gì, nó như hình ảnh bên dưới, em bị nhiều nhất là trên trán như hình. Có bị 1 ít ở dưới cằm và trên gần 2 má nhưng không nghiêm trọng như trán. Nó cứ mọc các mụn trắng li ti như vậy. Em đã dừng dùng srm và mỹ phẩm luôn rồi, em có bôi tea tree oil cho nó, thì có khi đở, mà hôm nào trở trời hay nó buồn là lại mọc lên 1 dề :(( em bị 2 3 tháng nay rồi mà mãi k hết.
Ai đã từng bị thì giúp em chữa với...</t>
  </si>
  <si>
    <t>2019-05-21 05:15:48</t>
  </si>
  <si>
    <t>Sử Ý Nhi</t>
  </si>
  <si>
    <t>100004444892195</t>
  </si>
  <si>
    <t xml:space="preserve">#help #noimuntrang #diung  </t>
  </si>
  <si>
    <t>#ask 
Xin chào mọi người trong gr! Năm nay em 18 và tình trạng chân em như ở hình ạ .vậy m.n cho em hỏi có phải em bị viêm chân lông không ạ và cách khắc phục ạ! Em khá là stress về đôi chân như này ạ! Cách đây 1 tháng em có dùng kem tẩy lông cleo và sau 1 tuần thì nó ra như vậy ạ 
Mong m.n tư vấn cho em ạ! Em cảm ơn ❤</t>
  </si>
  <si>
    <t>2019-12-01 03:01:09</t>
  </si>
  <si>
    <t>Dương Vũ Linh</t>
  </si>
  <si>
    <t>100015001606745</t>
  </si>
  <si>
    <t>Mọi người ơi có cách nào làm hết mí mắt kh đều kh ạ,mắt em 1 bên bị một bên không có,mong ad duyệt bài giúp em, em cảm ơn. 
#help  #mimat</t>
  </si>
  <si>
    <t>2019-10-22 03:18:23</t>
  </si>
  <si>
    <t>Huynh Tuan</t>
  </si>
  <si>
    <t>100025517076189</t>
  </si>
  <si>
    <t xml:space="preserve">#mimat  #help </t>
  </si>
  <si>
    <t>em mong ad duyệt bài em với ạ. em cảm ơn nhiều!
Chuyện là em bị nổi mụn ở lưng rất nhiều, trên vai, trước ngực, ở bắp tay nữa, lại còn bị thâm nữa. có sp nào để trị dứt điểm không ạ :( thật sự là em tự ti lắm. mong mng giúp em với</t>
  </si>
  <si>
    <t>2019-12-23 16:11:10</t>
  </si>
  <si>
    <t>Minh Thúy</t>
  </si>
  <si>
    <t>100007422099206</t>
  </si>
  <si>
    <t>Chào mọi người. Đây là tình trạng da hiện tại của em. Mong mọi người tư vấn ạ. Da e hỗn hợp thiên khô, lỗ chân lông to, ít mụn ẩn và không đều màu da.
Hiện e đang dùng các sp sau:
- Tẩy trang bioderma xanh
- Srm: senka hồng
- BHA 2% paula choice
- Toner,serum, kem dưỡng sulwhasoo dòng màu hồng Bloomstay vitalizing ạ</t>
  </si>
  <si>
    <t>2019-11-20 00:18:30</t>
  </si>
  <si>
    <t>Yến Vy</t>
  </si>
  <si>
    <t>100016939295540</t>
  </si>
  <si>
    <t>M.n giúp em với ạ
Em bị té xe đc 8 tháng rồi, em có đi phi kim nhưng k thấy đỡ còn bị nặng hơn 
M.n ai biết cách j không mách em với ạ😪
#Mong_được_ad_duyệt_ạ</t>
  </si>
  <si>
    <t>2019-12-12 08:10:31</t>
  </si>
  <si>
    <t>100009721658624</t>
  </si>
  <si>
    <t xml:space="preserve">#Mong_được_ad_duyệt_ạ </t>
  </si>
  <si>
    <t>m.n cho mình hỏi có ai biết kem nào trị được nứt nẻ tay chân và nứt toác như trong ảnh không ạ</t>
  </si>
  <si>
    <t>2019-12-08 00:37:35</t>
  </si>
  <si>
    <t>100022526593857</t>
  </si>
  <si>
    <t>Nửa đêm coi mà tức. Các mem/ ng thân/ bạn bè chú ý nếu định tới địa chỉ bệnh viện này nhé!</t>
  </si>
  <si>
    <t>2019-12-09 20:00:31</t>
  </si>
  <si>
    <t xml:space="preserve">Vì sự ngu ngốc của bản thân em đã bỏ cmn cây son vào máy giặt :&lt;. Em xin các chị tìm giúp em hãng son với ạ vì nó bị bay màu đi mất tiu rồi mà đọc trên cây còn chữ " It' too" ; "colourful"; "shine rouge liquid" mà em seach gg hông có 😥 em xin chỉ giúp em với ạ em ngàn lầm cám ơn ạ 💔
</t>
  </si>
  <si>
    <t>2019-12-25 14:15:59</t>
  </si>
  <si>
    <t>Phương Thạch</t>
  </si>
  <si>
    <t>100022252492860</t>
  </si>
  <si>
    <t>Ad duyệt giúp em với ạ❤
Em thuộc dạng ít mụn trên mặt nhưng em lại có mụn ngay cổ , mỗi lần có mụn không phải là mụn bọc hay mụn cơm mà nó xưng lên , bóp vào thì nó dai dai :v mà nặn không lên gì hết , anh chị  nào biết cách trị nó thì giúp em với ạ , em cảm ơn 
Hình hơi mờ anh chị thông cảm , trong hình có cái cục đỏ đỏ nâu sậm là nó ấy ạ .</t>
  </si>
  <si>
    <t>2019-12-09 11:57:49</t>
  </si>
  <si>
    <t>100010690962647</t>
  </si>
  <si>
    <t>Các chị thông thái cho em hỏi bị nổi mẩn ngứa như vậy là do nguyên nhân nào ạ, và xin cách trị ngứa chứ em gãi xước hết da..!! 
Em mới bị như vậy cách đây khoảng 3 tuần, từ nhỏ đến lớn em chưa bị bao giờ kể cả dị ứng nhẹ. Nó ngứa kinh khủng khiếp luôn 😭 cứ đến giờ là nó lại nổi ngứa như ảnh ấy ạ. Có chị em nào từng trải qua giống em thì chia sẻ bí kíp trị tận gốc và trị ngứa với. 
Em có ra tiệm thuốc tây mua thuốc dị ứng uống, nhưng chỉ được thời gian uống thuốc nó xuống, qua hôm sau vẫn nổi lên như cũ. Hiện tại em đang uống thải độc mát gan boganic. 
#noimanngua</t>
  </si>
  <si>
    <t>2019-11-17 02:23:49</t>
  </si>
  <si>
    <t>Hoài Vi</t>
  </si>
  <si>
    <t>100005472618248</t>
  </si>
  <si>
    <t xml:space="preserve">#noimanngua </t>
  </si>
  <si>
    <t>#ask
Nghe nói dòng son MAC mới ra mẫu này, không biết có chị em nào đã sử dụng chưa , cho em xin review đi ạh</t>
  </si>
  <si>
    <t>2019-11-06 05:13:56</t>
  </si>
  <si>
    <t>Nguyễn Thanh Trúc</t>
  </si>
  <si>
    <t>100005871733583</t>
  </si>
  <si>
    <t>#hoidap 
#damặt : da mặt em cứ sần sùi dù có đi nặn nhưng nhìn da mặt vẫn dơ kh đều màu và có vài vết thâm nên nhìn rất dơ ạ, lỗ chân lông em rất to em dùng nhiều cách mà vẫn kh hết. Da em là da dầu nhiều khi makeup đợi 15' thì nó trôi hết kể cả son môi dù lỳ cỡ nào cũng kh dính nổi trên môi em.
#đầugối : Em có sử sụng chanh và đường để chà nhưng vẫn kh thấy kết quả hic nên em rất ngạu mặc quần ngắn với váy ạ da ngăm mà đầu gối thâm nên ngại cực lun ạ :(((
#bắptay : Em rất muốn tìm cách khắc phục lại những vết đốm đó ạ mặc áo ôm tay ngắn mà lòi phần đốm ấy ra nên em rất ngại :((
❤Mọi người biết những sản phẩm hay cách gì  khắc phục thì giúp em với ạ. Em cám ơn mọi người 
À bên tay trái em có vết bớt rất lớn ạ nên mọi người biết chỗ nào xóa bớt chỉ em với ạ. Em cám ơn mng🥰</t>
  </si>
  <si>
    <t>2019-11-28 13:43:47</t>
  </si>
  <si>
    <t>Dung Phương Võ</t>
  </si>
  <si>
    <t>100026976619283</t>
  </si>
  <si>
    <t xml:space="preserve">#bắptay #đầugối #damặt  #hoidap </t>
  </si>
  <si>
    <t>Please : Mọi người ơi em bị té xe ở chân một tháng rồi đang lành lại em vẫn đều đặn rửa vết thương và bôi dầu mù u thời gian sau có nổi hột bên trong vết thương . Em đi phòng khám khám họ cho thuốc bôi và uống, sau khi uống 4 ngày các vết mẩn đỏ lan khắp người rất ngứa
Sau đó em đi khám ở bệnh viện da liễu họ bảo là Viêm da nhiễm trùng 
Cho em hỏi những ai đã bị kiêng cữ ntn và các dấu mẩn này có để lại sẹo không ạ
Em cố không gãi nhưng thật sự rất ngứa 
Mọi người giúp em với, em chả dám ra đường, à mẩn còn nổi vùng mặt và môi của em làm cho mặt và môi bị sưng và tấy lên ạ</t>
  </si>
  <si>
    <t>2019-12-20 09:36:20</t>
  </si>
  <si>
    <t>Nguyen Thi Nhu Y</t>
  </si>
  <si>
    <t>100044377830469</t>
  </si>
  <si>
    <t>Mọi người cho em hỏi vấn đề này với ạ
Hai bên bắp tay của em bị nổi hạt mẫn đỏ li ti, không biết làm cách nào để hết. Em bị đến nay cũng gần 4 năm rồi 😞😞 có cách nào để hết mấy cái hạt mẫn đỏ này không ạ
Tay bị vậy rồi cũng tự ti chẳng dám mặc áo ngắn tay ( em chụp gần nên nhìn bắp tay hơi to) 
Mong ad duyệt bài, em cảm ơn</t>
  </si>
  <si>
    <t>2019-12-23 12:26:11</t>
  </si>
  <si>
    <t>Minh An</t>
  </si>
  <si>
    <t>100016819549352</t>
  </si>
  <si>
    <t>Em chào các chị trong hội ạ ạ 😊
Hôm trước em được các chị tư vấn về giảm cân, thích quá, nên hôm nay xin tư vấn về da ạ. Hihi.
 Em da dẻ không được trắng nhưng trộm vía mạnh khoẻ. Ấy nhưng trong đời có 1 lần ngu, em dùng rượu thuốc hoàng cung ( 1,7tr) may mắn là em bỏ giữa chừng... Dạo gần đây, đi làm phải tiếp xúc với máy tính cường độ cao, stress... và em phát hiện da mình đang bị lão hoá. 
Bằng chứng là: từ da hỗn hợp thiên dầu ( trước em bị đổ dầu phần chữ T) trở nên khô, bị sạm đi, một số vùng da ở má lộ mạch máu nhẹ, nhìn cứ héo úa thế nào ấy.
Trước giờ em dùng sữa rửa mặt senka cùng máy rửa mặt, tẩy trang bio, kem chống nắng skin aqua ( rất lười thoa)  và hết ạ.
 Nay em mạnh dạn mua thêm nước hoa hồng và bộ đôi thần thánh gì đấy, em muốn nhờ các chị tư vấn cho em với, em coi clip trên youtobe mà cũng ko thấm ( Em ko biết gì về skin care cả, từ khi vào hội đọc các bài của các chị nên mới bắt đầu tập tành) 
Em cần hỏi là:
- Các sản phẩm trên có tốt không ạ?
- Các sản phẩm trên có phù hợp với da hhtd và đang dần bị lão hoá ko ạ?
-Em cần mua thêm sản phẩm gì ko ạ?
( Đằng nào cũng mua rồi, em cần củng cố niềm tin)
Cảm ơn các chị em ạ😊
#Tuvanchamsocdalaohoa</t>
  </si>
  <si>
    <t>2019-10-29 15:23:52</t>
  </si>
  <si>
    <t>My Sam</t>
  </si>
  <si>
    <t>100004548399482</t>
  </si>
  <si>
    <t xml:space="preserve">#Tuvanchamsocdalaohoa </t>
  </si>
  <si>
    <t>Sáng sớm thấy có bài cũng hỏi về bọng mắt, hí ha hí hử vào thì ce toàn đá xéo nhỏ kia làm mịn chưa học được gì cả 😢
Ce giúp em với, bọng mắt em 2 năm trở lại đây to hẳn luôn, thâm nhiều nữa, em có thử sd tuýt kem trị trâm màu tím tím (sorry mng thực sự em không bao giờ nhớ tên nổi) 😅 nạ mắt ... nhưng chưa cải thiệc được tí nào về thâm mắt cả 
RẤT MONG AD DUYỆT GIÚP EM VỚI TẾT SÁT ĐÍT RỒI EM CÒN CHƯA ĐẸP NỔI. À mà lần đầu em đăng bài trong group nên sai ít sai nhiều mng góp ý em nhẹ nhàng thui nhaaa</t>
  </si>
  <si>
    <t>2019-12-21 02:09:51</t>
  </si>
  <si>
    <t>100030623919282</t>
  </si>
  <si>
    <t>Bị vậy thì làm sao cho hết vậy mn, mặc em bh nổi lên muốn hết mặc luôn rồi :(( ở ngoài nhìn ghê lắm ai đó giúp em đi huhu</t>
  </si>
  <si>
    <t>2019-12-26 00:22:51</t>
  </si>
  <si>
    <t>Mấy chị ơi! Chuyện là môi em vô mùa này lạnh nó bị nứt chảy máu luôn í😭😭😭. Mà e có sd vaseline hay son dưỡng môi cũng bị bong ra luôn😢. Mấy chị có cách nào chỉ giúp e với ạ? 😔😔
#Nhờ add duyệt cho e xin ý kiến. Môi em nứt đau quá thôi! Cảm ơn adđ</t>
  </si>
  <si>
    <t>2019-12-22 22:11:43</t>
  </si>
  <si>
    <t>Mễ Mễ</t>
  </si>
  <si>
    <t>100012074895828</t>
  </si>
  <si>
    <t xml:space="preserve">#Nhờ </t>
  </si>
  <si>
    <t>#ask
#somebymi #redpeel
Mọi người ơi cho em hỏi xíu ạ
Em đang dùng toner Some By Mi (chai thứ 4 rồi, ngày 2 lần sáng - tối). Bây giờ em muốn dùng thêm Red Peel thì có được không ạ? 
Nghe đồn là 2 sp này cùng có AHA BHA dùng chung sẽ làm tăng tác dụng dễ gây kích ứng da =( mà em lỡ mua cả 2 rồi 😂
Da em là da hỗn hợp thiên dầu, ko nhạy cảm, ko có mụn sưng viêm hay có mũ, mụn ẩn thì có 1-2 cục. Nói chung là da khỏe, chỉ là da chết nhiều, dù dùng tẩy trà xanh của ST Ives tẩy tbc c đều đặn 3 lần/tuần, dùng some by mi để hỗ trợ thêm nhưng da vẫn bị bong da chết ra 😭</t>
  </si>
  <si>
    <t>2019-03-15 07:58:04</t>
  </si>
  <si>
    <t>Thảo Hiền</t>
  </si>
  <si>
    <t>100002997374359</t>
  </si>
  <si>
    <t xml:space="preserve">#redpeel #somebymi #ask </t>
  </si>
  <si>
    <t>Add duyệt hộ 
Năm ngoái em có dùng thuốc Bắc nay được 7 tháng thì bây giờ da em có biểu hiện muốn bị mụn lại , mặt có lúc ngứa , nổi mụn liti , đổ nhiều dầu . Nên mngg chỉ giúp em xài gì để ngừa mụn và da khỏe với ah . Da em mẫn cảm và nhạy cảm lắm em không biết chọn cái naod để hợp</t>
  </si>
  <si>
    <t>2019-12-05 08:59:13</t>
  </si>
  <si>
    <t>Ry Vo</t>
  </si>
  <si>
    <t>100015385931983</t>
  </si>
  <si>
    <t>#moctoc
Các chị ơi giúp e với e buồn lắm ạ, dạo này e bị rụng tóc ở phần trán đến hói luôn không dám chụp ảnh soi gương tại thay đổi tóc kiểu gì cũng thấy hói mà trán e lại là trán sân bay 😢 cứ vuốt là rụng kèm với đầu trắng ở đầu sợi tóc ấy ạ
Bây h có cách nào để mọc tóc lên nhanh k ah chứ sắp tết rồi huhu 😢
Ad duyệt dùm e với ạ...</t>
  </si>
  <si>
    <t>2019-11-27 13:59:17</t>
  </si>
  <si>
    <t>Chào mọi người lại là em đây ạ. Sau lần đăng bài trước em đã khám da liễu và bs nói em bị dị ứng với mỹ phẩm, em được kê đơn thuốc và thuốc bôi nên mặt h đỡ hơn xíu. Nhưng em thấy em còn mụn ẩn vài nơi nên muốn hỏi mọi người về cách chăm sóc da mụn ẩn còn đọng lại, cách chăm sóc sau mụn, và trị thâm mụn được không ạ? 
#trimunan
#tritham</t>
  </si>
  <si>
    <t>2019-12-02 13:59:26</t>
  </si>
  <si>
    <t>Tiêu Yên</t>
  </si>
  <si>
    <t>100043781432180</t>
  </si>
  <si>
    <t xml:space="preserve">#tritham #trimunan </t>
  </si>
  <si>
    <t>#ask #kcn 
Cho em hỏi trong group có ai dùng qua loại này chưa ạ. Em test 1 lần thấy ok khô thoáng nâng tone nhẹ, mà thấy chỉ số spf 100+ khá cao nên cũng hơi ngại vì bình thuờng em dùng có 50++. nếu spf 100+ mình dùng mỗi ngày đuợc không nhỉ 
Update: Neutrogena có nhiều loại kcn. Truớc mình có dùng qua 1 loại của hãng luôn thấy bí da và nhờn lắm nhưng chuyển sang em này thì không. Mình chỉ ngại vụ chỉ số spf cao thui chứ mình dùng thấy ok</t>
  </si>
  <si>
    <t>2019-08-06 14:41:17</t>
  </si>
  <si>
    <t>Nguyen Ngoc Xuan Trangg</t>
  </si>
  <si>
    <t>100032809951371</t>
  </si>
  <si>
    <t xml:space="preserve">#kcn #ask </t>
  </si>
  <si>
    <t xml:space="preserve">Một chiếc topic cho các chị comment về các sản phẩm mà mọi người dùng đều đẹp lồng lộn nhưng với các chị lại không
</t>
  </si>
  <si>
    <t>2019-12-16 03:03:57</t>
  </si>
  <si>
    <t xml:space="preserve">#askddonnoidiatrung #reviewphanphugogotales chuyện là mình sắp hết em innis mà em ấy dùng khi không bay nhảy đc thui còn đã đi ra đường là bay hết nên mình muốn tìm loại phấn phủ rẻ kiềm dầu đỉnh nên xin review về loại này và cả loại khác nữa các chị em ơi da mình dầu ko đều màu hết ạ </t>
  </si>
  <si>
    <t>2019-08-19 13:06:22</t>
  </si>
  <si>
    <t>Vũ Phương Trinh</t>
  </si>
  <si>
    <t>100026297656665</t>
  </si>
  <si>
    <t xml:space="preserve">#reviewphanphugogotales #askddonnoidiatrung </t>
  </si>
  <si>
    <t>#Đepchanhsa
#Trimunan
#Help
E chào mọi người. Hiện là da E đang bị mụn ẩn , mọi người biết sản phẩm nào đẩy mụn ẩn tốt an toàn không ạ ?</t>
  </si>
  <si>
    <t>2019-05-06 07:13:01</t>
  </si>
  <si>
    <t>Hồng Mai</t>
  </si>
  <si>
    <t>100005347202613</t>
  </si>
  <si>
    <t xml:space="preserve">#Help #Trimunan #Đepchanhsa </t>
  </si>
  <si>
    <t>Mọi người ơi em là thành viên mới. Mọi người chỉ cách giúp em trị mụn với ạ. Da em da dầu thâm dữ luôn lỗ chân lông to nữa ạ. Em cảm ơn mọi người.</t>
  </si>
  <si>
    <t>2019-12-07 13:19:44</t>
  </si>
  <si>
    <t>Thu Thảo</t>
  </si>
  <si>
    <t>100037982841398</t>
  </si>
  <si>
    <t>#dakho _ Help meee :(( 
Mong ad duyệt bài giúp em ạ 
Mọi người có ai bị da khô như em không ạ 🤕🤕 cứ đến mùa đông là chân tay e bị như này ạ , lạnh quá thì cả body luôn &gt;&lt; , chỗ da mềm cũng bị , hơi lạnh xíu thôi đã bong chóc hết cả ra rồi  
E đã thử tdc và dùng sdt lâu nay nhưng không có tác dụng , cứ ngỡ tẩy da chết đi là hết 😑 nhưng không rồi đâu lại vào đó . Mùa đông đến là ngại mặc quần áo cộc lắm ý ạ :(( 
Mn có biện pháp nào cho em xin chút ý kiến với chứ thật sự e vã lắm rồi 😭😭
Em cảm ơn rất nhiều❤️❤️</t>
  </si>
  <si>
    <t>2019-11-18 14:56:46</t>
  </si>
  <si>
    <t>Từ giờ đến tết còn 2 tháng nữa thôiiii 
Cho em xin vài cách giảm cân đặc biệt là giảm béo mặt được không ạ 😭 Thực sự em ăn bao nhiêu nó dồn toàn tập vào mặt và bụng . Chân tay thì vẫn bé xíu . Ai biết chỉ em với huhu 
  E cao 1m53 nặng 47kg ạ</t>
  </si>
  <si>
    <t>2019-11-26 06:03:10</t>
  </si>
  <si>
    <t>Đặng Hòa</t>
  </si>
  <si>
    <t>100031677481196</t>
  </si>
  <si>
    <t>Mn ơi da mình đi nặn mụn ở spa về thì như thế này ạ ai có cách nào giúp mình với 
Mong ad duyệt giúp e</t>
  </si>
  <si>
    <t>2019-12-18 05:42:45</t>
  </si>
  <si>
    <t>Denis Adam</t>
  </si>
  <si>
    <t>100028696686924</t>
  </si>
  <si>
    <t>Vì vấn đề hơi tế nhị nên cho e xin dùng nick ảo ạ
Anh/chị trong group có ai bị hôi miệng nặng giống trường hợp của e chưa ạ :((((
Răng miệng e không sâu nhưng nước bọt và hơi thở luôn có mùi, dù đã vệ sinh răng sạch sẽ 
Nhiều lúc e khạc nhổ thì có những chấm trắng li ti ( có lúc là những hạt trắng nhỏ ) như mủ và có mùi hôi. Đờm luôn luôn có mùi :((((
Có ai trong group bị như vậy không và đã giải quyết được chưa... E muốn yêu đương lắm nhưng ngại mùi hôi miệng nên kb sau này ra sao ạ
E cảm ơn mọi người. Mong bài được duyệt ạ
#muihoimieng #cachchua</t>
  </si>
  <si>
    <t>2019-12-03 23:49:00</t>
  </si>
  <si>
    <t>Vũ Hạ</t>
  </si>
  <si>
    <t>100017404920956</t>
  </si>
  <si>
    <t xml:space="preserve">#cachchua #muihoimieng </t>
  </si>
  <si>
    <t>#thucphamchucnang
Các chị em giới thiệu hay review e thực phẩm chức năng tốt cho da đi ạ. Công dụng làm căng da. Cho da khoẻ là được rồi. E từng bị viêm dị ứng da nên giờ k dám xài mỹ phẩm nữa. E thấy uống collagen hay nhau thai cừu gì đó được không mấy chị ?</t>
  </si>
  <si>
    <t>2019-03-24 16:29:11</t>
  </si>
  <si>
    <t>Thao Tran</t>
  </si>
  <si>
    <t>100009465179176</t>
  </si>
  <si>
    <t xml:space="preserve">#thucphamchucnang </t>
  </si>
  <si>
    <t>cả nhà ơi em thấy ng ta đăng như thế này, chắc cũng là bán thuốc gì đó, nhưng cũng đúng bé em đang có mấy cái răng đang bị vàng kiểu như hình này, 
Thì cho em hỏi có ai bị chưa ạ, có chữa hay cải thiện ntn với ạ, hoang mang vì bé thay răng rùi xong vẫn có vàng này. 
Em cảm ơn ạ, em hỏi thật k phải pr hay mua bán thuốc k rõ nguồn gốc đâu ạ</t>
  </si>
  <si>
    <t>2019-12-16 08:48:30</t>
  </si>
  <si>
    <t>Hong Ngoc</t>
  </si>
  <si>
    <t>100005193888700</t>
  </si>
  <si>
    <t>#ask
#help
#chuyentenhi
- Mng cho e hỏi làm sao để trị thâm nhũ hoa ạ, em chưa quan hệ hay gì mà nhũ hoa thâm kinh 😞 cả vùng kín và quanh vùng đấy cũng bị thâm nữa ạ 😞 
- E muốn trị thâm mông nữa, em có mấy cái mụn mông sờ vào cứ sần sần chán ghê 😞 
Chuyện nữa là e cũng béo lắm , mng có cách gì để ốm nhanh không như đồ uống hoặc bài tập ý vì e sắp chụp kỉ yếu rồi😭
E cảm ơn</t>
  </si>
  <si>
    <t>2019-05-06 13:15:23</t>
  </si>
  <si>
    <t xml:space="preserve">#chuyentenhi #help #ask </t>
  </si>
  <si>
    <t>Cho em xin ý kiến một ít không liên quan và khá nhạy cảm về nam giới với ạ. Vì trong đây nhiều người quen nên em sd nick clone. Chuyện là em 17 tuổi và bị bán hẹp bao quy đầu, và em ko gặp khó khăn khi đi vệ sinh hay còn đọng lại chất dơ ở quy đầu gì cả. Em tìm trên mạng thì đc chỉ cách làm giãn bao tại nhà bằng cách kéo căng bao ra kết hợp bôi thuốc từ 1-2 tháng. Trong đây có mấy anh nào áp dụng cách đó và bôi thuốc mà thành công chia sẻ kinh nghiệm cho e với ạ
Cảm ơn mọi người</t>
  </si>
  <si>
    <t>2019-11-20 00:15:21</t>
  </si>
  <si>
    <t>Gia Phuc</t>
  </si>
  <si>
    <t>100014296141558</t>
  </si>
  <si>
    <t>Da em là da dầu cực kì nhạy cảm lcl to.mun ẩn nhiều ở tran và hai bên má.😭😭😭 lúc trước em từng dính kem trộn.bay giờ da e yếu lắm.e chỉ Sài srm centapil thôi ạ.moi người có cách nào giúpem không ạ 😭😭😭</t>
  </si>
  <si>
    <t>2019-12-15 05:59:42</t>
  </si>
  <si>
    <t>Kim Tuyến</t>
  </si>
  <si>
    <t>100010143186954</t>
  </si>
  <si>
    <t>Xin một số tips hoặc sản phẩm trị thâm tốt với ạ 😭 mặt mình chỉ sử dụng srm của simple thôi ạ</t>
  </si>
  <si>
    <t>2019-12-08 09:48:48</t>
  </si>
  <si>
    <t>Trang Nhung</t>
  </si>
  <si>
    <t>100044143462603</t>
  </si>
  <si>
    <t>Mong Ad duyệt bài giúp em ạ! 1 năm trước đây em cũng từng sd thuốc rượu, và bị dính kem trộn vài tháng trước ạ! Trộm vía giờ hai bên má em bớt mụn còn thâm, mà trán em thì cứ nổi như vậy hoài, 1 chỗ mụn có nhiều nhân trắng cứ hết vài mụn thì nổi lên vài mụn. Hiện tại em kh sd mỹ phẩm gì cả, em sd srm dịu nhẹ kh bọt, và bôi thuốc derma forte. Các bạn, các chị có kinh nghiệm cho em hỏi da em như vậy là do bị gì ạ. Tại em có uống thuốc tây nên kh biết có phải do nóng gan hay kh. Gần tết rồi mà nhìn da buồn quá. Mong mn chỉ cho em với, em cảm ơn nhiều ạ!!!</t>
  </si>
  <si>
    <t>2019-12-13 00:47:08</t>
  </si>
  <si>
    <t>Củ Cải</t>
  </si>
  <si>
    <t>100035492844320</t>
  </si>
  <si>
    <t>Các bạn trong nhóm mình có ai xài loại nước hoa NARCISO EAU DE PARFUM POUDREE 
(loại thân lùn màu hồng nhạt) chưa ạ?
Hix: Đắn đo mãi mới dám mua , mà xịt vào bị chóng mặt và buồn nôn ý. Đắng mề quá ạ 😥😥😥
#đepchanhsa
#nuochoa</t>
  </si>
  <si>
    <t>2019-08-31 13:48:47</t>
  </si>
  <si>
    <t>Nguyễn Ngọc Thúy</t>
  </si>
  <si>
    <t>100004477683589</t>
  </si>
  <si>
    <t xml:space="preserve">#nuochoa #đepchanhsa </t>
  </si>
  <si>
    <t>#ask #mayruamat  #riodezac
Ngoài foreo ra thì mình thấy mrm rio này của Anh quốc quá là phù hợp cho giá tầm trung. Đầu cọ hình lá dễ xử lý vùng cánh mũi, có 5 mức độ rung, chống nước và quan trọng là pin trâu, 1 lần sạc được những 5 6 tháng (?) Mình đang có ý định mua em này. Chị em nào đã sử dụng qua mrm Rio thả cho mình vài review được không ạ 😀
.
.
Ối zối =))) em mua được cả tuần rồi ad mới duyệt cho em 😞 em này dùng phê lắm cả nhà ạ. Thích nhất cái đầu vát chiếc lá lách chỗ nào cũng dễ 😀. 
Em edit cho mn đỡ phải lướt cmt. Máy này em mua 855k ở trang thương mại điện tử Azooo, các ac lên web đấy người ta hướng dẫn mua hàng đó ạ. 
Cảm nhận sau khi dùng mrm là sướng hơn dùng tay gấp 3 lần nha chị em. Da mịn ơi là mịn. Mụn đầu đen và mụn cám của em giảm đáng kể. Mrm đẩy mụn ẩn nên ai dùng thấy lên mụn thì cũng đừng lo lắng. Ngoài dùng để rửa mặt em còn dùng để matxa sau khi bôi serum và kem dưỡng. Gai silicon mềm nên ko bị rát da đâu ạ. Còn vụ xệ mặt thì chị em lưu ý vuốt nhẹ từ dưới lên trên là ko sao đâu. Chưa có tiền mua foreo thì mua máy này là hợp lí đó ạ. Em đọc thấy made in UK là yên tâm lắm.</t>
  </si>
  <si>
    <t>2019-08-04 08:39:55</t>
  </si>
  <si>
    <t>La Đinh Đinh</t>
  </si>
  <si>
    <t>100005386001367</t>
  </si>
  <si>
    <t xml:space="preserve">#riodezac  #mayruamat #ask </t>
  </si>
  <si>
    <t>Cần 500 anh em tư vấn giúp em với ạ. Tình hình hiện tại em m63 53kg ,  nhưng  lại không cân xứng, bạn đùi bé tí ti, còn bụng thì lại to. Nếu có xuống cân thì chỉ giảm đùi chứ bụng chẳng giảm được gì. Các anh chị có bài tập nào giúp em giảm phần bụng được không ạ, hoặc có thể cho phần đùi to ra để cân xứng hơn cũng được ạ. 😭😭😭, chứ như vậy thật sự em muốn mặc mấy bộ đầm bánh bèo mà chẳng thấy eo ét gì hết. Tủi thân thật sự 😭😭😭.</t>
  </si>
  <si>
    <t>2019-11-25 23:33:56</t>
  </si>
  <si>
    <t>Bee Bee</t>
  </si>
  <si>
    <t>100022306190922</t>
  </si>
  <si>
    <t>#ask
#dadau #munan
Mọi người tư vấn cho em sp trị mụn với ạ. Em năm nay 20 tuổi. Da dầu, mụn ẩn và lcl 😢
Cách đây 4-5 tháng em có bắt đầu skincare. Tt kose, srm senka, ttbc arahan, lotion và kem dưỡng ẩm hatomugi
Ban đầu thì em có mua set mini của hatomugi về dùng thử. Thấy hợp nên đã mua sang loại lớn. Nhưng dạo gần đây thấy xuất hiện nhiều mụn ẩn ạ. 
Hiện tại thì em đã ngưng tất cả các sp, chỉ sử dụng srm trà xanh của nhật
Mong ad duyệt bài giúp em với ạ. Đăng mãi mà chưa được duyệt ạ. 😭</t>
  </si>
  <si>
    <t>2019-12-13 16:32:37</t>
  </si>
  <si>
    <t>100007575706857</t>
  </si>
  <si>
    <t xml:space="preserve">#munan #dadau #ask </t>
  </si>
  <si>
    <t>#ask 
Ngoài lề một tí ạ, có chị em nào đi phá nốt ruồi hoặc sửa mũi xăm chân mày mà sợ phá tướng không ạ? Chẳng là cánh mũi em to em muốn đi cắt nhưng ông bà nhà bảo mũi lân (mũi tướng) sửa đi sau này lộc lá không vào 😢 với để nốt ruồi ngay miệng em hơi tự ti ạ. 
Mong ad duyệt bài, em cảm ơn nhiều ạ</t>
  </si>
  <si>
    <t>2019-10-31 15:19:53</t>
  </si>
  <si>
    <t>Trúc Thuỷ Lê</t>
  </si>
  <si>
    <t>100034173496119</t>
  </si>
  <si>
    <t>Mn có cách gì để trị thâm mắt không ạ
Mình hay thức đêm mắt thâm ghê gớm 😌</t>
  </si>
  <si>
    <t>2019-12-25 12:22:01</t>
  </si>
  <si>
    <t>Văn Vi Vu</t>
  </si>
  <si>
    <t>100008162734433</t>
  </si>
  <si>
    <t>Em chào mng, hiện tại e chỉ mới 14t thôi nhưng tay em nhìn như tay của người 40t vậy ạ :&lt; Có cách nào giúp tay em bớt gân và mũm mĩm hơn xíu được hem ạ? Em mong ad duyệt cho em, em cảm ơn &lt;3
 #Help</t>
  </si>
  <si>
    <t>2019-11-07 11:28:14</t>
  </si>
  <si>
    <t>Uyên Nhii</t>
  </si>
  <si>
    <t>100037287730842</t>
  </si>
  <si>
    <t xml:space="preserve">#Help  </t>
  </si>
  <si>
    <t>#đepchanhsa
#goccantuvan
Mn có ai bị chai gót chân k ạ? Gót chân e hiện tại rất khô và cứng, sờ vào da dày gần cm ý. Mùa đông cũng nứt 1 xíu thôi nhưng k để ý là nứt to luôn ý. 
E có nghe c bạn bán hàng thái mua lộ này về mà chưa dùng, nhưng nhìn cách dán chắc k đúng chuẩn rồi. 
Mn có cách nào làm bong lớp da gót chân và bôi gì cho mềm gót rv giúp e vs ạ. 
Thanks Nhìu.</t>
  </si>
  <si>
    <t>2019-10-29 05:43:10</t>
  </si>
  <si>
    <t>Duyên Nợ</t>
  </si>
  <si>
    <t>100027907110266</t>
  </si>
  <si>
    <t xml:space="preserve">#goccantuvan #đepchanhsa </t>
  </si>
  <si>
    <t>#longchan #taylong #long 
🌺 Câu chuyện muôn thuở của chị em: 
Em năm nay lớp 11, vì công việc gia đình nên em phải chuyển sang trường tư học  trong vài tuần nữa. Mà trường em sắp học là mang váy đi học í ạ . Mà em lông chân nhiều từ nhỏ tới giờ. Mấy chị có cách nào tẩy lông mà lúc mọc lại nó mỏng bớt và đừng cứng, đen hơn được kh ạ ( trừ đi spa trệt lông, vì em đang nhỏ và chưa có đủ điều kiện ạ ) . Em cảm ơn  mọi người.</t>
  </si>
  <si>
    <t>2019-11-24 05:21:30</t>
  </si>
  <si>
    <t>Khánh Linh</t>
  </si>
  <si>
    <t>100012790980267</t>
  </si>
  <si>
    <t xml:space="preserve">#long #taylong #longchan </t>
  </si>
  <si>
    <t>#TưVấn
#Help
#ĐẹpChanhXả
- Gần tết rồi mà mặt mũi như này em chán quá ạ, trước giờ em không xài mỹ phẩm nên không biết tại sao mặt em lại nổi nhiều như thế, em mới bị tầm 5 tháng đổ lại thôi, lúc trước da em khá ok ạ.
- Tầm đây nửa tháng em bắt đầu sử dụng srm + tẩy trang của LA rosche - posay + kem trị mụn Dou+ . Tuần 2 lần em có đắp mật ong nghệ ( mẹ em ngâm nghệ tươi vs mật ong, em đắp hỗn hợp này ạ ), em thấy có giảm bớt mụn viêm, mụn sưng nhưng không cải thiện đc nhiều lắm ạ. Mấy anh/chị cho em xin tips trị mụn trị thâm với chứ tết nhất mặt em như này chắc khỏi đi chơi mất 😭 . Da em là da dầu, rất nhiều dầu mặc dù em uống khá nhiều nước và da em rất dễ nhạy cảm ạ. Em c.ơn m.ng ạ
Cảm ơn ad duyệt bài cho em ạ</t>
  </si>
  <si>
    <t>2019-11-23 01:03:57</t>
  </si>
  <si>
    <t>Thúy Hiền</t>
  </si>
  <si>
    <t>100010589582706</t>
  </si>
  <si>
    <t xml:space="preserve">#ĐẹpChanhXả #Help #TưVấn </t>
  </si>
  <si>
    <t>Mọi người ơi,
Cho mình hỏi là ai đã dùng qua loại mỹ phẩm nào giúp da nhanh khỏe, mình đã từng xài qua rượu thuốc gần đc 1 năm, mới dùng xog da rất đẹp, giờ nhìn kĩmụn ẩn với mụn li ti rất nhìu, k bit có phải do rượu thuốc k, nhưng giờ da rất nhạy cảm, châm chích ngứa rất khó chịu. Bạn nào bít cách trị mụn nào hay và làm cho da khỏe nhah phục hồi chỉ mìn với ạ. Gần tết rồi nữa 😔</t>
  </si>
  <si>
    <t>2019-12-14 12:24:33</t>
  </si>
  <si>
    <t>Bảo Bình</t>
  </si>
  <si>
    <t>100040780864897</t>
  </si>
  <si>
    <t>Một vài mẹo phân biệt mỹ phẩm nhập và kem trộn nhé. Đầu tiên là check mã vạch. Nhập nước nào thì bạn check 3 số đầu của mã vạch. Và có cả công thức cộng các số trên mã vạch. Thứ 2: Xem trang web của công ty sản xuất vì trên sản phẩm sẽ có tên công ty, sản xuất, web.....                                                                     Thứ 3: Tờ hướng dẫn sử dụng ( ngoài tem phụ dán bên ngoài thì trong nhiều hộp mp có cả hdsd tiếng nước sx hoặc tiếng anh). Còn vài cái nữa là tra gg xem sản phẩm ở thị trường quốc tế thế nào, review nó ở các nước khác, chữ trên vỏ hộp k có tiếng Việt, ít boss livetream khoe xiền, khoe xe mà bên nhập còn phải cong đít đi làm thị trường, người ta còn kêu nghèo ấy 🙂. Có mp nhập nguyên hộp, có loại nhập nguyên liệu, có cả loại mà nhà nhập khẩu Việt đặt làm theo thương hiệu riêng nữa. Dù biết là mọi thứ đều có thể làm giả từ cái công bố, cái tem chống giả( giờ Bộ CA k phát hành tem chống giả nhé) nhưng khi bạn tập hợp tất cả những thứ trên lại mà có đủ thì cũng yên tâm phần nào rồi đó</t>
  </si>
  <si>
    <t>2019-11-27 14:02:43</t>
  </si>
  <si>
    <t>Trang Nguyễn Thị Vân</t>
  </si>
  <si>
    <t>100003708475633</t>
  </si>
  <si>
    <t>Help me 😭 😭 😭 Mong ad duyệt bài
Sau khi dùng 1 lọ mai thảo mộc (đưa đẩy sao biết đến gr đọc được quá trời phốt) em ngưng dùng được tầm 2 tuần giờ da chán thiệt sự. Khô mà sần sần , mụn lên nhiều 😢😢 Giờ em nên dùng gì để dưỡng lại đây ạ. Mn có bí quyết gì share em với . E buồn quá 😞 
#maithaomoc
#trimun
#trangda</t>
  </si>
  <si>
    <t>2019-11-01 14:14:47</t>
  </si>
  <si>
    <t xml:space="preserve">#trangda #trimun #maithaomoc </t>
  </si>
  <si>
    <t>#ask
M.n chỉ em cách trị thâm đầu gối với ạ :(((</t>
  </si>
  <si>
    <t>2019-11-29 15:36:04</t>
  </si>
  <si>
    <t>Ánh Ánh</t>
  </si>
  <si>
    <t>100030919964813</t>
  </si>
  <si>
    <t>#gocnhotuvan
Chào mọi người!
Em bị thâm mụn và mụn lưng thế này nên làm sao đây các chị? có cách nào ko chia sẻ em với?
Sẵn tiện chị nào biết cách trị thâm nách chia sẻ giúp em với ạ?
Em cảm ơn,</t>
  </si>
  <si>
    <t>2019-03-27 13:38:13</t>
  </si>
  <si>
    <t>Bích Thủy</t>
  </si>
  <si>
    <t>100006579618190</t>
  </si>
  <si>
    <t xml:space="preserve">#gocnhotuvan </t>
  </si>
  <si>
    <t>Ad duyệt bài mình với
Ce có biết cách nào trị mụn thịt không ạ?
Mẹ m bị mụn thịt quanh mắt cũng bôi thuốc mà k hết. M sn 93 cũng đag có dấu hiệu bị nhè nhẹ r. Ai có cách gì hay sp gì hay chia sẽ cho m với 😍</t>
  </si>
  <si>
    <t>2019-11-04 15:04:51</t>
  </si>
  <si>
    <t>Kiều Mi</t>
  </si>
  <si>
    <t>100003801791339</t>
  </si>
  <si>
    <t>Da mặt em bây giờ sài dì cho trắng mà không mọc mụn hã mấy chị. Em bầu tháng cuối sắp sinh từ khi có bầu mặt cứ đen xạm ý 😥😥 ai cũng nói bầu không nổi mụn đẻ xong là mụn đầy mặt luôn 
❤️</t>
  </si>
  <si>
    <t>2019-12-17 05:58:10</t>
  </si>
  <si>
    <t>#dasam#
Đây là làn da hiện tại của mình: đen, sạm ko đều màu tàn nhang, nám tá lả. Nhìn da như kiểu bẩn bẩn ấy. Mình đã xài qua red c mà ko ăn thua. Hiện tại mình đang xài kem dongsung được hai tuần, chưa thấy tiến triển gì mấy. Chỉ thấy mịn hơn thôi. Ko make up là mất hết cả tự tin. Vì làn da này mà mình già đi bao nhiêu ấy! Ai có bí quyết gì chỉ mình với hu hu!</t>
  </si>
  <si>
    <t>2019-11-26 02:16:35</t>
  </si>
  <si>
    <t>Nhiên An</t>
  </si>
  <si>
    <t>100043765442366</t>
  </si>
  <si>
    <t xml:space="preserve">#dasam </t>
  </si>
  <si>
    <t>#ask #trị_thâm #somebymi
Em đã gửi bài 1 lần nhưng không thấy ad đăng nên em  mạo muội gửi lại thêm lần nữa. Mong ad đăng giúp em ạ, trước khi vết thâm mụn mới kịp trở thành vết thâm mụn cũ 😭😭😭
Chào các anh chị trong gr ạ. Da em là da SIÊU SIÊU SIÊU dầu (cứ khoảng nửa tiếng là em lại phải dùng film thấm dầu 1 lần), thường ngày thì da em ít lên mụn, lcl to.
Chuyện cũng chả có gì nếu em không vì thâm mụn mà liều mạng nghe lời bạn cùng phòng dùng rượu thuốc, nhưng sau khi dùng được tầm 15 ngày em lại cảm thấy sợ nên không dám dùng nữa. Cũng vì chưa dùng hết cái "liệu trình" của nó nên những vết thâm mụn cũ của em chưa có hết, đã thế lại còn thêm cả những vết thâm mụn mới chi chít dưới cằm.
Em dừng được 2 tuần rồi và hiện đang dùng Larocheposay gel B5 nhằm phục hồi da. Tuy nhiên các vết thâm nhìn rất chướng mắt và B5 thì hình như không hết thâm được.
Hiện tại em muốn trị thâm thì giữa 2 loại này em nên dùng loại nào phù hợp với tình trạng da của em bây giờ hơn ạ ?? Trong trường hợp có thể dùng thì em nên dùng ở bước nào so với Gel B5 không ạ ??
Em cảm ơn mn.</t>
  </si>
  <si>
    <t>2019-10-26 09:02:02</t>
  </si>
  <si>
    <t>Hua Hua</t>
  </si>
  <si>
    <t>100023508964237</t>
  </si>
  <si>
    <t xml:space="preserve">#somebymi #trị_thâm #ask </t>
  </si>
  <si>
    <t>#munboc
Mọi người ơi cho em tư vấn xíu, em hay bị nổi những đốt mụn bọc và mụn mũ trên trán rất to, sưng và đau. Lúc nó sưng to như vậy, có đốt thì hiện mũ trắng, đốt ko có chỉ sưng đỏ thôi, em đã nghe lời chỉ dẫn là ko nặn hay chọt cho nó bể nhưng có nhiều khi vô ý làm vỡ nó. Vỡ vậy rồi mình để luôn hay lấy giấy thấm cho hết mũ hay xử lý sao cho mốt nó ko để lại sẹo rỗ và ko lan sang những chỗ xung quanh vậy?
Mong ad duyệt cho em</t>
  </si>
  <si>
    <t>2019-12-14 02:16:19</t>
  </si>
  <si>
    <t>Vy Sue</t>
  </si>
  <si>
    <t>100006439549889</t>
  </si>
  <si>
    <t xml:space="preserve">#munboc </t>
  </si>
  <si>
    <t>#askdepchanhsa
Da e thuộc da khô, khô như hạn hán luôn
Và bị sẹo rỗ 
E k rành về sp tăng độ ẩm cho da
Mn chỉ giúp m các bước skincare của m như vậy có giúp tăng cường độ ẩm cho da k ak?
Và có sp nào trên hình k phù hợp cho da khô k ạ? Mong ad duyệt bài giúp ạ.</t>
  </si>
  <si>
    <t>2019-10-29 07:00:15</t>
  </si>
  <si>
    <t>Phan Diệp</t>
  </si>
  <si>
    <t>100007735486594</t>
  </si>
  <si>
    <t>Mn cho mình xin cách trị rụng , kích thích mọc tóc ở nam giới với ạ . Mình có xịt tinh dầu bưởi nhưng xịt xong mai cứ cảm thấy tóc rất là bết . 
Nhìn tóc là stress nặng luôn .không dám vuốt sáp sấy tạo kiểu luôn . Trước đây tóc mình mật độ rất là dày :((
Phía dưới là tóc sau khi gội xả xong
#rụngtoc</t>
  </si>
  <si>
    <t>2019-10-18 13:00:43</t>
  </si>
  <si>
    <t>Nguyen Chaien</t>
  </si>
  <si>
    <t>100003943862765</t>
  </si>
  <si>
    <t xml:space="preserve">#rụngtoc </t>
  </si>
  <si>
    <t>Mong ad duyệt giúp em. 
Em bị mụn cuối năm 12 rồi không biết cách chăm sóc kỹ nên bị sẹo rỗ, em muốn tìm nơi uy tín hay phương pháp điều trị rỗ an toàn không cần nghỉ dưỡng nhiều được không ạ, em làm tư vấn không thể nghỉ ở nhà lâu vì tính chất công việc nhưng cũng hơn 4 năm rồi khá tự ti và khá buồn, không tự tin gặp ai lạ hết.Em có đọc qua các PP như PRP, tách đáy sẹo, lăn kim, laser H4 hay Venus Viva nhưng k biết cái nào có hiệu quả thật sự. Mong mn giúp đỡ. Em cảm ơn rất rất nhiều 😖
#Đepchanhsa #review #Triseo #chiase</t>
  </si>
  <si>
    <t>2019-09-13 04:18:58</t>
  </si>
  <si>
    <t>Huyền Móm</t>
  </si>
  <si>
    <t>100003783290208</t>
  </si>
  <si>
    <t xml:space="preserve">#chiase #Triseo #review #Đepchanhsa </t>
  </si>
  <si>
    <t>Em chào cả nhà
Em đang cần tìm loại sữa rửa mặt dành cho da khô nhưng chưa biết nên chọn loại nào. Thời tiết bên em đang sống cũng hanh khô không kém nên e muốn cấp ẩm cho da 😢😢
Em đang cân nhắc 3 loại: Clinique, Biotherm hoặc Bioderma hoặc ai có loại nào khác oke hơn recommend cho e với ạ. E cảm ơn ạ!
(ảnh chống trôi)</t>
  </si>
  <si>
    <t>2019-11-11 23:27:20</t>
  </si>
  <si>
    <t>Hoang Anhh</t>
  </si>
  <si>
    <t>100008751090077</t>
  </si>
  <si>
    <t>Mọi người ơi cho e hỏi này là bị gì, ngứa lắm, nó cứ nổi hột hột lên mà chỉ vài khu vực bên phải chứ bên trái k nổi ạ. Cho e xin ý kiến với</t>
  </si>
  <si>
    <t>2019-12-10 18:48:05</t>
  </si>
  <si>
    <t>Dương Tuyết Thắm</t>
  </si>
  <si>
    <t>100009268582801</t>
  </si>
  <si>
    <t xml:space="preserve">#helppp_meee ạ 😢 
Da em là da dầu, có từng sd qua MTM và đã ngưng đc 4 tháng rùi ạ!!! 
Da nỗi mụn ẩn và cả mụn viêm ạ hiccc. Củng gần tết nên em muốn tìm hiểu sp skincare để mặt hết mụn ạaaaa. Hiện tại em dùng nước muối sinh lí với nước ấm để rửa mặt, em massage mặt với sữa tươi k đường khoảng 5’ sau rửa mặt. Có đắp nghệ cho đỡ vết thâm nữa ạ. Vẫn còn là hs nên mong đc các anh chị tư vấn cho sp phù hợp với ví tiền ạ. Em cám ơn
</t>
  </si>
  <si>
    <t>2019-12-11 13:23:09</t>
  </si>
  <si>
    <t>Thu Dung</t>
  </si>
  <si>
    <t>100012173505653</t>
  </si>
  <si>
    <t xml:space="preserve">#helppp_meee </t>
  </si>
  <si>
    <t xml:space="preserve">
#duongtrangda
Lần đầu viết bài mong ad duyệt ạ.
Mình đang có dự định dùng kem dưỡng vasaline và được tư vấn dùng kèm chung với viên kích trắng Alpha Arbutin này.
Không biết chị em mình có ai dùng loại này chưa, cho mình xin review để lấy động lực với ạ.
Cảm ơn cả nhà.</t>
  </si>
  <si>
    <t>2019-05-05 02:46:47</t>
  </si>
  <si>
    <t>Lê Thị Lê Dung</t>
  </si>
  <si>
    <t>100029698778214</t>
  </si>
  <si>
    <t xml:space="preserve">#duongtrangda </t>
  </si>
  <si>
    <t>#tưvấn #làmlôngmày
Dưới hình là lông mày tự nhiên của em chưa làm mày lần nào ạ. Bh e đang muốn làm mày. Chị em tư vấn giúp là nên phun hay điêu khắc ạ. Em muốn làm kiểu nhẹ nhàng tự nhiên thôi ạ. Em cảm ơn ạ . Mong ad duyệt bài</t>
  </si>
  <si>
    <t>2019-12-19 13:59:42</t>
  </si>
  <si>
    <t>Thùy Linh Trần</t>
  </si>
  <si>
    <t>100004682983859</t>
  </si>
  <si>
    <t xml:space="preserve">#làmlôngmày #tưvấn </t>
  </si>
  <si>
    <t xml:space="preserve">
#help :((
Xin phép ad và mn cho em được dùng acclone vì nhiều ng quen trong group mà em cũng hơi ngại ạ. 😓
Đây là tình trạng da mặt của em hiện giờ, em ko dùng gì hết ngoài chai Duo của La roche posay và sữa rửa mặt. Lúc trước mặt e ko bị lỗ chân lông to và bị nhiều nốt mụn đỏ lên như thế, ngoài ra còn bị thâm và tàn nhang do da mặt mỏng và dễ nám nắng, da em là da khô nhạy cảm ạ. 
Hi vọng ace trong group có thể nào cho em vài lời khuyên về việc skincare hợp lý để cải thiện da mặt được ko ạ, chứ em nhìn mặt em bh chán quá đi mất :((.
Mong ad duyệt bài hộ em, em cảm ơn nhiều lắm ạ.</t>
  </si>
  <si>
    <t>2019-11-26 13:17:35</t>
  </si>
  <si>
    <t>Julian Bui</t>
  </si>
  <si>
    <t>100025654100460</t>
  </si>
  <si>
    <t xml:space="preserve">
#nuochoacharme
#ask
Trong nhóm mình có ai dùng nước hoa charme không ạ. Mình đang muốn mua 2 lọ( mục đích chỉ dùng hànhn ngày ở nhà,đi chơi, đi dạo thôi thì nên dùng loại nào trong 3 mùi dưới ạ. Vì m test 1 hồi m chỉ thích mùi của Trust, Sì vaf Cool water. Mình thì thích mùi nhẹ thôi và cũng gần 30 rồi với thỉnh thoảng anh chồng hay sài ké nước hoa của vợ dù đã có nước hoa riêng rồi nên nhờ mọi người tư vấn chọn giúp m 2 mùi trong 3 mùi này với ạ. Hợp với thời tiết Sài Gòn. 
M cảm ơn</t>
  </si>
  <si>
    <t>2019-10-25 06:50:05</t>
  </si>
  <si>
    <t>Ly Dương</t>
  </si>
  <si>
    <t>100013114691209</t>
  </si>
  <si>
    <t xml:space="preserve">#ask #nuochoacharme </t>
  </si>
  <si>
    <t>Bộ y tế ra quyết định thu hồi giấy công bố, thu hồi các sản phẩm (có tên list bên dưới) của công ty cp Dreamt Life VN không đảm bảo an toàn, đồng thời dừng lưu thông luôn nè. Các thím đọc và tránh để bảo vệ sức khoẻ này!</t>
  </si>
  <si>
    <t>2019-12-04 07:15:51</t>
  </si>
  <si>
    <t xml:space="preserve">
#rangbiovang
#cachlamtrangrang
#help 
Mn cho e hỏi là trước e đi tẩy trắng răng răng trắng như hình phía bên phải mà chỉ được 1 thơi gian răng ngả vàng. Dù e kiêng mấy đồ ăn dễ ảnh hưởng đến răng sau khi tẩy trắng. 
Có ai bị như e k ạ. Đi lấy cao răng thì về nhức mấy hôm k ăn uống đc gì. Có ai có kem đánh răng hay sp gì giúp răng trắng k ạ 
 Mong ad duyệt bài ạ ❤️</t>
  </si>
  <si>
    <t>2019-10-01 05:27:44</t>
  </si>
  <si>
    <t>Ngọc Ánh</t>
  </si>
  <si>
    <t>100013623377550</t>
  </si>
  <si>
    <t xml:space="preserve">#help #cachlamtrangrang #rangbiovang </t>
  </si>
  <si>
    <t xml:space="preserve">
Nhờ các chị tư vấn giúp em các skincare trị mụn và thâm kèm lổ chân lông to. Da em là da dầu  với ạ😭😭
Trước giờ chỉ sử dụng trị mụn nhìu loại nhưng không hiệu quả . Mụn do nội tiết
Đang sài sữa rửa mặt senka trắng , xịt khoáng vichy  . Định mua kem trị mụn kenzit C nghe sử dụng tốt lắm . Còn cần sử dụng thêm gì nửa các chị tư vấn giúp em với
.#Trimun #Helpme</t>
  </si>
  <si>
    <t>2019-11-21 05:31:27</t>
  </si>
  <si>
    <t>Tuyet Mai</t>
  </si>
  <si>
    <t>100006484959513</t>
  </si>
  <si>
    <t xml:space="preserve">#Helpme #Trimun </t>
  </si>
  <si>
    <t>Mong ad duyệt bài ạ!!
Huhu tự dưng mặt em bây giờ mọc lên từng ấy mụn này, các mẹ có cách nào hết nhanh không ạ 😞 đơn giản càng tốt tại e rất bận 😞</t>
  </si>
  <si>
    <t>2019-11-28 00:28:43</t>
  </si>
  <si>
    <t>100013805285862</t>
  </si>
  <si>
    <t xml:space="preserve">
#ask
#helpme
 Em chưa được duyệt bài lần nào cả. Lần này mong ad duyệt.
Mong m.n giúp em với! E cũng từng dính NƯỚC TRỘN MAI THẢO MỘC đang loay hoay chữa trị làn da mụn .
Chả là e thấy review bộ sp hiruscar dùng cho da mụn tốt quá nên e cũng mua về xài. E dùng từ ngày 6/8 bao gồm srm trị mụn trị thâm của hiruscar.tẩy trang laroche posay. E dùng đc 2ng thì thấy mụn k hề giảm mà lại thấy mọc nhiều mụn đầu trắng hơn bên má có mấy vết ửng đỏ. E nt cho page hiruscar họ bảo e ngưng sd test thử lên da tay coi bị dị ứng k. E test thì thấy bt. 
M9- đến hnay e chỉ dùng tẩy trang và srm hiruscar thôi. Sáng nay tự dưng mặt e ngứa khó chịu quá lại xuống dùng srm hiruscar h mặt e thành ra vậy. E k biết vì s mặt e h cực ngứa. Mụn đầu trắng, vệt mụn đầu đỏ nhiều hơn?  E nt page thì họ tl như v. E có post bren dưới
Mong các cao nhân giúp em với ạ.  
Câu từ hơi lủng củng mong mn thông cảm.</t>
  </si>
  <si>
    <t>2019-08-11 08:19:48</t>
  </si>
  <si>
    <t>Nguyệt MoOn</t>
  </si>
  <si>
    <t>100011868092196</t>
  </si>
  <si>
    <t xml:space="preserve">#helpme #ask </t>
  </si>
  <si>
    <t xml:space="preserve">
#trimun 
#tritham 
[ edit ] : thời điểm mình nặn mụn là 25/6 và mình bắt đầu dùng dou+ 18/7 
Lần đầu đăng bài mong đc duyệt ạ 
Chuyện là tầm gần 2 tháng trc em có đi nặn mụn , da trc khi nặn mụn của em tạm ổn . Sau đó thì chuyện kinh khủng bắt đầu trên mặt em ( mng xem hình để rõ hơn ạ ) 
Sau khi nặn mụn về thì em cũng chỉ dùng nước muối sinh lí nhưng sau 2-3 ngày lại lên mụn viêm ở các chỗ bị nặn . khoảng 1 tuần sau thì em mua decumar về dùng ( có ảnh ) . Hết 1 tuýp thì em thấy nó k tiến triển hơn , vết mụn cứ âm ỉ đó nthe nên em chuyển sang dou+. 
Trong quá trình em dùng : tẩy trang loreal nắp hồng , gel rửa mặt la roche posay . 
Sau khi bị bong da thì em có mua thêm emulsion và essence của laneige thì k còn bị bong da nữa 
Sau 1 tháng dùng dou+ da hiện tại ( như ảnh ) k còn mụn viêm như hồi trc nhưng để lại rất nhiều thâm ạ . 
Từ đó trở về sau thì em k đi nặn mụn nữa . Mọi ng có cách nào trị thâm hiệu quả tư vấn giúp em với ,em cảm ơn mng rất nhiều vì cuộc sống em quả thay đổi hoàn toàn sau khi bị mụn 😞</t>
  </si>
  <si>
    <t>2019-08-20 06:39:50</t>
  </si>
  <si>
    <t>100028927758932</t>
  </si>
  <si>
    <t>#mụn 
Mọi người cho e xin tips trị mụn lưng với :'((((</t>
  </si>
  <si>
    <t>2019-06-23 15:36:42</t>
  </si>
  <si>
    <t>Lya Nguyen</t>
  </si>
  <si>
    <t>100034320830984</t>
  </si>
  <si>
    <t xml:space="preserve">#tuvan
Mong add duyệt bài ạ 😭
Giúp e vs mấy c ơi, huhu 2 tháng sau khi e té xe r ạ, sau khi té đường nhựa ạ,này là đã tróc mài 1 thời gian r, khi trời lạnh nó chuyển đỏ sang thâm đen, trời nóng thì đỏ. E đang thoa contractubex mà ko cải thiện j nhìu
</t>
  </si>
  <si>
    <t>2019-12-25 03:33:57</t>
  </si>
  <si>
    <t>Ngoc Nguyen</t>
  </si>
  <si>
    <t>100012910245560</t>
  </si>
  <si>
    <t>Mọi người ơi mình muốn phá mụn rùi này nhưng ko biết có nên mua thuốc phá mụn rui của Nhật liệu có an toàn ko ạ . Càng ngày nó càng to nhìn mất thẩm mỹ quá .😢😢</t>
  </si>
  <si>
    <t>2019-12-08 11:24:57</t>
  </si>
  <si>
    <t>Oanh Lê</t>
  </si>
  <si>
    <t>100011426560637</t>
  </si>
  <si>
    <t xml:space="preserve">Cần lắm #GIẢI_PHÁP cho tình trạng da này 🙁 em biết chắc sẽ có 1 số anh chị bảo đi da liễu, nhưng mà phụ huynh em lại cứ bảo từ từ nó hết, uống nước, ăn nhiều rau các thứ. Hiện giờ em stress kinh khủng, nguyên nhân gây stres là do mụn quà chừng mụn 😭
Với em cũng không biết skincare nữa, nên da mới thảm như vậy, với em có thói quen hay sờ tay lên mặt 😖
Mong admin duyệt bài cho em, em xin cảm ơn
</t>
  </si>
  <si>
    <t>2019-12-04 08:33:21</t>
  </si>
  <si>
    <t>My Bảo</t>
  </si>
  <si>
    <t>100042200020460</t>
  </si>
  <si>
    <t xml:space="preserve">#GIẢI_PHÁP </t>
  </si>
  <si>
    <t>#skincare #facialoil #review #ask
Hi vọng lần này được duyệt bài &lt;3
Mình là con nghiện skincare nhưng khoảng hơn 1 tháng nay mới bắt đầu rón rén sử dụng dầu dưỡng da vì đó giờ mình lo ngại da dầu mà dùng dầu nữa sẽ sinh mụn. Sau khi tìm hiểu kĩ về loại dầu dành cho da dầu với hàm lượng linoleic cao hơn oleic, mình quyết định chọn Derma E Illuminating Rosehip &amp; Cranberry Face Oil này &lt;3 
Thành phần chính của loại này thì có dầu tầm xuân, việt quất, bí đỏ,... mình dùng cảm thấy thấm khá nhanh mà ko hề nặng mặt. Mình cực kì ám ảnh chuyện da phải đủ ẩm nên sau khi làm sạch mặt, mình dùng toner --&gt; BHA hoặc retinol (cách ngày) ---&gt; dầu dưỡng DermaE này ---&gt; kem dưỡng (hoặc mặt nạ ngủ, cách ngày). ban ngày thì mình ko dùng BHA hay retinol mà dùng serum vitC, dầu dưỡng, kem dưỡng rồi tới kem chống nắng (mình ko make up, chỉ tô son)
Sau 3 tuần dùng thì mình chính thức thành con nghiện dùng dầu dưỡng huhu. Hi vọng chị em cho mình thêm một vài loại facial oil nữa để dùng hết em này mình nhảy tiếp vì mê dầu quá rồi hhehe. Cảm ơn chị emmmmm &lt;3 &lt;3</t>
  </si>
  <si>
    <t>2019-08-26 09:41:20</t>
  </si>
  <si>
    <t>Kiều Hạnh</t>
  </si>
  <si>
    <t>100009557242364</t>
  </si>
  <si>
    <t xml:space="preserve">#ask #review #facialoil #skincare </t>
  </si>
  <si>
    <t>#Ask
#kemchấmmụn
Trước đây mặt em gần như k hề có mụn , chỉ mọc mụn khi tới tháng . Sau đợt bị gãy chân phải uống kháng sinh 1 tháng thì mặt e banh chành như thế này . Mụn có mọc hai bên má nhưng ít , trán e mọc dày đặc như thế này và có mấy cục sưng đau và cứ cục này xẹp cục khác lại lên . Giờ e đang muốn tìm 1 kem chấm mụn , mọi người recommend cho e kem chấm mụn hiệu quả với ạ . E cảm ơnnn</t>
  </si>
  <si>
    <t>2019-10-16 05:34:57</t>
  </si>
  <si>
    <t>Lê Nguyễn Thanh Thùy</t>
  </si>
  <si>
    <t>100008685390592</t>
  </si>
  <si>
    <t xml:space="preserve">#kemchấmmụn #Ask </t>
  </si>
  <si>
    <t>E đang muốn tập makeup vì 1 cái tết ấm no 🤣.  Các chị có thể tư vấn cho em cần mua những thứ gì ko ạ . Đặc biệt là e cần loại che khuyết điểm tốt  , mặt e lắm mụn thâm + thêm quầng mắt chả khác gì con gấu trúc cả . Da e là khô và nhạy cảm . 
Ad duyệt giúp e với ạ
#goctuvan .</t>
  </si>
  <si>
    <t>2019-12-17 01:16:49</t>
  </si>
  <si>
    <t>Trần Thị Mai Anh</t>
  </si>
  <si>
    <t>100017721946949</t>
  </si>
  <si>
    <t>#kemduong 
Hiện em đang sd bha Paula's Choice và nia10% The Ordinary , hiện mụn ẩn được đẩy lên rất nhiều và da cứ sần sần như bị thiếu nước ấy ạ , mọi người có thể tư vấn em loại kem dưỡng nào mỏng nhẹ dưỡng da đơn thuần không ạ ? em cảm ơn , mong ad duyệt dùm em ạ ❤️</t>
  </si>
  <si>
    <t>2019-11-10 06:15:56</t>
  </si>
  <si>
    <t>Thiên Vy</t>
  </si>
  <si>
    <t>100011188187383</t>
  </si>
  <si>
    <t xml:space="preserve">#kemduong </t>
  </si>
  <si>
    <t>mong ad duyệt bài. ảnh đầu là ảnh lúc mình stress với dính kem trộn bị mụn kinh khủng cả mặt, ngoài nó còn ghê hơn trong ảnh nhiều ý huhuu, và ảnh 23 là mặt mình bây giờ sau khi chăm chỉ skincare và uống thuốc đầy đủ và nếu ko thức khuya chắc da mình còn khoẻ hơn. Nhân đây cho mình hỏi dùng gì để hết mấy cái nốt đỏ nhưng ko có nhân nhỉ, cảm ơn mng ạ</t>
  </si>
  <si>
    <t>2019-12-21 18:05:58</t>
  </si>
  <si>
    <t>Hạt Mít</t>
  </si>
  <si>
    <t>100005894774192</t>
  </si>
  <si>
    <t xml:space="preserve"> #kemtaylong
  Cho mình xin review các loại kem tẩy lông nách mà mọi người dùng ấy ạ . Mình định mua của Cleo nhưng xem review thấy khi bôi lên bị rát với châm chích nên mình định chuyển sang Veet . Với cả dùng wax có được không vậy ?</t>
  </si>
  <si>
    <t>2019-04-16 11:36:30</t>
  </si>
  <si>
    <t>Mận Đào Cu Nhang</t>
  </si>
  <si>
    <t>100014745154787</t>
  </si>
  <si>
    <t xml:space="preserve">#kemtaylong  </t>
  </si>
  <si>
    <t>Mọi người cho em xin review về máy rửa mặt này với ạ &lt;3</t>
  </si>
  <si>
    <t>2019-11-23 12:16:27</t>
  </si>
  <si>
    <t>Bạch Hiểu Lam</t>
  </si>
  <si>
    <t>100034415085109</t>
  </si>
  <si>
    <t>.#Xinrvloaikemtrithammun
Trong nhóm đã có ai xài qua mấy loại kem trị thâm mụn này chưa ạ cho e xin ít rì viu với ạ. Hoặc có ai xài gì mà hết thâm mụn rồi chỉ e với ạ. Cảm ơn mọi người . Mong ad duyệt bài giùm e ạ.</t>
  </si>
  <si>
    <t>2019-09-16 06:32:43</t>
  </si>
  <si>
    <t>Bảo Liên Rosy</t>
  </si>
  <si>
    <t>100015679028896</t>
  </si>
  <si>
    <t xml:space="preserve">#Xinrvloaikemtrithammun  </t>
  </si>
  <si>
    <t xml:space="preserve">
#tuvan #ngaydau 
Hi mọi người, cho em hỏi là làm sau để chu kì kinh nguyệt đến nhanh hơn bình thường ạ? Tại vì sắp tới là tới ngày dâu của em, là cũng cận đợt đi biển chơi 😭 nên em muốn nó có sớm cho sạch luôn ấy ạ. Cảm ơn mọi người nhiều ♥️ đây là ảnh chống trôi bài của em thui ạ hihi 
Cảm ơn ad duyệt bài em ạ</t>
  </si>
  <si>
    <t>2019-05-02 07:01:47</t>
  </si>
  <si>
    <t>Carissa Chu</t>
  </si>
  <si>
    <t>100036282581535</t>
  </si>
  <si>
    <t xml:space="preserve">#ngaydau #tuvan </t>
  </si>
  <si>
    <t>Mong được duyệt ạ.
M.n có ai sài hàng nội địa trung không ạ?
M.n cho em xin ít review về phấn mắt và nhủ mắt hàng nội địa trung ạ. E biết hàng nó không bám và màu lên không chuẩn 🤔🤔 nhưng được cái màu sắc thấy bắt mắt, giá thành rẻ và hơi trend😄😄. Ai sài qua thấy nào ưng chỉ em với ạ.</t>
  </si>
  <si>
    <t>2019-12-03 12:05:00</t>
  </si>
  <si>
    <t>Nguyễn Phương Ly</t>
  </si>
  <si>
    <t>100038324121610</t>
  </si>
  <si>
    <t xml:space="preserve">
#mask
Mấy chị cho em hỏi mask có khi nào là mask trộn luôn không mấy ch.? Dạo này em thấy mask bán đầy rẫy từ đại lý chi nhánh nhà phân phối ồ ạt. Mấy chế cho em hỏi 1 vài thương hiệu mask ok đi mấy chế. Da em lcl to mụn cám mụn ẩn nửa ạ</t>
  </si>
  <si>
    <t>2019-10-19 12:32:42</t>
  </si>
  <si>
    <t>Huệ Phạm</t>
  </si>
  <si>
    <t>100003121967808</t>
  </si>
  <si>
    <t xml:space="preserve">#mask </t>
  </si>
  <si>
    <t>#ask #sonduong #comau 
Cần vài món son dưỡng có màu để dùng đi học ạ :((( 
👉🏻Giá cả hợp lý tí, Dior với e bị quá túi tiền :&lt;
E từng dùng son dưỡng có màu của kiko mà k thấy ưng lắm!
Chs đợt này da + môi bị khô thậm tệ?!! Hơn hẳn những đợt khác ý. Hay mỗi e bị thế hả ce??</t>
  </si>
  <si>
    <t>2019-09-29 11:04:00</t>
  </si>
  <si>
    <t>Vũ Ngọc Anh</t>
  </si>
  <si>
    <t>100006224371004</t>
  </si>
  <si>
    <t xml:space="preserve">#comau #sonduong #ask </t>
  </si>
  <si>
    <t>#mỹphẩmbàbầu#
#
Mong ad duyệt bài ạ, đây là các sp skincare của mình, giờ mình vừa mới có em bé, mọi ng cho mình hỏi mình còn sử dụng đc sp nào ạ?</t>
  </si>
  <si>
    <t>2019-12-11 01:03:43</t>
  </si>
  <si>
    <t>Lê Thu Vân</t>
  </si>
  <si>
    <t>100023800056682</t>
  </si>
  <si>
    <t xml:space="preserve">#m </t>
  </si>
  <si>
    <t>#ask #serum #chonglh #selcl
Cả thanh xuân đi tìm serum se lỗ chân lông. Lcl t to và thấy rõ mụn đầu đen luôn. Đã dùng qua serum skii nhưng ko cải thiện. Các chế có cách nào làm se lcl chỉ t với, kem dưỡng hay serum nào hiệu quả ạ. Ở nhà ko làm gì cả. Mỗi làm đẹp thôi mà làm cũng ko xong😭😭😭</t>
  </si>
  <si>
    <t>2019-10-19 17:16:55</t>
  </si>
  <si>
    <t>Thuy Anh Trinh</t>
  </si>
  <si>
    <t>100010867926950</t>
  </si>
  <si>
    <t xml:space="preserve">#selcl #chonglh #serum #ask </t>
  </si>
  <si>
    <t>Mong ad duyệt bài giúp em ạ 
Mn đã ai dùng bộ ohui xanh dưới đây cho em review với , em đc bạn bên hàn gửi về mà kbiet có hợp không nữa . Da em nhạy cảm, hỗn hợp thiên dầu và mụn lấm tấm ở mặt ạ 😭</t>
  </si>
  <si>
    <t>2019-12-24 06:39:12</t>
  </si>
  <si>
    <t>Hi Hi</t>
  </si>
  <si>
    <t>100035780970410</t>
  </si>
  <si>
    <t>Mấy chị có ai bị móng như vậy chưa ạ , em bị gãy móng sau đó thì nó mọc lại gồ ghề lằn lằn như này ạ , để lâu lắm luôn rồi ấy nó vẫn không mọc như bình thường đc 😭</t>
  </si>
  <si>
    <t>2019-12-09 23:45:45</t>
  </si>
  <si>
    <t>Phạm Anh Thi</t>
  </si>
  <si>
    <t>100013035157013</t>
  </si>
  <si>
    <t>#Đẹp_Chanh_Sả
#Help
Mong ad duyệt bài của em ạ!!
Mọi người ơi có cách nào làm mấy bớt sụp và mắt đỡ dại mà ko cần tới pttm ko ạ. Mắt em trước 2 mí to rõ mà bây giờ nó kiểu sụp mí làm mắt nhỏ mỗi lần cười là như con dở hơi ý. Do em tiếp xúc với màn hình điện thoại và máy tính nhiều bây giờ mắt nó dại dại mà nhìn như con ngáo luôn.
Ah em thức khuya nhiều nên bây giờ mắt như gấu trúc luôn mọi người cho em típ trị thâm mắt với ạ. 
P/s Do em dở văn nên viết hơi lủng củng mọi người thông cảm ạ.</t>
  </si>
  <si>
    <t>2019-12-01 02:59:10</t>
  </si>
  <si>
    <t>My Mie</t>
  </si>
  <si>
    <t>100032339090490</t>
  </si>
  <si>
    <t xml:space="preserve">#Help #Đẹp_Chanh_Sả </t>
  </si>
  <si>
    <t>Làm phiền AD với ạ ! Mong AD duyệt bài 
Chẳng là em có cái mụn ruồi nổi như ảnh ạ , làm mắt em 1 bên to bên nhỏ , nhìn như mắt lé  luôn ah ! Hic 
Trong group mình có ai từng làm mụn ntnay ko ? Hay biết TMV nào uy tín chỉ em với ạ ?</t>
  </si>
  <si>
    <t>2019-12-09 13:42:56</t>
  </si>
  <si>
    <t>Ngoan Be</t>
  </si>
  <si>
    <t>100033168312828</t>
  </si>
  <si>
    <t>Mong ad duyệt bài cho em 😔😔 e bị mụn và đã từng sd thuốc bắc và kem trộn e mới vừa tập tành chăm sóc da như này thì có ổn k ạ  mng giúp em</t>
  </si>
  <si>
    <t>2019-11-23 14:07:25</t>
  </si>
  <si>
    <t>Kim Thoa</t>
  </si>
  <si>
    <t>100026625403077</t>
  </si>
  <si>
    <t>Em chào mọi người. Cho em hỏi là có chị nào từng diện đầu hush cut chưa ạ? Cắt xong thì có giữ được lâu không? Với Hà Nội thì có chỗ nào cắt ngon được kiểu này không ạ? :&lt;</t>
  </si>
  <si>
    <t>2019-12-17 04:30:32</t>
  </si>
  <si>
    <t>Nguyen Thu Huong</t>
  </si>
  <si>
    <t>100016738247465</t>
  </si>
  <si>
    <t>Mọi người giúp em với. Chân bạn em bị ngã xe cách đây 2 ngày, về nhà mới chỉ rửa nước muối sinh lí với bôi thuốc mỡ cloxit h cho đỡ căng da. Chân như vậy thì đã bôi trị sẹo dermatix được chưa ạ, mọi người cho em xin thêm cách trị sẹo và lành vết thương nhanh vì hiện tại bạn em rất đau 😭 em cảm ơn ạ. 
#triseo</t>
  </si>
  <si>
    <t>2019-12-10 06:10:24</t>
  </si>
  <si>
    <t>Diem Huong</t>
  </si>
  <si>
    <t>100021616514487</t>
  </si>
  <si>
    <t>Mọi người ơi do là tóc em có bị thưa khúc trên đỉnh đầu ạ, e cũng dùng nhiều tinh dầu xịt tóc mà cũng thấy không có kết quả nhiều. Mọi người cho em xin options với ạ, chứ nhìn tóc em như bị hói á ạ. Em cám ơn ạ 😘</t>
  </si>
  <si>
    <t>2019-11-10 02:03:58</t>
  </si>
  <si>
    <t>Diệu Lan</t>
  </si>
  <si>
    <t>100005963198653</t>
  </si>
  <si>
    <t>#ask 
Da mình là da dầu mụn , mình vừa bị thuỷ đậu thì có vài vết thâm và sẹo lõm :(( mình có sd dermatix thì vết thâm và sẹo có cãi thiện nhưng da mặt mình khá đen 
Hiện mình chỉ xài tẩy trang L'oreal , Srm Hada labo xanh , vitamin E và Kcn Sunplay 
Mng cho mình xin vài spham tốt dưỡng da tốt hơn với ạ ❤️</t>
  </si>
  <si>
    <t>2019-12-13 05:10:45</t>
  </si>
  <si>
    <t>Trần Vy</t>
  </si>
  <si>
    <t>100015338405451</t>
  </si>
  <si>
    <t>Mọi người ơi cho em xin tip trị mụn này với ạ 😭😭
Cứ thỉnh thoảng là em lại bị 1 2 cái mụn to, lắm ngòi như này nó mọc lên đau đau á mà không biết trị sao nữa 😭😭</t>
  </si>
  <si>
    <t>2019-11-24 15:34:03</t>
  </si>
  <si>
    <t>Mẫn Mẫn</t>
  </si>
  <si>
    <t>100041551536788</t>
  </si>
  <si>
    <t>Mọi người ơi giúp e với ạ, e đã dùng nhiều biện pháp tắm tây thi được thời gian lại bị lên lại
Mọi người ai trị hết mụn lưng rồi giúp e với không tự tin mặc váy áo gì cả buồn tự ti lắm 😭😭
#munlung
#help</t>
  </si>
  <si>
    <t>2019-11-29 03:48:16</t>
  </si>
  <si>
    <t>Hoang Hao</t>
  </si>
  <si>
    <t>100005386395153</t>
  </si>
  <si>
    <t xml:space="preserve">#help #munlung </t>
  </si>
  <si>
    <t xml:space="preserve"> 
#nhuomtoc  
mấy chị cho em xin ý kiến về nhuộm tóc không cần tẩy ạ,da em thuộc loại trung bình cx không quá đen nên nhuộm tóc mầu gì cho hợp với mặt  ạ😣Bao nhiêu năm nay chỉ giám để tóc đen trả năm nào tốn tiền đi nhuộm mà giờ nhìn mấy ce nhuộm màu sáng đẹp cá 😍😍</t>
  </si>
  <si>
    <t>2019-12-20 09:23:53</t>
  </si>
  <si>
    <t>Bé Su</t>
  </si>
  <si>
    <t>100025104938763</t>
  </si>
  <si>
    <t>#Ask
Em chào tất cả chị em đẹp chanh sả ạ.
Các chị ơi cho em hỏi bộ mỹ phẩm Pacomeri này có phải là hàng trộn không ạ?
Em mua tại 1 spa khá nổi trên HN ạ.
Dạo trước có đợt nghỉ 2 tuần không bôi kem em thấy da nó xấu hẳn. Nhưng cũng k thấy bị kích ứng gì. Check thông tin sản phẩm trên mạng thì hiếm hoi quá em mới giật mình lo sợ hàng trộn. Hỏi spa sao bộ này k thấy bán ngoài thì họ bảo hàng chỉ dùng cho spa nên spa mới có ạ.
Vậy bên spa nói thế có thật không ạ?</t>
  </si>
  <si>
    <t>2019-12-19 00:56:40</t>
  </si>
  <si>
    <t>Mộc Miên</t>
  </si>
  <si>
    <t>100010274077302</t>
  </si>
  <si>
    <t>#makeup #chiase
Cám ơn Ad đã duyệt bài ❤️
Hello cả nhà ĐCSsss
Chào tuần mới bằng 1 makeup look thật fresh và trong veo nàoooo, chị em nào thích sương sương, da bóng bóng, ở vùng khí hậu lạnh thì chắc sẽ thích kiểu makeup này nè
Các sản phẩm mình dùng: 
- Quan trọng nhất cho phần nền chính là phần dưỡng da, phải tẩy tế bào chết và dưỡng ẩm cho da thật kĩ, không để da bị bong tróc. Hà sử dụng kem dưỡng ẩm kĩ các vùng chữ T, xung quanh mũi, dưới mắt (các vùng này mọi người thường bị sót, bôi ở má thì nhiều mà quên mấy phần này thì rất dễ bị mốc)
- Nền Dior Forever Skin Glow finish bóng nhẹ, độ che phủ vừa phải có thể build đến full coverage nhé.
- Mascara Maybelline Hyper Curl
- Mascara lông mày Colourpop Brow Boss dupe Anastasia Beverly Hills nha thích lémmm
- Má hồng nude hồng cam dạng thạch Apieu Juicy Pang Jelly Blusher màu BE02, nhấn nhấn vô mềm mềm thích lắm nha, Hà dùng tay luôn dễ tán lắm
- Highlight Colourpop Luster Dust màu Gnomie siêu chói loá
- Son Espoir màu cam đất Modest huyền thoại quá nổi luôn, nhưng Hà dùng dòng son kem ra mắt sau này chứ không phải son thỏi như cũ. Dòng kem này sẽ đỡ lì và khô hơn son thỏi, dễ tán trên môi và có mùi thơm nhẹ nhẹ, màu thì vẫn i như cũ à</t>
  </si>
  <si>
    <t>2019-12-09 14:42:38</t>
  </si>
  <si>
    <t xml:space="preserve">#chiase #makeup </t>
  </si>
  <si>
    <t>Năm cuối Đại học em hay đọc truyện/sách trên điện thoại nhiều và thức khuya nên xuất hiện bọng mắt và thâm quầng, từ khi ra trường đến giờ đã được 4 năm em dùng nhiều lại kem dưỡng, ngủ nhiều mà vẫn ko đỡ hơn được, thâm như vậy nhìn mặt già đi cả chục tuổi, nhìn lúc nào cũng lờ đờ. hic hic. Chị em nào cho em ít lời khuyên, nên dùng gì hay thẩm mỹ có đỡ hơn ko ạ😢</t>
  </si>
  <si>
    <t>2019-12-09 00:50:42</t>
  </si>
  <si>
    <t>Jasmine Nguyen</t>
  </si>
  <si>
    <t>100034620186893</t>
  </si>
  <si>
    <t>Mọi ng ơi đây là cái trán của em hiện tại. 2 tuần nay em đi quân sự. Em chỉ dùng sửa rửa mặt Pon's màu hồng và ko dùng mĩ phẩm khác. 2 bên má thì da bị khô nữa</t>
  </si>
  <si>
    <t>2019-12-06 02:58:17</t>
  </si>
  <si>
    <t>100014850940253</t>
  </si>
  <si>
    <t>#ask #munan #lcl #peelda 
Hi mọi người, 
Đây là tình trạng da của em hiện tại, mụn ẩn,lcl to, sẹo rỗ .
Và các sản phẩm em đang dùng, mọi người cho em hỏi em nên dùng chúng ntn và nên bổ sung gì để cải thiện da ạ ?!
Em cảm ơn</t>
  </si>
  <si>
    <t>2019-12-15 10:39:58</t>
  </si>
  <si>
    <t>Nhỏ Bon</t>
  </si>
  <si>
    <t>100011038024929</t>
  </si>
  <si>
    <t xml:space="preserve">#peelda #lcl #munan #ask </t>
  </si>
  <si>
    <t>Chào cả nhà, em u25 ạ,  cao 1m58,chưa được 37 kg, sữa bí em cũng uống rồi, ngũ cốc em cũng uống rồi mà chả ăn thua, đấy là còn không phải vướng bận suy nghĩ hay phải làm nặng nhọc. Em cần lắm những tư vấn tăng cân hiệu quả của những chị đã từng giống em .  Mấy chị bán thuốc tăng kg tha cho em ạ.Em cảm ơn.</t>
  </si>
  <si>
    <t>2019-11-28 00:17:51</t>
  </si>
  <si>
    <t>Linh Ly</t>
  </si>
  <si>
    <t>100021902690997</t>
  </si>
  <si>
    <t xml:space="preserve">
#kemduongda
#nhotuvan
Chào mọi người. Gần tết rồi, mình cũng muốn sửa soạn để đón Tết trước hết là chăm sóc da mặt. Thấy 2 con bé em họ mình sử dụng SP này da đẹp lắm, nó giới thiệu mình dùng. Mình sợ trúng hàng trộn thì toi cái mặt nên cũng search khắp nơi nhưng vẫn ít thông tin nên mình up lên đây để xin ý kiến mọi người ạ. Ai dùng rồi review cho mình với. Mình cảm ơn nhiều ❤
Mong ad duyệt cho em ạ 👐</t>
  </si>
  <si>
    <t>2019-12-16 02:16:26</t>
  </si>
  <si>
    <t>Mary Gary</t>
  </si>
  <si>
    <t>100012766089914</t>
  </si>
  <si>
    <t xml:space="preserve">#nhotuvan #kemduongda </t>
  </si>
  <si>
    <t>Năm nay, da em có sử dụng rượu thuốc ạ. Sau khi dùng đc 1 thời gian thì có dấu hiệu nổi mụn lại. Cách đây 1 tháng thì mụn bắt đầu nổi nhiều hơn và có da có dấu hiệu ửng đỏ ở phần trán. Thì e có đi lấy nhân mụn ạ. Và sau khi tìm hiểu thì e có nghe review tốt về serum trị mụn tea tree oil, nhưng vì kh tìm hiểu kĩ mà thoa vào thì có hiện tượng bỏng da ạ. Mọi người có ai biết làm sao để phần da bị bỏng đó có thể lành được kh ạ. Vì là da đã dùng qa thuốc bắc nên da cực kì yếu nên chỉ sử dụng được các sản phẩm lành tính thôi. Hiện tại thì da e đang bị bỏng và bị mụn nữa ạ huhuuu</t>
  </si>
  <si>
    <t>2019-12-14 15:44:13</t>
  </si>
  <si>
    <t>Nguyen Linh</t>
  </si>
  <si>
    <t>100012339907151</t>
  </si>
  <si>
    <t>Mắt e như vậy . E định ăn tết xong cắt mí nè máy c . Máy c tư vấn giúp e . Trong hình v thôi chứ ngoài xấu hơn nữa . 1 to 1 nhỏ ghê lắm ạ 😒😒😒</t>
  </si>
  <si>
    <t>2019-12-25 14:17:05</t>
  </si>
  <si>
    <t>100018209174150</t>
  </si>
  <si>
    <t>Da mặt em khô, cuồng mắt vs quanh khoé miệng thường thâm và có mụn đầu đen
Chị/em cho em review SP : toner, serum, kem dưỡng giúp cải thiện tình trạng với ạ 🤦🏻‍♀️
#dakho</t>
  </si>
  <si>
    <t>2019-10-25 06:47:55</t>
  </si>
  <si>
    <t>Duyên Ngọc</t>
  </si>
  <si>
    <t>100004365512511</t>
  </si>
  <si>
    <t>Dạo này nghiệp quật mạnh quá , có ace nào cho em xin ít bí quyết thải độc đi ạ</t>
  </si>
  <si>
    <t>2019-11-25 05:29:25</t>
  </si>
  <si>
    <t>Trường Trần</t>
  </si>
  <si>
    <t>100010595148400</t>
  </si>
  <si>
    <t>Mọi người cho mình hỏi này có phải hàng auth ko vậy? Mình ko quét được mã Hidden Tag ấy. Không lẽ giờ có cả tem Hidden giả nữa à🤔</t>
  </si>
  <si>
    <t>2019-12-13 14:32:12</t>
  </si>
  <si>
    <t>Xu Trần</t>
  </si>
  <si>
    <t>100002089572335</t>
  </si>
  <si>
    <t>#Help #diung #kichung 
Em không biết mình bị gì mà dạo gần đây cứ nổ mẩn đỏ hột liti khắp người như thế ngày . Mặt, mũi , tay ,chân nổi đầy luôn chỗ nào trên người cũng nổi . Lúc ít lúc nhiều , lúc nổi lúc ngưng . 
Em không sài mỹ phẩm cho body và mặt nên không thể bị dị ứng với mấy thứ đó . Nên em cũng hoang mang chả biết mình bị gì . Các chị tư vấn cho em với ạ . Em có bị dị ứng thơif tiếc hay đại loại là gì đó không chứ em hoang mang lắm 😭😭😭😭
#Emcamona</t>
  </si>
  <si>
    <t>2019-12-14 05:29:39</t>
  </si>
  <si>
    <t>Bi Bi</t>
  </si>
  <si>
    <t>100025031782349</t>
  </si>
  <si>
    <t xml:space="preserve">#Emcamona #kichung #diung #Help </t>
  </si>
  <si>
    <t>#ask# depchanhsa#
Chào cả nhà.người nhà em bị bệnh về da đầu (như hình dưới), cũng đã mua 1 số thuốc đông y nhưng ko khỏi, có bác nào đã từng bị và chữa trị hiệu quả thì cho e xin ít kn với ạ. Em cảm ơn</t>
  </si>
  <si>
    <t>2019-11-20 07:14:44</t>
  </si>
  <si>
    <t>Thư Nga</t>
  </si>
  <si>
    <t>100012549465470</t>
  </si>
  <si>
    <t>#niengrang #trongrangsu
Xin chào mọi người. Mình cần mọi người tư vấn giúp về vấn đề răng thẩm mỹ. Mình dạo gần đây bị chê nhiều về vấn đề răng bị hô (trước đây thì không ai nói gì) khiến bản thân rất tự ti 😭
Sang đầu năm sau mình sẽ lên xe hoa. Chuẩn bị chụp ảnh cưới nên mình định làm răng sứ để đẹp nhanh. 1 phần lại muốn niềng răng để giữ nguyên răng gốc. Nhưng chả nhẽ trong đám cưới lại cười tươi với bộ răng niềng ạ 😭
Mọi người tư vấn giúp mình với ạ. Thật sự không biết phải làm thế nào 😔</t>
  </si>
  <si>
    <t>2019-11-02 03:49:05</t>
  </si>
  <si>
    <t>Lương Minh Tâm</t>
  </si>
  <si>
    <t>100016633545488</t>
  </si>
  <si>
    <t xml:space="preserve">#trongrangsu #niengrang </t>
  </si>
  <si>
    <t>#tuvan #dakho
Các chị cho em hỏi cứ vào đông là da em lại bong tróc như này. Dù em đã dùng toner Mamonde Rose lẫn dưỡng ẩm Cerave, mask ngủ Naruko rồi mà không khá hơn 😭😭😭 mọi người tư vấn cho em để cải thiện tình trạng này với ạ.</t>
  </si>
  <si>
    <t>2019-11-24 10:14:18</t>
  </si>
  <si>
    <t>Nguyễn Thị Kiều Duyên</t>
  </si>
  <si>
    <t>100010305001654</t>
  </si>
  <si>
    <t xml:space="preserve">#dakho #tuvan </t>
  </si>
  <si>
    <t>#Ask
Đây hẳn là trộn hả mng ơi? Em hoang mang quá!! 
Hôm đi lấy nhân mụn ở spa uy tín ( em rất ưng vì dùng sản phẩm cho khách toàn những món skincare xịn xò ) Mà lần này nặn xong chị í giới thiệu kem dùng cho nhanh hết mụn bớt thâm nữa. Không hiểu sao lúc đó lại mua luôn á mọi người. Hủ này tận #200k í. Về lại nhìn thấy cái dịch vàng lại càng hoang mang đợt 2 😭😭😭</t>
  </si>
  <si>
    <t>2019-12-09 00:30:20</t>
  </si>
  <si>
    <t>Thu Ha Tran</t>
  </si>
  <si>
    <t>100006933193107</t>
  </si>
  <si>
    <t xml:space="preserve">#200k #Ask </t>
  </si>
  <si>
    <t>Ace trong gr có ai từng bị viêm da cơ địa , chỉ e cách chữa với ạ😢 ngứa rát cả tháng nay uống thuốc tây mà k khỏi , e có đi da liễu xét nghiệm rồi kết luận là viêm da cơ địa, thuốc tay uống hết tý r lại bị mọc lại ... chỉ mong có ai đã dùng qua thuốc nam đông y thì cho e xin lời khuyên , e cảm ơn ạ 😬</t>
  </si>
  <si>
    <t>2019-05-20 01:58:27</t>
  </si>
  <si>
    <t>Lê Thanh Khiết</t>
  </si>
  <si>
    <t>100004427707375</t>
  </si>
  <si>
    <t>#ask
#kính_áp_tròng
Xin chào mn 😬
Mọi người đã ai bị cận thị và loạn mà dùng kính áp tròng chưa ạ? Cho mình xin ít review về kính áp tròng với ạ! 
👇👇 đây là thực trạng mắt mình, mắt 1 mí bên to bên nhỏ, quầng mắt thâm, và mắt đã bị dại.
Theo mn có nên bỏ mắt kính để chuyển sang kính áp tròng ko nhỉ?! 
Cảm ơn mn nhiều! ❤️
==&gt; Thank ad đã duyệt bài ạ!</t>
  </si>
  <si>
    <t>2019-09-17 00:41:40</t>
  </si>
  <si>
    <t>VânAnh Hà</t>
  </si>
  <si>
    <t>100010209453536</t>
  </si>
  <si>
    <t xml:space="preserve">#kính_áp_tròng #ask </t>
  </si>
  <si>
    <t>Em đi khám da liễu và được chuẩn đoán là viêm da mỡ ..bác sĩ có kê cho em tuýp kem bôi megadou ..mn cjo em xin chút review về em nó vs ạ</t>
  </si>
  <si>
    <t>2019-11-10 13:33:11</t>
  </si>
  <si>
    <t>Chào mọi người ạ, em đã tàu ngầm trong group mình cũng đã lâu rồi ý mà em thấy rất ít bài viết về skincare body đấy ạ :((( dạo này em đang muốn dưỡng da body cho nó mướt mướt ý 🤤🤤🤤🤤 và em đang muốn tìm 1 loại massage oil hoặc kem dưỡng ẩm body rồi tẩy lông gì đó, giá học sinh sinh viên càng tốt ạ 🥰🥰🥰 cám ơn mọi người nhiều ạ ❤️❤️❤️❤️</t>
  </si>
  <si>
    <t>2019-11-08 03:16:42</t>
  </si>
  <si>
    <t>100024120283274</t>
  </si>
  <si>
    <t>Các chị ơi cho em hỏi những đường lằn hai bên cánh mũi như vậy là do da khô hay là do bị lão hóa ạ? Đây là khi em mím môi, hóp mũi lại. Cho em hỏi cách trị thâm mắt với mụn ẩn hai bên khóe mắt. Em 18 tuổi ạ. 
Mong được ad duyệt bài. Em xin cám ơn.</t>
  </si>
  <si>
    <t>2019-12-10 02:39:45</t>
  </si>
  <si>
    <t>Ngô Thị Hồng Ngọc</t>
  </si>
  <si>
    <t>100006832450065</t>
  </si>
  <si>
    <t xml:space="preserve"> #ask #vaseline
Trong khi đang phân vân không biết mua Vaseline dòng 4X hay dòng 10X thì tình cờ gặp em này, mình search thì được biết là phiên bản limited nữa, nhưng thấy chất kem màu trắng. Vậy bạn nào đã xài rồi cho mình hỏi thăm:
- Chất kem xài bật tone để makeup body hay là hợp xài ban đêm thấm nhanh k trắng xác??
-Giá mình thấy 150k cho cái bình bự chà bá vậy có fake k ạ?
- Bạn này đã xài 4X và 10X Thái tư vấn giúp mình dòng nào ok hơn ạ?</t>
  </si>
  <si>
    <t>2019-10-22 12:47:59</t>
  </si>
  <si>
    <t>Nguyễn Trâm Anh</t>
  </si>
  <si>
    <t>100005264164007</t>
  </si>
  <si>
    <t xml:space="preserve">#vaseline #ask  </t>
  </si>
  <si>
    <t>Chào cả nhà ĐCS ✋🏻✋🏻✋🏻
Hiện tại , em mới đi spa trị sẹo rỗ được 2 ngày , spa này kết hợp nhiều phương pháp làm cho e luôn ( PRP , cắt đáy sẹo , lăn kim , phi kim ) , chị chủ đắp cao và dặn e ko được tửa cao này 1 tuần để nó tự bong ra , e đang khá hoang mang vì không biết cách chăm sóc trong khi đang trị và sau khi trị thì như thế nào , có ace nào trong gr mình đã từng làm qua rồi có thể cmt giúp e với được ko ạ . E bị mụn từ năm lớp 7 rồi để lại rỗ khá tự ti nên e đang rất mong đợi lần này cải thiện da hơn . 
Mong được admin đăng để ace trong group giúp đỡ e với . Camon mọi người 🙏🏻🙏🏻🙏🏻</t>
  </si>
  <si>
    <t>2019-10-02 09:12:45</t>
  </si>
  <si>
    <t>Tieu Danh</t>
  </si>
  <si>
    <t>100025476379401</t>
  </si>
  <si>
    <t>#help  
Các chị em bạn dì ơi, cho em hỏi nhãn hàng áo ngực nào có cúp C, đẹp, đứng form nhé. M cần loại có tạo dáng form đẹp để mặc áo dài và áo cưới mà k biết chỗ mua. Trước giờ m mặc mấy loại như bralette và mấy loại mỏng mỏng nên k rành lắm. Khổ tâm vì mặc bralette thì nhìn xệ, k đẹp với 1 số loại áo. Mặc có gọng mà sai size thì cấn rất đau, khó thở (vòng lưng nhỏ). Hôm trước mình còn bị nhìn nhầm là đang có e bé nữa. Buồn ghê. Các chị em tư vấn giúp em với! Cảm ơn rất nhiều</t>
  </si>
  <si>
    <t>2019-11-25 11:27:45</t>
  </si>
  <si>
    <t>Linh Ơi Linh</t>
  </si>
  <si>
    <t>100038718996683</t>
  </si>
  <si>
    <t>Chuyện là dòng họ em có người cháu (bằng tuổi em) mở spa và bán thuốc giảm cân, kem dưỡng da này nọ. Và người đó giới thiệu với mẹ em, nói rằng uống thuốc giảm cân đó sẽ giúp giảm tới chục ký thành ra mẹ em hí hửng lắm. Em khuyên hoài không nghe nơi :((
Mọi người ơi em nên làm sao bây giờ ạ :(( và cho em hỏi tất cả loại thuốc giảm cân đều có hại sao ạ?? 
Em không thể đăng hình sản phẩm vì nhỡ lại ảnh hưởng công việc kinh doanh của họ hay bị họ thấy thì ảnh hưởng đến mẹ em nữa :((( 
Cảm ơn mọi người rất nhiều ạ!! 
Mong ad duyệt ạ!!!</t>
  </si>
  <si>
    <t>2019-12-08 08:44:36</t>
  </si>
  <si>
    <t>Hiện tại môi em bị đóm trắng phía trên môi, do phun khử thâm nổi mụn nước để lại, cách đây hơn 3tuần rồi ạ.. các chị thông thái giúp e nên bôi gì cho hết đi ạ chứ e buồn quá, và liệu sau 2tháng e đi phun thì chổ đó có ăn màu không ạ..em cảm ơn..❤️</t>
  </si>
  <si>
    <t>2019-11-29 14:07:25</t>
  </si>
  <si>
    <t>Ngọc Hoa</t>
  </si>
  <si>
    <t>100005686540913</t>
  </si>
  <si>
    <t xml:space="preserve">
#giamcanantoan
Chị em cho em xit ít review về loại thuốc giảm cân này với ạ. em mới đọc 1 số bài uống thuốc giảm cân suy gan suy thận nên hơi sợ</t>
  </si>
  <si>
    <t>2019-10-20 08:33:03</t>
  </si>
  <si>
    <t>100035032072532</t>
  </si>
  <si>
    <t>#thuoctranhthaikhancap #quanhekhongantoan 
Xin chào ad và mọi người.
E xin hỏi đáp 1 vấn đề hết sức nhạy cảm cũng như hoang mang mà e thấy ở group ít được nhắc tới.
Chuyện là e vừa quan hệ không an toàn xong. Xuất tinh vô được 2 lần. Và e quan hệ trong tầm 3-4 ngày nữa là tới kì kinh.
E đã uống thuốc tránh thai khẩn cấp vô liền sau đó.
Khi thuốc ngấm thì e cảm thấy đau bụng, ngực cứng và nhức. Đi tiểu thì nước tiểu rất nóng và hôi mùi thuốc. E bị dạng nín tiểu nửa ngày mới hết.
E tìm hiểu trên mạng thì thuốc có hiệu quả tránh thai 85%. Sẽ có kinh đúng ngày hoặc trễ hơn 1 tuần do rối loạn của thuốc.
Hiện tại e đã bị trễ kinh được 3 ngày. E lo lắng lắm ạ. Chị nào có kinh nghiệm xem thử trường hợp của e có bất thường không ạ? 
Và có chị nào đã uống thuốc mà vẫn không có tác dụng không?
Xin cho e lời khuyên. E cảm ơn rất nhiều ạ.
P/s: thuốc e uống y như hình.</t>
  </si>
  <si>
    <t>2019-10-28 11:13:27</t>
  </si>
  <si>
    <t>Ngoại Lệ</t>
  </si>
  <si>
    <t>100009833177135</t>
  </si>
  <si>
    <t xml:space="preserve">#quanhekhongantoan #thuoctranhthaikhancap </t>
  </si>
  <si>
    <t>#ask #seomun 
Chị em cho mình hỏi ai xài loại em some by mi Snail truecia này rồi cho mình ý kiến với ạ ? Da mình có hơi bị rỗ chút xíu do lúc mới dậy thì ko biết cách chăm sóc da nên để lại sẹo, ko biết là có cải thiện được phần nào ko ạ ? Nhiều lúc thấy mấy bạn da mướt láng mịn cũng ham quá huhu 
Mong ad duyệt bài giúp e e cảm ơn ạ</t>
  </si>
  <si>
    <t>2019-06-16 07:02:37</t>
  </si>
  <si>
    <t>Hoài Thương Lê</t>
  </si>
  <si>
    <t>100004617489752</t>
  </si>
  <si>
    <t xml:space="preserve">#seomun #ask </t>
  </si>
  <si>
    <t>#Help
Mọi người ơi cho m xin tips để bớt thâm mắt với ạ. M có dùng serum mắt caffein của The Ordinary với lị kem mắt của The Face Shop thấy có chút hiệu quả nhưng ko hết hẳn.
Với lại năm nay m 32t thì nên dùng chế phẩm Retinol để chống lão hoá ko ạ? Nếu dùng thì hãng nào ok nhất.
Cảm ơn ad đã duyệt bài; cảm ơn mn!</t>
  </si>
  <si>
    <t>2019-11-04 07:19:06</t>
  </si>
  <si>
    <t>Nguyễn Dũng</t>
  </si>
  <si>
    <t>100001451775309</t>
  </si>
  <si>
    <t>#giammobung 
Mình sinh xong bụng to quá, tính dùng đai quấn rung mà ko biết có hiệu quả ko? Có bạn nào sử dụng rồi cho mình ít review đi ạ. Cảm ơn mọi người.</t>
  </si>
  <si>
    <t>2019-12-25 12:23:03</t>
  </si>
  <si>
    <t>100023350986033</t>
  </si>
  <si>
    <t xml:space="preserve">#giammobung </t>
  </si>
  <si>
    <t>#ask 
  Em đăng bài lần 2, mong ad duyệt giúp em với ạ ❤️
   Da em là da hh thiên dầu. Gần đây trên mặt em có các nốt mụn to nhưng k đầu, sau thời gian em k nặn thì nó thâm như hình ở dưới ạ, lúc sờ vào thì thấy nó cứng. Mong các chị/ các bạn cho em lời khuyên nên làm gì để giảm tình trạng mụn với ạ, em dùng nhiều cách như bôi nghệ, dùng trị thâm mà k hết. Tiện đây cho em hỏi có ai dùng mặt nạ của Dr. Morita chưa ạ? K biết với tình trạng thế này thì em có nên thử dùng k ạ? Em cảm ơn 🙆‍♀️</t>
  </si>
  <si>
    <t>2019-11-04 05:26:00</t>
  </si>
  <si>
    <t>Đặng Linh</t>
  </si>
  <si>
    <t>100023407776883</t>
  </si>
  <si>
    <t>Đây là mặt mình hiện tại ạ. Mụn ẩn, mụn viêm, mụn đầu đen, lỗ chân lông to nữa ạ...Mong m.n chỉ giúp mình cách giải quyết với ạ. Cảm ơn m.n nhiều. Tết đến rồi mà nhìn mặt xong bùn lắm luôn ạ. 
Mong ad duyệt bài giúp em ạ. Em cảm ơn nhìu ạ.
#munan</t>
  </si>
  <si>
    <t>2019-11-23 14:04:41</t>
  </si>
  <si>
    <t>Kim Chung</t>
  </si>
  <si>
    <t>100004313987512</t>
  </si>
  <si>
    <t>#ask #chamsoc
Do tính chất công việc cá nhân nên em thường xuyên makeup và làm tóc, tạo kiểu các thứ. Em nghĩ nếu makeup xong mà không làm sạch thật sạch thì sẽ gây bí tắc lcl và nổi mụn. Còn tóc uốn nhiều sẽ bị xơ và gãy. Các chị có cách nào để làm sạch sâu da mặt sau makeup không ạ? Bình thường em chỉ rửa srm thôi. Còn tóc thì phải làm sao cho đỡ xơ rối ạ? Em cảm ơn
Edit: em dùng sữa rửa mặt là lúc em k makeup, chứ makeup xong lúc nào em cũng tẩy trang ạ 😅😅 em k ghi rõ nên một số chị k hiểu lắm ạ</t>
  </si>
  <si>
    <t>2019-09-18 00:26:29</t>
  </si>
  <si>
    <t>Diệu Linh</t>
  </si>
  <si>
    <t>100019064894856</t>
  </si>
  <si>
    <t xml:space="preserve">#chamsoc #ask </t>
  </si>
  <si>
    <t xml:space="preserve"> #tips #kemchongnang #taytrang
Nhờ ad duyệt bài giúp em với ạ :((( em đăng rất nhiều lần rồi mà không lần nào được duyệt cả.
Em năm nay 17+ , cách đây 1 tháng em có lỡ lầm sài kem trộn hoa đào, sau khi dùng được 5-6 lần thì biết đến group mình và đã bỏ nó. Sau khi bỏ em có rửa mặt bằng nước muối sinh lí . 
Da mặt em hiện giờ là da mụn, thâm và da khô . Nay em định sẽ bắt đầu skincare nhưng không biết bắt đầu từ những gì . Mọi người review cho em những loại kem chống nắng &amp; tẩy trang phù hợp với da mặt em và giá học sinh chút ạ ! Em cảm ơn nhiều ❤</t>
  </si>
  <si>
    <t>2019-12-06 13:46:07</t>
  </si>
  <si>
    <t>Nguyễn Huỳnh</t>
  </si>
  <si>
    <t>100040155222384</t>
  </si>
  <si>
    <t xml:space="preserve">#taytrang #kemchongnang #tips  </t>
  </si>
  <si>
    <t>Moi nguoi chỉ cho em mụn nay la mụn gì và cach chữa voi em moi bi len 1 tuần từ khi uong thuoc là lên mụn chi chít ạ</t>
  </si>
  <si>
    <t>2019-12-01 09:04:57</t>
  </si>
  <si>
    <t>Hang Sin</t>
  </si>
  <si>
    <t>100005325904340</t>
  </si>
  <si>
    <t>#hoidap #laneige #help
Mọi người ơi. Mọi người xem giúp em 2 cái này cái nào là thật và cái nào là giả ạ. Hay 2 cái đều là giả ạ. E mua cùng lúc nhưng ở hai chỗ khác nhau. E cám ơn ạ. Mong ad duyệt bài cho e 😭</t>
  </si>
  <si>
    <t>2019-10-31 10:15:59</t>
  </si>
  <si>
    <t>Quynh Nhu Nguyen</t>
  </si>
  <si>
    <t>100001253346182</t>
  </si>
  <si>
    <t xml:space="preserve">#help #laneige #hoidap </t>
  </si>
  <si>
    <t>Có ce nào mùa đông bị như thê nay k.có kem hay thuốc gi chữa k ạ😔.nỗi buồn về mua đông</t>
  </si>
  <si>
    <t>2019-12-05 10:39:38</t>
  </si>
  <si>
    <t>Minh Ken</t>
  </si>
  <si>
    <t>100033092333711</t>
  </si>
  <si>
    <t>Cho em hỏi có ai đã cấy hồng sâm bao giờ chưa ạ.
Cấy hồng sâm có thực sự tốt không ạ. Cho em xin chút kinh nghiệm đi ạ❤️😪
#mong_add_duyet</t>
  </si>
  <si>
    <t>2019-11-28 08:40:37</t>
  </si>
  <si>
    <t>Nguyễn Thị Ánh Hồng</t>
  </si>
  <si>
    <t>100029126362718</t>
  </si>
  <si>
    <t xml:space="preserve">#mong_add_duyet </t>
  </si>
  <si>
    <t>. #xin ý khiến  #Răng khôn
Mn tư vấn giúp mình: răng số 8 của mình mình mọc ngang ( bọc trong lợi như hình), mấy hnay bị sưng đau nên mình đi khám và bs khuyên nhổ.Nhưng về nhà bố mẹ mình nói có ng quen đi nhổ răng khôn về bị lệch mặt và thi thoảng bị giật giật như bị thần kinh nên không muốn mình đi nhổ.
Có ai từng nhổ răng số 8 rồi có thể tư vấn giúp mình nên/ k nên nhổ.Nếu nhổ thì nhổ ở bv nào ở Hn tốt ạ???
Mình cảm ơn ạ</t>
  </si>
  <si>
    <t>2019-05-22 06:36:59</t>
  </si>
  <si>
    <t>100009729282812</t>
  </si>
  <si>
    <t xml:space="preserve">#Răng #xin </t>
  </si>
  <si>
    <t xml:space="preserve">M.n ai sài toner derladie chưa ạ cho em xin  review với ạ
</t>
  </si>
  <si>
    <t>2019-10-27 12:25:13</t>
  </si>
  <si>
    <t>Phạm Nhi</t>
  </si>
  <si>
    <t>100041135647741</t>
  </si>
  <si>
    <t>Mọi người ơi help em với ạ. Tự nhiên mặt em nổi mấy hạt li ti khắp mặt. Ko biết có phải bị dị ứng thời tiết ko vậy ạ 😭😭😭</t>
  </si>
  <si>
    <t>2019-12-24 01:58:40</t>
  </si>
  <si>
    <t>100007399637252</t>
  </si>
  <si>
    <t>#ask
Em chào mọi người, chuyện là đây là lần đầu tiên em đi nặn mụn, vì da em trước giờ rất ít khi nổi, mà nổi là lặn nhah và ít để lại thâm, nhưng dạo gần đây không hiểu sao qua tuổi dậy thì rồi mà nó nổi kinh khủng và bắt buộc e phải đi nặn nên rất hoanh mang khi nó cứ đỏ như vầy, em có coi chị Trinh Phạm giới thiệu cái sr rau má này xài tốt cho những người mới đi nặn mụn, nên cho em hỏi có ai đã xài loại này và hết thâm mụn khi đi nặn không ạ ?
 Và chị em có bí quyết nào để giảm thâm mụn như vậy không ạ, chỉ em với, em vừa mập vừa đen nên có mỗi khuôn mặt à mà giờ ra đường cứ bị vầy rất tự ti luôn í ... =((
Em xin cảm ơn</t>
  </si>
  <si>
    <t>2019-08-21 13:34:18</t>
  </si>
  <si>
    <t>Ngọt Naaz</t>
  </si>
  <si>
    <t>100028632464822</t>
  </si>
  <si>
    <t>Mọi ngươi giúp e với 
Da em it bị mụn. Mà cách đây 2 ngày nổi cục mụn có mủ nhỏ xíu. Em không biết lấy tay bấm cái mụn bụp ra. Sau 2 ngày giờ nó sưng tấy lên. Động vào đau nhức. 
Em không biết làm sao và dưỡng như nào. Chỉ giúp e ạ.</t>
  </si>
  <si>
    <t>2019-12-08 00:45:35</t>
  </si>
  <si>
    <t>100004771422842</t>
  </si>
  <si>
    <t>#giamcan #ask
Hi cả nhà !!! Không biết có ce nào dùng cái nước ép bưởi đẹp da giảm cân này chưa ạ . Cho e xin ít review với e cám ơn cả nhà</t>
  </si>
  <si>
    <t>2019-10-30 12:42:54</t>
  </si>
  <si>
    <t>Khả Doanh</t>
  </si>
  <si>
    <t>100031530494392</t>
  </si>
  <si>
    <t xml:space="preserve">#ask #giamcan </t>
  </si>
  <si>
    <t>#ask
Mong ad duyệt bài viết của em ạ. Em cảm ơn ad nhiều.
Em chào các anh chị ạ. Da em là da hỗn hợp thiên dầu và thường xuyên bị nổi mụn nữa ạ. Dạo gần đây 2 bên má của em tự nhiên lại bị khô và em cảm nhận được nó sần sùi hơn nữa ạ. Nhưng mũi và trán ( vùng chữ T ) vẫn bình thường và em skincare vẫn như hằng ngày. Các anh chị có lời khuyên hay có sản phẩm nào phù hợp giới thiệu giúp em với ạ. Em cám ơn anh chị 😍</t>
  </si>
  <si>
    <t>2019-12-11 13:11:52</t>
  </si>
  <si>
    <t>100007635974532</t>
  </si>
  <si>
    <t>Mọi người ơi cho em xin tip giảm cân với ạ 
Em sinh năm 2005 , em thuộc dáng người to con ( em giống cha em )
Em nặng 88kg và cao 1m78 , em cảm thấy rất tự ti khi đi chung với 2 cô bạn thân của em . Em đã thử tập thể dục tại nhà nhưng thực đơn của em không ăn toàn và em không biết mình có nên ăn theo thực đơn đó không nữa . Em cũng không biết nên tập những bài tập gì vào lúc nào nên tập,  mặc dù em đã bỏ ra khá nhiều thời gian để tìm hiểu nó . Em lại ăn chay theo ngày ( nếu tới ngày chay ) em thành thật xin các anh hay các chị nào đã giảm cân thành công xin hãy giúp em với , em đang trong mùa ôn thi và em không có đủ kinh phí hay thời gian để đến các phòng tập ạ :((</t>
  </si>
  <si>
    <t>2019-11-24 13:59:10</t>
  </si>
  <si>
    <t>Nguyễn Ngọc Trâm</t>
  </si>
  <si>
    <t>100025335070845</t>
  </si>
  <si>
    <t>#goctenhi #help #vungkin 
Xin chào các chị em, mình có 1 vấn đề khá nhạy cảm cần m.n giúp đỡ
Vùng bikini của mình khá nhiều lông, thậm chí mặc quần lót mà cũng che ko hết, và mình quyết định cạo sạch lông vùng kín. Khi cạo hết thấy ngay chỗ tam giác khe thì nó bị thâm đen, nhìn dơ dơ sao ấy, cho mình hỏi có cách nào hay dùng cái nào để chỗ đó bớt thâm ko ạ? Mình chưa sinh đẻ gì hết ạ, xin cảm ơn các chị em, mình ko dám hỏi ai đành hỏi group của mình, mong Ad duyệt bài ạ
Edit thêm: Vì hiện giờ mình chưa có điều kiện triệt luôn nên cạo tạm ý ạ, nhưng cũng  cho mình xin địa chỉ uy tín và chi phí triệt lông vùng bikini ở HCM với nhé</t>
  </si>
  <si>
    <t>2019-12-18 08:42:45</t>
  </si>
  <si>
    <t>Tống Ngưng</t>
  </si>
  <si>
    <t>100009417005349</t>
  </si>
  <si>
    <t xml:space="preserve">#vungkin #help #goctenhi </t>
  </si>
  <si>
    <t>Em cần giúp đỡ mọi ng ạ :((((
Em có đọc và lướt qua mấy bàii về rụng tóc thì em cũng thấy khá nhiều trường hợp là tầm 16 17t bị rụng. Em lên gg xem thì được biết là có thể do rối loạn nội tiết tố. Cho e hỏi như vậy là như nào ạ? E k chuyên về tóc lắm nhưng có cách nào để chấm dứt việc này lại k ạ ? Tầm tháng 3 em chụp kỉ yếu rồi và giờ tóc vẫn đang có dấu hiệu rụng k ngừng. Tóc mới mọc ra thì khá là yếu và mỏng ạ. 2 3 sợi của em mới bằng 1 sợi của 1 b tóc bth ấy ạ :(( vậy cho em hỏi là có lưu ý gì về chế độ ăn uống, thuốc điều trị hay dầu gội gì k ạ ? Ai biết cách nào tốt và hiệu quả k gth em với ạ :(( 
P/s: ảnh dưới là ngôi tóc của em ạ. Tóc giờ còn bấy nhiêu thôi ấy ạ :((</t>
  </si>
  <si>
    <t>2019-10-07 10:48:33</t>
  </si>
  <si>
    <t>Quỳnh Hương</t>
  </si>
  <si>
    <t>100020865343304</t>
  </si>
  <si>
    <t>#Đẹpchanhxả
#hỏiđáp
E đang muốn mua phấn nước, có xem đc mấy dòng r nhưg cũng chưa biết loại nào dùng ok hẳn, các c đã đung loại nào rùi review e với đc k ak 🥰🥰 em cám ơn ! E cần loại make lên mỏng nhẹ , che đc khuyết điểm càng tốt ạ... da e thuộc dòng hỗn hợp nhạy cảm ạ
- e có xem đc 3 lọai dưới đây, có ce nào dùng chưa ak 
Lần đầu đăng bài viết lủng củng có gì sai sót các c bỏ qua e nhé ☺️</t>
  </si>
  <si>
    <t>2019-10-25 03:45:43</t>
  </si>
  <si>
    <t>Thanh Loan</t>
  </si>
  <si>
    <t>100004144507938</t>
  </si>
  <si>
    <t xml:space="preserve">#hỏiđáp #Đẹpchanhxả </t>
  </si>
  <si>
    <t>#tip 
Chào các bạn, em là thành viên mới, em bị thâm mũi do mụn, dùng cũng nhiều loại nhưng thấy không hết, mong mọi người chỉ em 1 vài cách hết thâm ạ, em cám ơn.</t>
  </si>
  <si>
    <t>2019-12-06 15:26:12</t>
  </si>
  <si>
    <t>Đoàn Ngọc Hưng</t>
  </si>
  <si>
    <t>100008905120923</t>
  </si>
  <si>
    <t xml:space="preserve">#tip </t>
  </si>
  <si>
    <t>Có ai đã từng bị như em chưa ạ
Ngày trước e bị nhiễm thuốc rượu  giờ không biết làm sao,tự ti lắm luôn.
Bây giờ em được mn chỉ tối giản skincare lại nên e  dùng sữa rửa mặt Nakuro của Đài Loan nay thay thành sữa rửa mặt Laroche posay, toner Somebymi, kem chấm mụn Klenzit C, trị thâm thì e dùng tuýp Megadou.
Da e thuộc loại da thường.
Mọi người tư vấn dùm e với ạ.
E cảm ơn nhiều.</t>
  </si>
  <si>
    <t>2019-11-05 03:27:59</t>
  </si>
  <si>
    <t>Hiền's Kỉ's</t>
  </si>
  <si>
    <t>100016155468089</t>
  </si>
  <si>
    <t>#ask #seobong 
Em có 1 vết sẹo bỏng nước sôi lâu năm ở chân, vết sẹo khá to kiểu thâm lốm đốm nên em rất tự ti. Mọi người có thể cho em xin phương pháp nào có hiệu quả và địa chỉ uy tín được không ạ, vì em bị từ nhỏ nên giờ dùng các loại thuốc chắc cũng không có tác dụng gì.</t>
  </si>
  <si>
    <t>2019-12-26 02:13:18</t>
  </si>
  <si>
    <t>Nam Nam</t>
  </si>
  <si>
    <t>100038032861144</t>
  </si>
  <si>
    <t xml:space="preserve">#seobong #ask </t>
  </si>
  <si>
    <t>#beauty_review #tips #trị_mụn_lưng
Tips sạch mụn và thâm ở lưng 
Hello hello mng, tầm 3 tháng trước không biết bị gì mà lưng mình nổi mụn sần sùi hết lên, sau đó do chủ quan không chăm sóc nhiều nên nó thành mụn sưng viêm, lúc này mình mới tá hỏa tìm cách trị, và sau 3 tháng thì cuối cùng nó cũng trở lại bình thường, nên mình sẽ chia sẻ một chút với các bạn nhé.
- Tuyệt đối giữ khô phần lưng, hạn chế đổ mồ hôi lưng: mình thỉnh thoảng cũng đi tập gym, cơ địa lại hay đổ mồ hôi nên lỗ chân lông bị bít tắc nhiều lắm. Sau khi bị mụn thì mình lúc nào cũng đem theo cái khăn để lau, lau xong lại tập tiếp. 
- Dùng tẩy da chết: mình nghĩ một trong những lí do lưng mình bị mụn sần sùi là do bít tắc lỗ chân lông nên mình dùng tẩy da chết AHA của Cosrx. Loại này mình mua cho mặt mà dùng mụn nổi tè le nên giờ chỉ dùng cho lưng, dùng tầm 3-4 lần/tuần. Em này thấm không nhanh lắm, mùi hơi kì nhưng tới tận 7% AHA nên dùng cho phần lưng ok lắm, không chỉ giúp đỡ mụn mà còn làm mờ thâm nhanh hơn đó.
- Dùng kèm soap tắm: từ lúc bị mụn mình cũng không dám dùng sữa tắm nữa, mình đọc review thấy soap trị mụn của Baresoul được khen nhiều nên mua về dùng thử. 1 soap này có 2 đầu, đầu đen có dầu tràm trà với dầu bạc hà để trị mụn, đầu cam có rệ nghệ trị thâm. Mình dùng tầm 2 tuần là thấy mụn đỏ xẹp gần hết, hơn 1 tháng thì thâm cũng mờ rất rõ. Nhưng mà CÁI PHẦN CAM DÙNG HAO LẮM vì vậy mình khuyên các bạn nên mua cái khay giống mình mà đừng cho bớt hao nha.
- Tip cuối cùng nhưng không kém phần quan trọng: mặc áo khi đi ngủ. Mình biết cái này nghe không cần thiết lắm nhưng mình không đảm bảo được cái ga giường của mình sạch, vì một tuần mình mới giặt một lần lận, nên cứ mặc áo vào để đảm bảo lưng sạch nhé các bạn. 
Đó là đôi lời gửi gắm sau vài tháng sống chung với mụn lưng của mình, cám ơn các bạn đã đọc =))</t>
  </si>
  <si>
    <t>2019-12-16 07:15:29</t>
  </si>
  <si>
    <t>Ngọc Trinh</t>
  </si>
  <si>
    <t>100036076447008</t>
  </si>
  <si>
    <t xml:space="preserve">#trị_mụn_lưng #tips #beauty_review </t>
  </si>
  <si>
    <t>Nhóm mình có ai dùng Quick hair nhanh mọc tóc chưa, cho mình xin review với.
Tóc mình da dầu, 2 ngày gội/lần. Tóc rụng nhiều mà chẳng mọc mấy.</t>
  </si>
  <si>
    <t>2019-12-06 04:17:25</t>
  </si>
  <si>
    <t>Gấm Hạnh</t>
  </si>
  <si>
    <t>100001488524242</t>
  </si>
  <si>
    <t>A chị e trong gr cho e xin vài cách dưỡng da vs ạ !!
Da e thuộc da dầu và lcl to kèm mụn đầu đen và mụn cám, mặc dù dùng nhiều cách để se lcl nhưng sau vài ngày nó lại lên mụn đầu đen tiếp. Ai da như e thì share ít kinh nghiệm ạ! Cảm ơn mọi người 🙏🏻☺️</t>
  </si>
  <si>
    <t>2019-12-14 16:51:15</t>
  </si>
  <si>
    <t>Đình Phùngg</t>
  </si>
  <si>
    <t>100006288373485</t>
  </si>
  <si>
    <t>#help 
Chào mọi người ạ ! Em từng bị dính vô rượu thuốc khoảng 4 tháng trước và giờ em bị mụn nó lên nhiều quá ạ . Em con trai nên cũng ít khi sử dụng mỹ phẩm . Mọi người giúp em với ạ , em cảm ơn !
Em làm trong công việc có nhiều bụi bẩn ạ .</t>
  </si>
  <si>
    <t>2019-12-13 14:31:11</t>
  </si>
  <si>
    <t>#seoro  
Lo lắng quá mọi người ơi, mình mới đi bắn nốt ruồi ở bv da liễu. Nốt ruồi nó cũng ko to đến mức mà bà bs bả ngoáy bắn luôn cho mình cái lỗ chà bá như ổ voi thế này.  Mà nhìn kĩ trong lỗ đó có cục u u kiểu như nốt ruổi nó còn chưa bị bắn hết ý. Ko biết có bị rỗ ko, mnguời tư vấn cho mình xem nên làm như thế nào ko bị rỗ ko? Thank ad duyệt bài</t>
  </si>
  <si>
    <t>2019-11-01 15:02:19</t>
  </si>
  <si>
    <t>Nguyễn Thanh Vy</t>
  </si>
  <si>
    <t>100005137026022</t>
  </si>
  <si>
    <t xml:space="preserve">#seoro </t>
  </si>
  <si>
    <t>Moi ng oi cho minh hoi la mặt bị mụn ntn thi dùng loai nao tốt va het dc ah.(moi ng cho m bit len dung sưa rưa mặt va cac loai gi voi ah).trước măt m ko he co mụn ma tu dung nó bi vay(minh ko dùng my phẩm gi).</t>
  </si>
  <si>
    <t>2019-11-26 08:00:35</t>
  </si>
  <si>
    <t>Anh Mai</t>
  </si>
  <si>
    <t>100025690189735</t>
  </si>
  <si>
    <t>#tuvan
Ce nào sử dụng serum này rồi cho e xin review vs ạ, e da dầu định mua dùng thử ạ</t>
  </si>
  <si>
    <t>2019-08-12 03:19:16</t>
  </si>
  <si>
    <t>Mỹ Ly Trương</t>
  </si>
  <si>
    <t>100017057703980</t>
  </si>
  <si>
    <t># đẹp chanh sả#   mọi người ơi da mình dạo này lên tàn nhang và có dấu hiệu của nám .em hoang mang quá. Mọi người giúp em với ạ.sẵn đây e hỏi loại nào trị cái này k ạ.cảm ơn ad đã duyệt bài</t>
  </si>
  <si>
    <t>2019-12-16 15:08:37</t>
  </si>
  <si>
    <t>Thập Tam Muội</t>
  </si>
  <si>
    <t>100006149021344</t>
  </si>
  <si>
    <t>Mình dự định nhuộm màu này 
Mọi người tư vấn nhuộm màu nào giúp sáng da đi ạ💋😍</t>
  </si>
  <si>
    <t>2019-11-21 12:56:43</t>
  </si>
  <si>
    <t>Em cận 4 độ và sắp đi chụp kỉ yếu. Em muốn đeo lens nhưng mà không biết mình nên chọn màu lens nào cho hợp ạ. Với lại mắt em nhạy cảm lắm, trước em có đeo lens 2 3 lần rồi nhưng mỗi lần đeo là mắt cứ bị khô và chảy nước mắt. 
Các chị giúp em chọn màu lens với loại lens nào dành cho mắt nhạy cảm với ạ ^^
Em cảm ơn các chị nhiều &lt;3
 #makeupkiyeu #kinhaptrong #contaclens</t>
  </si>
  <si>
    <t>2019-12-05 08:58:01</t>
  </si>
  <si>
    <t>An Chi</t>
  </si>
  <si>
    <t>100009061013652</t>
  </si>
  <si>
    <t xml:space="preserve">#contaclens #kinhaptrong #makeupkiyeu  </t>
  </si>
  <si>
    <t>#kemnen
Mọi người ơi tư vấn cho mình dòng nền nào che phủ tốt, che được tàn nhang. Với không bị xuống tone ạ. Cám ơn ad duyệt bài!</t>
  </si>
  <si>
    <t>2019-10-04 10:36:55</t>
  </si>
  <si>
    <t>Trần Thị Ngọc Quỳnh</t>
  </si>
  <si>
    <t>100007906538295</t>
  </si>
  <si>
    <t xml:space="preserve">#kemnen </t>
  </si>
  <si>
    <t>#thammun
Em thực sự bế tắc anh chị ơi
Chuyện là em có đi chữa da liễu (Được tầm 3 tháng): mụn thì hết nhưng vết thâm vẫn còn rất nhiều :(( Em uống tầm 1 tháng vẫn thấy thâm không đỡ nên em quyết định ngưng thuốc. Bây giờ em phải làm sao đây ạ? Em nên đi spa chăm sóc lại da hay sử dụng dược phẩm nào ạ :(( cho em xin tư vấn với. Em cảm ơn nhiều ❤</t>
  </si>
  <si>
    <t>2019-11-30 16:36:56</t>
  </si>
  <si>
    <t>Alethea Zelda</t>
  </si>
  <si>
    <t>100038560100522</t>
  </si>
  <si>
    <t xml:space="preserve"> #Help #Lác #Hắclào 
Nằm vùng đã lâu nay ngoi lên xin ý kiến và chỉ dẫn của Mn, chỉ là hơi tế nhị xíu, mn có bik cách chữa hoặc thuốc chữa dứt điểm bệnh lác đồng tiền k ạh, mình sống chung vs nó gần 4 năm nay r, khổ trăm bề,ban đầu vì thiếu hiểu biết cộng vs việc nó lên ở mông nên k biết mà cứ thấy ngứa là gãi, đến khi biết nó là dì thì nặng r, chữa mấy năm nay, dân gian có thuốc có nhưng k hết, có hết thì hết chỗ này và nhảy sang chỗ khác,giờ nó ngứa muốn nhảy dựng, mà đụng vào gãi thì nó đau, có nhiều đêm ngủ vô thức gãi đến chảy máu,mn cứu mình với,mình mới sinh bé, ở cữ 1 tháng đúng là nỗi ám ảnh, nằm than cộng vs việc sản dịch hay ra nên phải băng,ẩm ướt càng khiến nó ngứa điên ngứa dại,helpppppme 😖😖😖</t>
  </si>
  <si>
    <t>2019-08-28 01:37:43</t>
  </si>
  <si>
    <t>Khổng Thị Kiều Trinh</t>
  </si>
  <si>
    <t>100027615618911</t>
  </si>
  <si>
    <t xml:space="preserve">#Hắclào #Lác #Help  </t>
  </si>
  <si>
    <t>Em cần sự trợ giúp 😭😭
Trc có thời gian k hiểu biết thì dính vào kem trộn mocha 
E ngưng dùng tầm đc 3-4 tháng nay rồi 
Mặt bắt đầu đen sạm, nhiều nám, sưng mụn và CỰC KÌ NGỨA Ạ 😭 
Hiện tại thì em mới đang dùng srm chưa dám dùng gì thêm
Da e là da khô an
Mong ce  chỉ giáo cứu e chứ ngứa lắm rồi 
#help</t>
  </si>
  <si>
    <t>2019-11-12 06:18:18</t>
  </si>
  <si>
    <t>Da em bị nổi mụn như nầy thì nên sài gì ạ?  Mọi người giúp em với.
Mong add duyệt giúp em.</t>
  </si>
  <si>
    <t>2019-12-09 08:45:46</t>
  </si>
  <si>
    <t>Trần Huyền Chân</t>
  </si>
  <si>
    <t>100037206632402</t>
  </si>
  <si>
    <t>Mặt mình bị tàn nhang, da xạm lại, nhìn da mặt hơi tối, mình đang tính mua kem này về xài, mình 31t rồi, da bắt đầu có dấu hiệu lão hoá, ai xài sản phẩm này rồi cho mình xin ít review với ạ.
😊😊
Hoặc bạn nào biết có sản phẩm nào giúp làm mờ bớt tàn nhang và làm sáng da lên không chỉ mình với ạ.
Tks all ạ.</t>
  </si>
  <si>
    <t>2019-10-21 14:51:46</t>
  </si>
  <si>
    <t>Linn Linn</t>
  </si>
  <si>
    <t>100039255401029</t>
  </si>
  <si>
    <t>#collagen
Mình đang định uống collagen và viên cấp nước, mọi người thấy loại nào tốt ạ, và sử dụng có hiệu quả k, mình năm nay 31t, da bắt đầu tả tơi rồi ahuhu 😂😂😂</t>
  </si>
  <si>
    <t>2019-12-05 01:20:31</t>
  </si>
  <si>
    <t>100001843191353</t>
  </si>
  <si>
    <t>Đăng nhiều bài mà vẫn chưa được ad duyệt buồn quá. Mong lần này được ad duyệt ạ. 
#Serum #obagi #lancome #estee
Mọi người ơi. Chẳng là em đang dùng serum Vit C glactomyces của some by mi thấy da khá sáng lên nhưng các hiệu quả như xóa mờ tàn nhang, làm mịn da như hãng cam kết thì không có. Nên em đang muốn tìm đến một dòng serum có hiệu quả cải thiện kết cấu da hơn ( se khít lỗ chân lông, mịn da..) . Em có thấy các dòng serum obagi, lancome và estee lauder được review là đắt nhưng xắt ra miếng. Chị em nào dùng rồi cho em lời khuyên được không ạ. Trộm vía da em khá là lành, nên dùng được nhiều dòng mỹ phẩm mà không bị kích ứng hay không hợp. 
Cảm ơn mọi người ạ</t>
  </si>
  <si>
    <t>2019-09-03 12:29:49</t>
  </si>
  <si>
    <t>100021814131480</t>
  </si>
  <si>
    <t xml:space="preserve">#estee #lancome #obagi #Serum </t>
  </si>
  <si>
    <t>Em xin tips và thuốc trị sẹo với ạ 😞 té xe xong mà lúc nào gặp ngyeu cũng đi tất hết 😞 em xài 2 lọ decumar rồi mà k đỡ 😞</t>
  </si>
  <si>
    <t>2019-11-15 11:50:28</t>
  </si>
  <si>
    <t>Nom Num</t>
  </si>
  <si>
    <t>100039547629160</t>
  </si>
  <si>
    <t>Halo các chị trong group ạ
Em muốn hỏi 1 chút về mỹ phẩm dành cho bà bầu ạ, bạn em mới bầu nên muốn mua kem chống nắng và son dùng cho bà bầu ạ. Chị nào đã từng dùng rồi tư vấn giúp em với ạ.
Em cảm ơn các chị nhiều ạ❤️
#ask #lipstickforpregnant</t>
  </si>
  <si>
    <t>2019-10-21 03:04:46</t>
  </si>
  <si>
    <t>심하나</t>
  </si>
  <si>
    <t>100003546394624</t>
  </si>
  <si>
    <t xml:space="preserve">#lipstickforpregnant #ask </t>
  </si>
  <si>
    <t>Mn cho em hỏi với ạ 
Tầm 10 ngày nay tay e xuất hiện những mảng nâu mà không biết là bị gì . Luac đầu e tưởng bị dính gì đấy nhưg k phải (k ngứa k đau gì hết)
Có ai bị như e hay đây là bệnh gì cho e lời khuyên với ạ 😭😭😭</t>
  </si>
  <si>
    <t>2019-12-19 05:14:48</t>
  </si>
  <si>
    <t>Thư Ngô</t>
  </si>
  <si>
    <t>100010737997128</t>
  </si>
  <si>
    <t>Các chị tư vấn cho e có dầu gội hoặc xịt tóc nào làm giảm rụng tóc sau sinh vs kích thích mọc tóc k ạ. Phía trc trán e rụng sắp hói rồi
E k uống đk tpcn vì đag cho bé bú ạ😩</t>
  </si>
  <si>
    <t>2019-11-17 08:05:53</t>
  </si>
  <si>
    <t>Hồ Thị Tú Trinh</t>
  </si>
  <si>
    <t>100008441838577</t>
  </si>
  <si>
    <t>Mọi người ơi cho em hỏi da em năm nay mới 17 tuổi mà bị lcl to như vậy thì nên sử dụng những sản phẩm gì thì tốt nhất ạ. Da em còn đang bị mụn là da break out khi bỏ kem trộn đó mọi người ạ. Tiện thể mn chỉ em mấy sp trị mụn tốt với ạ chứ sắp tết rồi mà da dẻ chán quá 😔
#help
#damun
Mong ad duyệt bài chứ giờ em bất lực với làn da này quá mất thôi😭😭</t>
  </si>
  <si>
    <t>2019-12-18 10:04:20</t>
  </si>
  <si>
    <t>100040359041970</t>
  </si>
  <si>
    <t>Mn cho e hỏi chút ạ. Da mặt e có mụn ẩn ntn thì e dùng cách nào trị dc ạ . Vì sờ nó sần sần ạ 
E đang dùng bộ dưỡng da trị mụn của #clinique ạ</t>
  </si>
  <si>
    <t>2019-12-19 03:21:52</t>
  </si>
  <si>
    <t>Maika Bui</t>
  </si>
  <si>
    <t>100006431017832</t>
  </si>
  <si>
    <t xml:space="preserve">#clinique </t>
  </si>
  <si>
    <t>SOSS SOSSS mng ơi!!
em mua máy rửa mặt Foreo luna mini 2 được 3 ngày, em dùng xog 1,2 lần đầu thì vẫn bthuong, mà sao những lần sau này da nó đỏ lên rát lắm ạ:((( em apply toner hoa cúc của Kiehl's, xog kem dưỡn ẩm Clinique loại Jelly í ạ, thì nó rát và nóg tầm 5p ạ:((( em dùng foreo mức nhẹ nhất, và e mua tại sephora nên ko có phải hàng fake đâu ạ:((( mng giúp em với</t>
  </si>
  <si>
    <t>2019-10-27 03:01:51</t>
  </si>
  <si>
    <t>Trinh Thảo Nguyễn</t>
  </si>
  <si>
    <t>100027037657761</t>
  </si>
  <si>
    <t>#tip #tưvấn Mọi người ơi da em bị như này ạ huhu. Làm cách nào cũng không hết, vì da em nhạy cảm quá nên khó xài sản phẩm 😔. Nó bị đen nhưng không có nhân mụn hay gì cả, em có xài máy rửa mặt, ở ngoài còn đen và lcl to hơn nữa ạ, mũi em cũng nhìu mụn lắm :(( . Nhưng lâu quá rồi vẫn không thấy tình trạng khá hơn. Có cách nào trị dứt cho da láng hơn không ạ?</t>
  </si>
  <si>
    <t>2019-12-04 15:11:13</t>
  </si>
  <si>
    <t>100037257371778</t>
  </si>
  <si>
    <t xml:space="preserve">#tưvấn #tip </t>
  </si>
  <si>
    <t>Cho e hỏi ace vs ạ,e giờ đang muốn chỗ tóc ở phần mái mọc thêm cho đỡ bị thưa thì nên làm ntn ạ,vì phần 2 bên mái của e bị thưa qá nhìn như hói ý</t>
  </si>
  <si>
    <t>2019-12-10 23:45:30</t>
  </si>
  <si>
    <t>Nguyễn Nghĩa</t>
  </si>
  <si>
    <t>100015089655941</t>
  </si>
  <si>
    <t>Mọi ng ơi có ai biết kem chấm mụn viêm nào tốt ko chỉ giúp e với ạ. Mặt e chuyên lên mụn viêm đỏ xưng nhức lắm ạ. Nhưng e chưa tìm đc loại nào cả 😞</t>
  </si>
  <si>
    <t>2019-11-04 14:47:48</t>
  </si>
  <si>
    <t>Phạm Ngọc Linh</t>
  </si>
  <si>
    <t>100027596921602</t>
  </si>
  <si>
    <t>#niengrang
Helo các chị em xinh đẹp của Đẹp Chanh Sả, sau khi nằm vùng theo dõi và chuyên đi cmt dạo trong group đã lâu, nay mình xin mạn phép chia sẻ kinh nghiệm niềng răng tính đến nay gần tròn 1 năm, sự thay đổi nằm ở phía bên dưới nhé😂
Thực sự mà nói mình không thấy thay đổi nhiều cho đến khi nhìn lại tấm hình ngày xưa và phim chụp hàm cách đây 4 năm. Mon men tìm hiểu từ năm 2015, đi rất nhiều nha khoa uy tín tại tphcm thì quyết định niềng răng vào năm 2018. Lo có, sợ có, lo là làm xong ko đẹp, sợ là sợ đau đó mà 😔
Câu hỏi mà các bạn hay hỏi mình nhất đó chính là niềng răng có đau không? Tất nhiên là đau rồi, đau muốn chết đi sống lại luôn á 😂. Haha đùa tí thôi, đau nhất là khoảng thời gian đặt chun tách kẽ, chun đó sẽ được đặt vào giữa răng 6-7, 7-8, và mấy ngày này bạn chả ăn đc gì ngoài cháo, cơm nhão và bún. Ngoài ra thì mình thấy có những case phức tạp như nong hàm, khớp cắn lệch thì sẽ đau cực vì nó liên quan đến răng hàm, còn của mình răng hàm khớp cắn khá chuẩn nên không cần phải chỉnh nhiều. Nhưng mà không sao đâu, rồi nó sẽ đẹp, chỉ cần nghĩ đến ngày mình đẹp thì mọi thứ đau đớn sẽ qua hết. À quan trọng hơn cả, tay nghề bác sĩ phải giỏi, cực kỳ giỏi, ko thì đau lắm, mình bị 1 lần bác sĩ của mình bận và gửi gắm mình cho 1 chị thực tập, trời ơi siết cái răng mà siết mạnh quá nó đau đến mức chỉ cần chạm nhẹ thôi là tê não, gắn band ko bóp phần sắt phía trong lại như bác sĩ chính mình hay làm nên nó móc vào lưỡi cực kỳ thốn 😭. Nên bác sĩ rất quan trọng đấy nhé 😉
Tiếp đến là quá trình nhổ răng thôi, mình phải nhổ tổng cộng 6 cái răng, sếp mình hay trêu mình răng đâu mà nhổ lắm thế vì hay xin nghỉ làm 😂. Có một bí quyết mình đã test thử là uống panadol trước khi nhổ 30p, thì răng 4 ko có cảm giác đau, 2 chiếc răng khôn thì 1 chiếc đau sau khi nhổ tầm 2 tiếng, chiếc còn lại mình đã ko uống thuốc và nó đau từ lúc bước chân ra khỏi nha khoa 😭. Về mình chỉ chườm lạnh 3 tiếng, uống thuốc thì 2 ngày sau mình đã ăn được cơm rồi. 😂 Sau thì chỉ cần tháng nào cũng lên nha khoa siết và kéo răng vào thôi, về nhà ăn uống bình thường, mình ko ăn cháo được nên đi siết về nấu cơm hơi nhão một tí rồi ăn với trứng, thế là xong bữa.
Mình sẽ niềng tổng cộng là 2,5 năm, mọi người thì thấy sẽ lâu nhưng đối với mình thì mình có thể đợi được, vì từ lúc gắn mắc cài vô mình còn tự tin hơn cả lúc trước(ngậm tiền trong miệng đó các bạn ạ, cứ khoe😂). Nên bạn nào có vấn đề về răng như răng ko đều, khớp cắn lệch, hô, móm thì thực sự thực sự khuyên nên đi niềng răng càng sớm càng tốt. Đau có, giảm cân có(mình thì tăng kg😂), hóp má hóp thái dương có nhưng sau cùng kết quả vẫn là mình sẽ ĐẸP. Fighting!🤗</t>
  </si>
  <si>
    <t>2019-07-30 16:27:47</t>
  </si>
  <si>
    <t>Thu Thuỷ</t>
  </si>
  <si>
    <t>100006074313797</t>
  </si>
  <si>
    <t>Mong ad duyệt dùm em 
Da em bị mụn cũng được 2 năm rồi, lấy nhân mụn là các kiểu bh mới đở, bây giờ em bị sẹo thâm như vậy , bạn em chỉ e nên dùng Red Peel , da em như vậy dùng được không các chị, gần tết rồi da em nhìn như vậy em thấy chán quá . Ai củng chê khiến em rất là mặc cảm .</t>
  </si>
  <si>
    <t>2019-11-30 11:31:42</t>
  </si>
  <si>
    <t>Huyền Joan</t>
  </si>
  <si>
    <t>100008376703665</t>
  </si>
  <si>
    <t>#ask 
Cách đây 3 tháng em bị stress nên bị mất ngủ nhưng kể từ đó đến giờ em quen 1-2h sáng mới ngủ. Em dùng rất nhiều cách từ cả ngày không ngủ để tối ngủ, thuốc ngủ cũng dùng luôn ạ mà cho tới bây giờ đã là gần 3 tháng rồi mà chẳng thay đổi gì được hết ạ 😞 . Ai có tips gì có thể thay đổi thói quen sinh hoạt ngủ sớm được không ạ ?😞 chứ em skincare 7749 bước mà ngủ muộn nên da vẫn chán lắm ạ 😞</t>
  </si>
  <si>
    <t>2019-11-03 04:58:13</t>
  </si>
  <si>
    <t>#Help #Nguclep
Chào các tỷ muội,trong group mình có ai ngực lép như mình k nhỉ 😄. Ngực mình tầm 81 82 j ấy (k lép lắm đâu) nhưng so với chiều cao 1m65 của mình thì rõ ràng k tương xứng xíu nào.
Mình cũng đã lên mạng tìm hiểu cách nở ngực này kia. Đã tích cực uống sữa đậu nành + làm theo các bài tập thể dục cho ngực trên youtube nhưng kết quả ngực chả nở ra dc 1cm nào cả 😢. Biết là vòng 1 do di truyền + cơ địa mỗi người nhưng chả lẽ ngoại trừ nâng ngực thì k có biện pháp hiệu quả nào s các chị em? 
Dạo này mình hay xem mấy page bán thuốc uống,thuốc xoa cải thiện vòng 1 nhưng k dám đặt mua vì đã từng xem các bài viết cảnh báo hậu quả r. Nhưng quả thật là nhìn hình nó quảng cáo thấy ham dễ sợ.
Có ai đã cải thiện từ đồng bằng lên đồi núi thành công thì chỉ kinh nghiệm cho mình và mọi ng với ạ. Qua kinh nghiệm của bản thân thì mình thấy sữa đậu nành chả có tác dụng j cả,nếu có hiệu quả thì ngực mình bây h chắc còn hơn mấy hot girl ngực khủng nữa vì mình uống liên tục trong 1 time rất dài nhưng đo đi đo lại thì vẫn cứ y nguyên.
Nhiều ng ngực to thì than thở muốn ngực bé lại. Đúng là ngực nhỏ cũng có lợi ích nhưng tâm lý của phái nữ là muốn mình luôn đẹp hoàn hảo phải k ạ,lúc nào cũng muốn cải thiện chỗ này 1 tý,chỗ kia 1 tý. Mình post vấn đề này nhờ các chị em vào tâm sự và chia sẻ nhé. Thân ái! ❤</t>
  </si>
  <si>
    <t>2019-03-11 10:01:39</t>
  </si>
  <si>
    <t>Juu Ryo</t>
  </si>
  <si>
    <t>100009775987971</t>
  </si>
  <si>
    <t xml:space="preserve">#Nguclep #Help </t>
  </si>
  <si>
    <t>Mọi người ơi 😁 Mọi người có cách nào cho 2 mí mắt em đều không ạ 😂 Chứ 1 bên mí nhỏ bên kia thì bự e khó chịu quá ạ .
Cảm ơn mn nhiều
#Mimatkhongdeu</t>
  </si>
  <si>
    <t>2019-12-11 13:11:03</t>
  </si>
  <si>
    <t>Nhân Nguyễn Trọng</t>
  </si>
  <si>
    <t>100012990342669</t>
  </si>
  <si>
    <t xml:space="preserve">#Mimatkhongdeu </t>
  </si>
  <si>
    <t>#collagen #ask
Chào mọi người! Mẹ em đến tuổi 40 thì da cũng đã bị lão hóa ít nhiều, muốn cho da cải thiện hơn thì mẹ em quyết định uống collagen nhưng vẫn chưa biết loại collagen nào tốt và phù hợp! Mọi người tư vấn giúp em các loại viên uống collagen dành cho tuổi 40 tốt với ạ! Em cảm ơn!</t>
  </si>
  <si>
    <t>2019-09-14 06:00:22</t>
  </si>
  <si>
    <t>Nguyễn Trần Thùy Giang</t>
  </si>
  <si>
    <t>100014900927126</t>
  </si>
  <si>
    <t xml:space="preserve">#ask #collagen </t>
  </si>
  <si>
    <t>Thật sự em thích kiểu body này cực nhưng không biết phải bắt đầu từ đâu cả nên mọi người ai có tip hay kinh nghiệm giảm nào để có body ntn chia sẻ cho em vớu ạ! em cảm ơn.</t>
  </si>
  <si>
    <t>2019-11-23 14:04:57</t>
  </si>
  <si>
    <t>Huỳnh Mỹ Bình</t>
  </si>
  <si>
    <t>100023873505596</t>
  </si>
  <si>
    <t>Chào các anh chị, các bạn. Chuyện là tình trạng mặt e như ảnh: mụn ẩn, mụn đầu đen, mụn li ti có mủ trắng, lỗ c.l to, da ra nhiều dầu. (e có khá nhiều lông mặt nữa ạ 😞 ).
Xưa giờ e không trang điểm, không dùng mỹ phẩm gì cả. Nên e không biết mua loại nào phù hợp. E có xem qua sp của Innisfree mà không biết đung tốt không ạ?
Mong các anh chị tư vấn từng bước và nên mua loại nào với ạ. Hiện e có dùng sữa rửa mặt Cetaphil ạ.</t>
  </si>
  <si>
    <t>2019-12-05 14:18:09</t>
  </si>
  <si>
    <t>Cơ Mộc Ly</t>
  </si>
  <si>
    <t>100023131660464</t>
  </si>
  <si>
    <t xml:space="preserve">Huhu trong group mình ai có cách giúp sẹo thâm bay sạch sẽ nhanh nhất không ạ. Chuyện là lúc bầu 6 tháng mình bị dị ứng thai nên ngứa rất nhiều. Sau 2 tháng thì chân nát hết luôn, hoa chi chít cả người từ cổ xuống bằng chân ( may cái mặt vẫn còn y nguyên ) và sau đẻ thì hết ngứa mà chuyển sang mề đay, đã uống thuốc giải độc gan nhưng vẫn chưa hết, mỗi ngày đều tắm lá trà xanh, khi thì tắm cành + lá khổ qua rừng và cách 1 ngày thì dùng muối tắm trái cây, mỗi ngày đều dưỡng ẩm bằng Body Milk của Nivea, nhưng chỉ bớt thân đi 20% -30% chứ k hết hẳn. Mỗi ngày ra đường đều bị phải mặc quần áo tay dài làm già đi chục tuổi luôn ý, k dám mặc quần ngắn do sợ hàng xóm nhìn ngó rồi nói này kia 😞, nhìn chân bị như kiểu bị sida ý 😞 . K dám ra đường đi chơi cùng bạn bè, đi chợ, đi mua đồ gì luôn. 1 tháng nữa đi biển cùng gia đình rồi, chân thâm thế này sao đi đây ? 😞
#ask #trịthâm </t>
  </si>
  <si>
    <t>2019-03-08 13:37:35</t>
  </si>
  <si>
    <t xml:space="preserve">#trịthâm #ask </t>
  </si>
  <si>
    <t>Em mọc quá nhjeu mụn bọc và mụn mủ ở 2 bên thái dương và 2 má ntn ạ . Có mấy vùng da ơ má chưa thấy nổi mà sờ vào cộm cộm và ngứa châm chít ạ . Có ai tưng bị như e mà dùng cái j hết k chỉ e vs ạ . Tiện thể cho e hỏi có chị e nào dùng tuyp kem trị mụn Dalacin 1% của Nhật mà lành mụn k ạ. Em cảm ơn</t>
  </si>
  <si>
    <t>2019-11-26 13:28:58</t>
  </si>
  <si>
    <t>Dương Thị Thu Nguyệt</t>
  </si>
  <si>
    <t>100005210613507</t>
  </si>
  <si>
    <t>Có nàng nào đã sử dụng máy triệt lông tại nhà này chưa ạ? Mình thấy review triệt 50.000 slot mà giá cũng mềm, nhưng ko biết công hiệu như thế nào cả ?? Có thể cho em xin ít review ko ạ? #trietlong #bikiptrietlong</t>
  </si>
  <si>
    <t>2019-06-02 11:23:30</t>
  </si>
  <si>
    <t>Nguyễn Thị Hoài An An</t>
  </si>
  <si>
    <t>100004916018816</t>
  </si>
  <si>
    <t xml:space="preserve">#bikiptrietlong #trietlong </t>
  </si>
  <si>
    <t>Da em 2 tháng này nó bỗng dưng nó lên nhiều mụn kinh khủng , toàn mụn bọc vs mụn mủ . Ai có loại thuốc nào trị mụn hiệu quả nào thì chỉ cho em với</t>
  </si>
  <si>
    <t>2019-12-09 14:49:47</t>
  </si>
  <si>
    <t>Cu Tèo</t>
  </si>
  <si>
    <t>100023313468358</t>
  </si>
  <si>
    <t>#help #muntham
Em stress quá ạ. Mọi người tư vấn giúp em với. Da em lúc trước chỉ có thâm đỏ thôi  ạ. E  nghĩ  da yếu nên e k sử dụng kem dưỡng, mà e chủ yếu làm sạch da. Hiện e đang sử dụng tẩy trang, srm và nước cân bằng da của La Roche Posay khoảng tầm 1 tháng nay, thì da em lại bị đẩy mụn ẩn lên nhiều, vẫn cứ mụn viêm mà còn nhiều hơn trước nữa. 
Mọi người nghĩ xem e có nên đi spa trị mụn không hay e nên đi da liễu. Vì e thấy bệnh viện thì cũng tốn khá nhiều tiền, mà sợ lại làm qua loa ý ạ.
Cảm ơn m.n đã đọc ạ</t>
  </si>
  <si>
    <t>2019-12-02 11:14:37</t>
  </si>
  <si>
    <t>Lan Võ</t>
  </si>
  <si>
    <t>100028636384470</t>
  </si>
  <si>
    <t xml:space="preserve">#muntham #help </t>
  </si>
  <si>
    <t xml:space="preserve">Mn tư vấn giúp e ạ
Dạo này mặt xuất hiện nhiều đốm lấm chấm nâu nâu trên mặt, có cả mảng lớn như đồi mồi 
Nên khắc phục bằng cách nào đây ạ.  
Ở bên ngoài nhìn rõ hơn mà chụp xong thấy mờ
</t>
  </si>
  <si>
    <t>2019-12-21 09:36:21</t>
  </si>
  <si>
    <t>100023287266717</t>
  </si>
  <si>
    <t>Em năm nay 14 tuổi .Mọi người cho em hỏi mặt em như thế này  phải bị mụn  ẩn ko ạ . Ai biết srm hay serum trị hết mụn ẩn và mụn đầu đen chỉ cho em với 😭😭😭</t>
  </si>
  <si>
    <t>2019-12-23 16:14:44</t>
  </si>
  <si>
    <t>Bích Ngọcc</t>
  </si>
  <si>
    <t>100037969882524</t>
  </si>
  <si>
    <t>Ad duyệt giúp em với. E c ơn nhiều.
Mấy chị giúp e với ạ. Dạ e hiện giờ sẹo lỗ đầy thế này đây. Có cách nào khác phục k mấy chị. Hình cuối là lúc e mụn nặng. Cách đây 5 tháng r. E dùng MTM đc 3 lọ mới bỏ được mấy ngày nay thôi, tại giờ mới biết phốt MTM.</t>
  </si>
  <si>
    <t>2019-12-03 12:13:45</t>
  </si>
  <si>
    <t>Băng Di</t>
  </si>
  <si>
    <t>100044376846063</t>
  </si>
  <si>
    <t>Mấy chị review dùm em dùng loại nào để đẩy mụn ẩn và giúp lcl nhỏ lại .  Da em da dầu  ạ. Em cảm ơn mọi người 🤗</t>
  </si>
  <si>
    <t>2019-12-15 14:47:57</t>
  </si>
  <si>
    <t>100041579462797</t>
  </si>
  <si>
    <t>Mọi người ơi da em cứ đỏ rồi bong tróc quài là sao vậy ạ :(</t>
  </si>
  <si>
    <t>2019-12-09 00:29:36</t>
  </si>
  <si>
    <t>Bé Linh</t>
  </si>
  <si>
    <t>100015623941136</t>
  </si>
  <si>
    <t xml:space="preserve"> #ask #kemduongda
Hi các m. Cho t hỏi xíu là hầu như các dòng kem dưỡng ẩm ban đêm khi bôi lên mặt đều bóng bóng đúng ko ạ? Vì t thì ghét cái gì bôi lên mặt mà bóng bẫy vô cùng huhuu. 
Nếu có các m có thể đề xuất giùm t 1 loại kem dưỡng ẩm đêm cho da hỗn hợp dầu mà khi bôi lên mặt ko bóng với nhen. Dòng highend hay bình dân gì cũng đc vì t sẽ thử dần để kiếm đc loại phù hợp nhất á. Thanks các m</t>
  </si>
  <si>
    <t>2019-10-03 10:22:22</t>
  </si>
  <si>
    <t>Đào Lê</t>
  </si>
  <si>
    <t>100003908753133</t>
  </si>
  <si>
    <t xml:space="preserve">#kemduongda #ask  </t>
  </si>
  <si>
    <t xml:space="preserve"> #Cấy_Xương_Răng 
Chào mọi người,  hôm nay e đi khám lại răng bác sĩ có khuyên e nên cấy xương răng để cắm trụ Implant. Vậy có anh chị nào cấy xương răng chưa cho e xin ít ý kiến với ạ.</t>
  </si>
  <si>
    <t>2019-09-29 04:20:06</t>
  </si>
  <si>
    <t>Vũ Duật Tề Nam</t>
  </si>
  <si>
    <t>100014310241731</t>
  </si>
  <si>
    <t xml:space="preserve">#Cấy_Xương_Răng  </t>
  </si>
  <si>
    <t>#help #trịmụn
Mấy ngày gần đây đột nhiên mặt em break out như thế này ạ. Mụn đầu trắng li ti lên toàn mặt luôn ạ. Sáng nay còn lan hết lên phần mũi nữa.😰 Em stress quá các chị ạ.
Em đã dừng skincare và kiêng ăn nhưng mà vẫn không biết khắc phục như thế nào. Em cũng không biết nguyên nhân của cái đống mụn này là gì luôn.😰😰
Mọi người cho em hỏi ở Đà Nẵng Spa nào uy tín với ạ.
Cảm ơn mọi người.</t>
  </si>
  <si>
    <t>2019-10-07 08:05:52</t>
  </si>
  <si>
    <t>Trần Yên</t>
  </si>
  <si>
    <t>100041882926617</t>
  </si>
  <si>
    <t>#đepchanhsa #collagen
Chào cả nhà.trong này chắc có nhiều ce có ck con rồi nhỉ? Chuyện là mình có ck 2 mặt con rồi sắp có bé thứ 3. Thanh xuân của e là ăn và đẻ 😔😔. Và nỗi lo là xong lứa này là hết xuân luôn.
Nên e có dự tính là sinh bé xong sẽ uống collagen.mà ko biết loại nào phù hợp với cả uống trong lúc cho con bú có đc ko.
Những ce có kinh nghiệm cứu rỗi giùm e cái thanh xuân này với😘😘
À e thấy ngta hay bán cái collagen này mà ko biết có đảm bảo ko ta?</t>
  </si>
  <si>
    <t>2019-09-28 15:13:46</t>
  </si>
  <si>
    <t>Mai Duyên</t>
  </si>
  <si>
    <t>100004961948551</t>
  </si>
  <si>
    <t xml:space="preserve">#collagen #đepchanhsa </t>
  </si>
  <si>
    <t>Chào các chị e trong group, e tàu ngầm lâu lắm rồi ạ. Cũng theo dõi khá nhiều bài viết về trị mụn í ạ. Da e dùng rượu thuốc 2 lần giờ nát hết cả mặt rồi 😭😭😭 còn thêm mụn ẩn vs cả thâm nữa í ạ 😭😭😭. Nhưng e đang du học ở Nhật nên đi spa để nặn mụn chăm sóc da là điều k thể 😩😩😩.
Chị nào dùng bộ sản phẩm incellderm của hàn quốc này cho e review vs ạ, da e nhạy cảm vs cả rất yếu nữa dùng cái này có sao k ạ
#trị_mụn #da_nhạy_cảm #đẹp_chanh_sả</t>
  </si>
  <si>
    <t>2019-12-13 03:29:56</t>
  </si>
  <si>
    <t>Nguyễn Lan Thanh</t>
  </si>
  <si>
    <t>100009045810712</t>
  </si>
  <si>
    <t xml:space="preserve">#đẹp_chanh_sả #da_nhạy_cảm #trị_mụn </t>
  </si>
  <si>
    <t>Da mặt của bé bạn e cần tư vấn ạ. Da đã từng điều trị tại da liễu nhưng ko bớt mà còn nặng thêm . mọi người tư vấn cho e nó dùm e đc ko.</t>
  </si>
  <si>
    <t>2019-12-09 11:59:19</t>
  </si>
  <si>
    <t>Chào các anh/chị. Vì trong group có nhiều ng quen biết nên em xin phép dùng nick clone ạ. Chuyện là em có đi làm móng, lúc làm thì chị nhân viên có sơ ý phạm vào chân em. Và giờ thì nó như vậy :(((( mấy anh,/chị biết cách nào cứu vãn tình hình ko giúp em với. 😢 😢 😞 
Nhờ các chị adm duyệt bài giúp em ạ. 
Em cảm ơn nhiều ạ</t>
  </si>
  <si>
    <t>2019-12-15 02:39:52</t>
  </si>
  <si>
    <t>100044568137388</t>
  </si>
  <si>
    <t>#ask #son #makeup
Cho em hỏi đã ai dùng dòng son này chưa ạ cho em xin chút review với ạ, em cần tìm 1 thỏi son lì mà em có xem trên fanpage thấy màu số 5 đẹp với vỏ sang quá ạ. Nghe nói là mạ vàng gì đó, em dùng cushion với kẻ mặt của Chouchou này nhưng chưa thử qua son nên không biết chất son thế nào ạ. Cảm ơn admin đã duyệt bài ạ.🥰🥰🥰</t>
  </si>
  <si>
    <t>2019-11-09 02:52:49</t>
  </si>
  <si>
    <t>Lê Thị Kim Ngân</t>
  </si>
  <si>
    <t>100039189612766</t>
  </si>
  <si>
    <t xml:space="preserve">#makeup #son #ask </t>
  </si>
  <si>
    <t xml:space="preserve">
#matnathiennhien
 Các chị đẹp chia sẽ ít  công thức mặt nạ trắng da từ thiên nhiên với ạ .</t>
  </si>
  <si>
    <t>2019-12-22 09:28:19</t>
  </si>
  <si>
    <t>Hạ Vi</t>
  </si>
  <si>
    <t>100013428469329</t>
  </si>
  <si>
    <t xml:space="preserve">#matnathiennhien </t>
  </si>
  <si>
    <t>Xin chào mọi người! Sắp tết rùi mà cái mẹt e tự nhiên thời gian gần đây nó bị như thế này. Trc kia da e cũng khá ổn. Sau 1 thời gian tự nhiên lũ mụn ẩn nổi lên khá nhiều.( không biết có phải do e dùng nước thần sk2 không hợp mà bị vậy không). Sau đó e có đi spa và đc spa tư vấn là vi kim tảo biển. E cũng vi tảo nhưng k ăn thua. Rồi lại cấy tảo xoắn. Lũ mụn ẩn nó vẫn trơ ra. Khoảng 2-3 tuần gần đây tự nhiên nó nổi nốt mụn to, mụn bọc. ( kgoong biết có phải do e ốm uống kháng sinh cả chục ngày mà bị vậy k?). E cũng đang sử dụng mặt nạ đất sét của Kiehl để hút dầu. Vì da e da hỗn hợp thiên dầu. E có rửa sữa rửa mặt Lalise, nước hoa hồng sk2, nước thần thì e đã dừng rồi. Và đang sử dụng huyết thanh. Nước tẩy trang Senka. Kem dưỡng R.N. A và kem cn. Mong mọi người tư vấn giúp e với ạ.</t>
  </si>
  <si>
    <t>2019-12-05 07:14:28</t>
  </si>
  <si>
    <t>Vũ Thúy Hằng</t>
  </si>
  <si>
    <t>100003028692495</t>
  </si>
  <si>
    <t>cho em hỏi tự nhiên tay em nó bị mảng đen đen này là sao ạ, ở ngoài rất là đậm, không biết có bị lan hay cần phải bôi thuốc không ạ 😢
#help</t>
  </si>
  <si>
    <t>2019-12-04 15:06:36</t>
  </si>
  <si>
    <t>Vi diệu quá chị em à 😂 nhiều khi ko bằng 1 thằng đàn ông nữa =)))) 
clip chỉ mang tính chất giải trí, zui zẻ hong quạo nha :))) 
#makeup</t>
  </si>
  <si>
    <t>2019-12-22 13:31:05</t>
  </si>
  <si>
    <t>Thục Nhi Châu</t>
  </si>
  <si>
    <t>100027607841599</t>
  </si>
  <si>
    <t>Mọi người ơi. Chuyện là thế này. Em 22t, sắp Tết nhất đến nơi rồi. Mà da e nay nổi mụn, cục giống trên trán á. Với má bị thâm. Mong các tiên tri giúp em với. Nên khắc phụ như nào. Da em là da dầu, có nên pell, lăn hay phi kim để cải thiện da ko ạ... Đạ tạ. Mong ad duyệt bài giúp em</t>
  </si>
  <si>
    <t>2019-11-14 04:32:45</t>
  </si>
  <si>
    <t>100006267071297</t>
  </si>
  <si>
    <t>Các chị thông thái ơi , cho e hỏi xíu nhé . Ở đây có chị nào sinh mổ không ạ ?. Bao lâu mấy c nịt bụng thế , e sinh 5 tháng rồi mà bụng vẫn còn như có bầu 6 tháng ý 😭. E muốn nịt bụng lắm lắm r , tha thiết xin í kiến ạ ❤️
Tks add duyệt bài 🥰</t>
  </si>
  <si>
    <t>2019-10-30 14:53:30</t>
  </si>
  <si>
    <t>100016710733268</t>
  </si>
  <si>
    <t>Mấy c oi cho em hỏi chút ạ. Bạn trai em bị bệnh ra mồ hôi tay chân ấy ạ. Những lúc căng thẳng hay mệt mỏi hoặc là mồ hôi chân tay lại ra lạnh ngắt. E thấy thương quá. Mấy c có ai b cách nào khắc phục thôi cũng đc ạ.😢 em cảm ơn mn.</t>
  </si>
  <si>
    <t>2019-11-26 02:09:10</t>
  </si>
  <si>
    <t>Nhan Nguyen</t>
  </si>
  <si>
    <t>100025751991590</t>
  </si>
  <si>
    <t>Các bạn cho mình xin review dầu gội tốt đặc trị gàu với ạ 🥴</t>
  </si>
  <si>
    <t>2019-10-31 15:24:54</t>
  </si>
  <si>
    <t>Subi Quậy</t>
  </si>
  <si>
    <t>100005325517444</t>
  </si>
  <si>
    <t>#goctuvan 
Topic này em xin được nhờ các chị em trong DCS tư vấn giúp em nên ăn uống như nào để tăng vòng 1 với ạ 😢 em năm nay 19 tuổi nhưng vòng 1 vẫn như dậy thì từ năm lớp 9 không chịu lớn hơn tí nào .. thật sự em khổ tâm lắmmm .. lúc trước em nặng gần 50kg cũng có tí vòng 1 nhưng từ lúc giảm cân nên v1 cũng giảm theo :(( em rất thích mang mấy mẫu váy như ảnh .. nhưng mang mà v1 bé xíu nên tự ti lắmmm .. chị em nào có cách tăng v1 tự nhiên giúp em với , nói không với thuốc tăng trưởng kích thích ạ .. em cám ơn
Edit thêm : ảnh là em lấy của fb bên shop vân anh ạ không phải ảnh em đâu</t>
  </si>
  <si>
    <t>2019-03-29 04:26:54</t>
  </si>
  <si>
    <t>Nguyễn Thị Huỳnh Nhi</t>
  </si>
  <si>
    <t>100023629849368</t>
  </si>
  <si>
    <t>Mong ad duyệt bài ạ!
Hi mn! Em bị mụn đậu đen như thế này ạ. Nhiều bạn bảo em nên nặn ra nếu k sẽ bị thâm hoặc để lại tàng nhang. Mn cho em hỏi nêu em nặn mụn thì có bị sao không ạ ? Hoặc mn rv giúp em loại nào có thể giảm bớt mụn này với ạ, em chưa skincare bao giờ (TvT). Em cảm ơn 
#đepchanhsa
#mundauden</t>
  </si>
  <si>
    <t>2019-12-06 13:40:17</t>
  </si>
  <si>
    <t>100044339324016</t>
  </si>
  <si>
    <t xml:space="preserve">#mundauden #đepchanhsa </t>
  </si>
  <si>
    <t xml:space="preserve"> #Migia
#Lông mi giả
#Các loại mi.
Em đang muốn tìm một loại mi giả mà make up lên tự nhiên, như kiểu đi chơi, hay đi học nhẹ nhàng. Các chị review cho em với. Em thấy bên Hàn họ cũng dùng mi giả rất nhiều mà trông rất tự nhiên.
Ảnh chống trôi bài ạ</t>
  </si>
  <si>
    <t>2019-11-29 14:10:27</t>
  </si>
  <si>
    <t>100006331331889</t>
  </si>
  <si>
    <t xml:space="preserve">#Các #Lông #Migia </t>
  </si>
  <si>
    <t>Em năm nay 16t, kh hiểu sao bắt đầu lên c3 e bị mụn rất ghê, mà nổi nhiều nữa nhưng nó chỉ nổi mụn ở nửa bên phải. Mụn to còn đỏ, có chỗ còn thâm lại nữa. E đã thử đắp mặt nạ hay là tẩy da chết nhưng kh đỡ. Đi học hiện giờ e tự ti lắm ạ. Có ai cho e lời khuyên với vì e còn đang trong độ tuổi đi học</t>
  </si>
  <si>
    <t>2019-11-26 14:27:06</t>
  </si>
  <si>
    <t>My Hương</t>
  </si>
  <si>
    <t>100039538209779</t>
  </si>
  <si>
    <t>Ad duyệt bài giúp e , e cảm ơn ạ!
Xin chào mn e cũng là thành viên mới thôi ạ.
E là nạn nhân của MTM , e sd chắc cũng tầm 8.9 chai gì đó ạ😭😭
Sau tg e thấy Mai bị phốt e bỏ sd tầm 2 tuần thì ôi thôi rồi da ngứa đỏ mụn sần đỏ to thay nhau trổi lên ạ. Stress kinh khủng e lên Phòng khám o2 skin thì bs bảo e bị kích ứng mỹ phẩm , e vẫn đang uống thuốc chống dị ứng và vẫn đang tái khám hàng tuần. Ngoài thuốc uống thì bs cho e lấy nhân mụn , đắp mặt nạ trị mụn và điện di trị mụn, e tái khám hôm qua là lần t2, vẫn đang trong quá trình điều trị ạ . 
Da e thuộc dạng hỗn hợp thiên khô hay bị mụn ạ. E cũng đang tập tành tìm hiểu để dưỡng da theo các bước anh chị tr gr hướng dẫn. Hiện tại e đang sd
Srm: senka màu xanh ạ
Tt: biodema nắp hồng
Sịt khoáng: evian
Cả nhà giới thiệu giúp em nên sd toner, serum , kem dưỡng với kcn gì tốt khộng ạ. 
E xin cảm ơn ạ.
#Đepchanhsa</t>
  </si>
  <si>
    <t>2019-10-20 09:28:07</t>
  </si>
  <si>
    <t>Mỹ Mỹ</t>
  </si>
  <si>
    <t>100004190620774</t>
  </si>
  <si>
    <t xml:space="preserve">#Đepchanhsa </t>
  </si>
  <si>
    <t>#tuixach
Hi các chị em,
Dạo gần đây em tính mua túi xách của Pedro hoặc Charles &amp; Keith, có tham khảo mấy bạn bên Sing  order rồi mà không hiểu sao hàng Sing toàn rẻ hơn cả nửa là sao ạ? 😂 Các chị thông não giúp em với ạ. 
Thank youuuuu❤️</t>
  </si>
  <si>
    <t>2019-10-28 09:03:49</t>
  </si>
  <si>
    <t>Thúy Linh</t>
  </si>
  <si>
    <t>100009839326179</t>
  </si>
  <si>
    <t xml:space="preserve">#tuixach </t>
  </si>
  <si>
    <t>#ask
#bongtrocdatay
#help
Em bị bong tróc da tay hơn tháng nay,em bôi rất nhiều loại nhưng không thấy khỏi  ,dạo này hanh khô nên lại nị nứt chảy máu 😞😞mn trong nhóm ai biết thuốc gì chữa hiệu quả mách giúp em với ạ ,em cảm ơn nhiều ạ !</t>
  </si>
  <si>
    <t>2019-11-29 11:09:00</t>
  </si>
  <si>
    <t>Phạm Ngoan</t>
  </si>
  <si>
    <t>100005717071276</t>
  </si>
  <si>
    <t xml:space="preserve">#help #bongtrocdatay #ask </t>
  </si>
  <si>
    <t>Chào các ce trong grup..em năm nay mới 20 tuổi nhưng mắt em nhăn và thâm nhiều. Cơ mắt dưới như bị sũng xuống ntn ce có cách nào khắc phục k ạ. Em cảm ơn ạ.</t>
  </si>
  <si>
    <t>2019-12-02 11:16:03</t>
  </si>
  <si>
    <t>Thanh Diệp</t>
  </si>
  <si>
    <t>100009689044505</t>
  </si>
  <si>
    <t>#dadaumuadong 
Các chị ơi da em là da dầu, mùa đông nó bị khô bong tróc. Dạo này e hay bị lên mụn kiểu mụn nước li ti ở dưới mũi,xong ở hai bên má ý ạ :((( các chị giúp em với ạ
Hay dạo này em uống thêm Vitamin b3 6 12 với thuốc mát gan,thuốc bổ sung kẽm nên vậy ạ :(((
Em không có xài kem trộn quấy lắc gì đâu nha cả nhà (｡・//ε//・｡)</t>
  </si>
  <si>
    <t>2019-12-11 07:41:26</t>
  </si>
  <si>
    <t>Vũ Thị Thu Hương</t>
  </si>
  <si>
    <t>100027931775792</t>
  </si>
  <si>
    <t xml:space="preserve">#dadaumuadong </t>
  </si>
  <si>
    <t>Mong ad duyệt bài 
E có làm kiểu tóc này đc có mấy tháng mà n đã thẳng ra r . Mn có cạch để n xoăn lại k ạ 
Sắp Tết r mà n lại thẳng ra . E xin cảm ơn ạ</t>
  </si>
  <si>
    <t>2019-12-13 00:51:51</t>
  </si>
  <si>
    <t>Có aii chỉ em cách trị thâmm kg ạ. E nặn mụn được 3 ngàyy rồi mà giờ xuấtt hiện thâm ạ</t>
  </si>
  <si>
    <t>2019-12-15 01:14:39</t>
  </si>
  <si>
    <t>Phúc Nguyễn</t>
  </si>
  <si>
    <t>100040311967265</t>
  </si>
  <si>
    <t>Chị gái "kem trộn nhà làm" định nghĩa về kem trộn đây ạ! Nào giờ mình cứ nghĩ các loại kem chứa corticiod và các chất tẩy, chất gây hại cho da thì là kem trộn cả chứ! Hóa ra mình đã nghĩ oan cho kem trộn mất rồi. =))))
#kemtron #gócgiảitrí</t>
  </si>
  <si>
    <t>2019-09-02 12:12:16</t>
  </si>
  <si>
    <t xml:space="preserve">#gócgiảitrí #kemtron </t>
  </si>
  <si>
    <t>Cho em hỏi với ạ. Da em là dạng hỗn hợp thiên dầu với nhạy cảm dễ nỗi mụn, da không đều màu nữa ạ. Vậy thì em nên chọn sửa rữa mặt loại nào ạ? :(( Mong mọi người giúp em ạ</t>
  </si>
  <si>
    <t>2019-12-16 14:07:17</t>
  </si>
  <si>
    <t>Hồng Đàoo</t>
  </si>
  <si>
    <t>100014505587956</t>
  </si>
  <si>
    <t>Mọi người cho em ý kiến với ạ.
Miệng em như này thì e nên đi niềng răng hay sửa môi ạ😭. Thật sự là không tự tin lắm 😑 với lại có cách nào trị vàng răng k ạ.? Có sản phẩm nào hoặc cách nào trị tại nhà k ạ 😭😭
#Mongđươcduyêt</t>
  </si>
  <si>
    <t>2019-12-12 12:26:51</t>
  </si>
  <si>
    <t>Trần Khả Na</t>
  </si>
  <si>
    <t>100027161063824</t>
  </si>
  <si>
    <t xml:space="preserve">#Mongđươcduyêt </t>
  </si>
  <si>
    <t>#ask
E chào mng, mng giúp e với ạ 😞
Cách đây một tháng e có đi xỏ tai , cũng rất bình thường nhưng đến khoảng 2 tuần nay thì nó bị sưng một cục như thế này ạ. Em sợ quá k biết nên bôi gì uống gì hay đi khám  😞 ai từng bị giúp e với ạ 😞 lo quá</t>
  </si>
  <si>
    <t>2019-09-03 12:26:32</t>
  </si>
  <si>
    <t>Sam Hoang</t>
  </si>
  <si>
    <t>100006220185120</t>
  </si>
  <si>
    <t>#tips
Mọi người giúp mình với. Da mình hiện có tình trạng lỗ chân lông to, da dầu và rất hay có mụn nhỏ ở cằm, trán. 
Mình đã thử dùng nước tẩy trang rửa da và đi xông hơi nhiều lần nhưng da ko cải thiện. Ai có tip nào bày giúp mình về liệu trình trị liệu (lăn kim, nặn mụn, xông mặt...) để da trở nên mịn nhanh nhất với ạ.</t>
  </si>
  <si>
    <t>2019-12-02 13:15:06</t>
  </si>
  <si>
    <t>Nguyễn Hoàng</t>
  </si>
  <si>
    <t>100003516622802</t>
  </si>
  <si>
    <t>Ad ơi, em đăng ròii mà chưa được duyệt ạ. Hy vọng lần này ad duyệt cho em 
#tuvantrangdaface
Cả nhà ơi. Em muốn tìm kem dưỡng trắng da Face. Em đang phân vân Ohui trắng da mà thấy nhiều review bảo là chỉ thấy dưỡng ẩm, khó lên tông. Mọi ngừoi tư vấn cho em xin loại kem dưỡng với, da em không đều màu, thuộc da dầu ạ. Em cảm ơn cả nhà nhiều lắm !</t>
  </si>
  <si>
    <t>2019-08-28 15:13:17</t>
  </si>
  <si>
    <t>100004718580255</t>
  </si>
  <si>
    <t xml:space="preserve">#tuvantrangdaface </t>
  </si>
  <si>
    <t>Chào mọi người, xin tư vấn giúp em ạ❤
Chị mình 28 tuổi, thuộc tuýp da dầu, nhạy cảm, mụn ẩn li ti, lỗ chân lông to. Chị mình skincare không biết như vầy đã đầy đủ các bước chưa? Có thiếu gì không ạ? Thứ tự các bước như sau ạ:
Sáng: sữa rửa mặt lrp - toner keihl's - serum b5 - duo+ - kcn lrp
Tối: tẩy trang lrp - srm lrp - toner keihl's - serum ordinary Niacunamide 10% + Zinc 1% - serum b5 - kem duo+
Tẩy tế bào Simple 1 lần/tuần - mặt nạ innisfree
Chị mình sử dụng được 1 khoảng thời gian, nhưng vẫn bị mụn ẩn li ti ạ, mong mọi người tư vấn giúp em ạ❤</t>
  </si>
  <si>
    <t>2019-10-29 12:16:31</t>
  </si>
  <si>
    <t>Nguyễn Trần Lệ Thảo</t>
  </si>
  <si>
    <t>100027193012265</t>
  </si>
  <si>
    <t>Mọi người giúp em với ạ😔
Da e ban đầu mụn nhiều giờ để lại vết thâm và sẹo😣Mọi ngườii cho e hỏi.  Có loại kem nào trị thâm Sẹo tốt. Kg ạ..
Thanks mn.😥</t>
  </si>
  <si>
    <t>2019-11-12 05:38:22</t>
  </si>
  <si>
    <t>Trần Phương Thảo</t>
  </si>
  <si>
    <t>100035588240701</t>
  </si>
  <si>
    <t xml:space="preserve">Cả nhà cho e hỏi như này có phải hàng auth không ạ
Do e dùng 1 time là chữ nó bay đi 1 nửa
</t>
  </si>
  <si>
    <t>2019-12-14 07:05:57</t>
  </si>
  <si>
    <t>Nhỏ Nhi</t>
  </si>
  <si>
    <t>100030776953860</t>
  </si>
  <si>
    <t>Mong mọi người giúp đỡ !
Da em hiện đang bong tróc do sử dụng Bà lão .
Em cũng tìm hiểu chưa kĩ vì đang trong môi trường quân đội , thấy bạn bè xài nên cũng mua sử dụng thử ạ. Sau 1 thời gian da bong thế này .
Mấy ngày nay em ngại tiếp xúc với mọi người vì da thế này 😞
Mọi người có lời khuyên nào giúp đỡ em với ạ , có cách nào tẩy hết thuốc rượu trên da mặt không ạ :(( !</t>
  </si>
  <si>
    <t>2019-12-07 12:42:56</t>
  </si>
  <si>
    <t>Nguyễn Văn Tú</t>
  </si>
  <si>
    <t>100002875310362</t>
  </si>
  <si>
    <t>Các chị giúp em với ạ , da em bị như thế này sau khi dính kem trộn . Em đã ngưng sử dụng cái thuốc bắc ấy gần 1 năm rồi ạ , ngay khi hết sd e được biết laroche-posay lành tính và phục hồi tốt nên sử dụng được hơn 7 tháng nhưng da không có gì tiến triển hơn , em dùng tẩy trang Bio , srm laroche , toner thayers , chấm mụn duo+ , serum laroche và bước cuối là B5 ạ . Vì dùng một thời gian cũng khá lâu rồi mà vẫn chưa có gì tiếnn triển hơn ạ 😢😢😢 
Em đang định đổi qua kem dưỡng của Klairs không biết có khả thi hơn không ạ ? 
Em cũng không biết thay loại chấm mụn nào vì em cảm giác Duo+ lúc em bôi lên châm chít quá và cũng không hết dứt điểm được ah . 
Em cảm ơn các chị nhiều ...</t>
  </si>
  <si>
    <t>2019-11-20 08:22:15</t>
  </si>
  <si>
    <t>Christina Tr</t>
  </si>
  <si>
    <t>100011186178574</t>
  </si>
  <si>
    <t>Mn ơi e có dùng tẩy trang biroderma, sưa rưa mặt cám gạo của P'beauty, toner thayer lavender e k có dùng serum hay kem dưỡng gì hết và e đang tìm loại thích hợp vì da e da dầu mn biết thì chỉ e với
E có mua liệu trình nặn mụn ở spa, mới đầu thì thấy đỡ lắm nhưng hết liệu trình thì nó như thế này ạ 😢mụn ẩn lên tùm lum và da lúc nào cũng đỏ như này mn có cách gì không giúp e với 😢
Mong ad duyệt giúp e 🙏</t>
  </si>
  <si>
    <t>2019-12-13 14:29:08</t>
  </si>
  <si>
    <t>Xin phép ad chút...mình có cục mụn này...mình cấu ra hết rồi.tưởng hết à 😔..đến 1 tháng nó lại mọc như cũ.à..😔...có ai biết mụn j và chữa như nào 0 mình rất cảm ơn 🙂</t>
  </si>
  <si>
    <t>2019-12-04 13:18:21</t>
  </si>
  <si>
    <t>Hôm vừa rồi vô tình bắt gặp 1 bức ảnh của bạn này trong cmt mà không có nhớ tên
Mk muốn hỏi là đây có phải mỹ phẩm skincare cho da dầu không ạ, vì mình thấy có nhiều loại dành cho da dầu mụn
 #dadaumun</t>
  </si>
  <si>
    <t>2019-12-11 11:17:12</t>
  </si>
  <si>
    <t>Nguyễn Thơm</t>
  </si>
  <si>
    <t>100033982271770</t>
  </si>
  <si>
    <t xml:space="preserve">#dadaumun  </t>
  </si>
  <si>
    <t>Có bạn nào dùng qua thuốc giảm kg này chưa vậy. Cho mình xin ít phản hồi được không ạ. Mình có ăn kiêng và tập nhưng giảm chậm quá. Muốn thúc đẩy nó nhanh hơn nữa...</t>
  </si>
  <si>
    <t>2019-11-29 07:35:51</t>
  </si>
  <si>
    <t>Nguyễn Minh Trang</t>
  </si>
  <si>
    <t>100012838300555</t>
  </si>
  <si>
    <t>#vàngrăng #trắngrăng
Răng mình bị tình trạng là vàng đều cả hàm, những chỗ gần chân răng còn vàng hơn. Mặc dù mình đã để ý vệ sinh sạch sẽ nhưng ko cải thiện được. Các bạn cho mình xin tips làm trắng răng với. Cảm ơn rất nhiều .</t>
  </si>
  <si>
    <t>2019-12-25 04:08:17</t>
  </si>
  <si>
    <t>Châu Loan</t>
  </si>
  <si>
    <t>100001701461659</t>
  </si>
  <si>
    <t xml:space="preserve">#trắngrăng #vàngrăng </t>
  </si>
  <si>
    <t>#chiase #thorakao #rungtoc #dadau #sachgau 
Mong ad duyệt bài giúp emmmm!! 
Chào mn. Mấy nay có topic nói về tóc rụng cũng như chia sẽ hói tóc vân vân và mây mây. E cũng có cmt dạo share cho mn biết, em vô tình đọc đc bài review của một chị nào đó về sp thorakao. E ban đầu mua cũng không tin tưởng lắm ạ, không nghĩ là sẽ hết gàu đâu. Vì mục đích ban đầu là e tìm sp hết gàu thôi. Ai dè kết quả thật bất ngờ mn ạ và em đã GIẢM RỤNG TÓC, HẾT GÀU, DA KHÔNG ĐỔ DẦU.
Nói chắc sợ mn không tin chứ e xài bộ này đc gần nữa tháng hay s á. Là e đã thấy hiệu quả. Trc e có từng xài dầu gội bưởi của một hãng khác, mà thật nó rích khô làm sao không tả được. Mà thorakao bưởi này là loại 2IN1 gội và xả, nên e khá yên tâm gội k bị khô xơ như dầu gội trc. Thì đúng là không khô hay sợ gì mn ạ. Vẫn mượt mà, trc đây e có mỗ, sau khi mỗ xong thì tóc e rụng kinh khủng, vì tóc e vốn nhiều nên tóc rụng e k qt cho lắm. 
Trước đây tóc e cột bằng sợi thun đen ý, thì tóc cột hai bận là khó khăn lắm rồi , h e cột hai ba bận là bình thường thì mn hiểu tóc e rụng nhiều ntn :(( E cũng có hơi lo và có ý nghĩ tìm sản phẩm cho k bị rụng tóc nữa. Nhưng vấn đề lớn e quan tâm vẫn là trị gàu mn ạ :))) Nên e quyết định mua combo này. 
Nói thật thì cặp đôi này đúng là cứu tinh đời em luôn ý. Không biết có mọc tóc không nhưng e thấy đỡ rụng tóc hẵn. Em không có ảnh tóc ban đầu rụng của em :((( nên th e show ảnh tóc của e 1 ngày rụng ntn cho mn xem. 
À mn đừng hỏi em mua ở đâu nha. E sợ bị block :((( mn cứ lên shopee mà sreach là ra thôi. E mua em này ở trên shopee. Giá 165 ạ
Mà cái lotion này xài hao kinh khủng mn ạ. Em tính sẽ không đổi dầu gội nữa, e trung thành với couple này luôn. 
Em trước đây là đặc gàu mn ạ. Em gội sunsel hay selssun gì ấy. Thì nó hết gàu nhưng tóc rất khô sơ. Và qua hôm sau gàu nó lên lại :(( so sad. Bame em mới bảo người gì mà lắm gàu thế. E gội đầu chiều k sao, chứ e gội sáng là tối e ngứa da đầu k chịu đc. Từ ngày xài ẽm. E hai ngày mới gội đầu cũng chả ngứa hay lên gàu gì cả. Thích cực ý. 
Bài viết e khá lủng củng. Hihi. Tại e ms học về thấy bài viết share rụng tóc e thấy phấn khích quá nên viết review vội mà k đọc lại để e đi tắm :vv mn thông cảm và mong ad duyệt bài giúp em. Em cảm ơn ạ ^^
Edit: ce da đầu gàu thì k nên dùng móng tay gãi ạ. Sẽ làm tổn thuong da, ce nên lấy tay chà chà da đầu cho sạch, r lúc tắm lại với nước thì chịu khó chà chà cho sạch tí và k dùng nước nóng nha ce. Em ngày đầu đi tiệm gội bảo gội cho da đầu gàu thì ngta gội nhẹ nhàng mà kiểu e quen vs chủ tiệm ý nên e bảo ngta massage lâu lâu tí cho em :vv thế là gội xong gàu bay sạch hết. Xong hôm đó e gội ở nhà k à.
Mn để ý dầu gội bưởi của e là 2in1 là có xã luôn ạ. Nó khác với mẫu cũ á. Nên ce đừng bảo s tóc khô :((
Update: 19/11 sr các bạn sau khi t xài được 3,4 tháng thì t cảm nhận dầu gội làm khô tóc vl 😞 vì căn bản tóc t yếu :(((. Muốn đổi dầu gội thật sự 😭</t>
  </si>
  <si>
    <t>2019-09-10 11:56:37</t>
  </si>
  <si>
    <t>Như Nguyên</t>
  </si>
  <si>
    <t>100025029075818</t>
  </si>
  <si>
    <t xml:space="preserve">#sachgau #dadau #rungtoc #thorakao #chiase </t>
  </si>
  <si>
    <t xml:space="preserve">
Đề tài muôn thủa huhuuu. Càng ngày tóc rụng càng nhiều. Sắp stress luôn rồi ạ. Gội đầu rụng. Tóc khô tự nhiên chỉ cần cho tay luồn qua tóc cũng rụng 😢 Cao nhân nào uống gì hay làm gì để tóc k rụng chỉ e với e đội ơn ạ 😭😭😭</t>
  </si>
  <si>
    <t>2019-09-06 05:59:38</t>
  </si>
  <si>
    <t>Nga Trần</t>
  </si>
  <si>
    <t>100002973438245</t>
  </si>
  <si>
    <t xml:space="preserve"> #khongphaigiamcan #khongphaidetox #bocphot #nhuantrang 
Mong cả nhà đừng để bị lừa là detox giảm cân của Nhật nhé :))) cái này là thuốc để nhuận tràng. Bán chưa tới 40k/vỉ mà bây giờ nhiều ng phá giá quá, bán tới 100-200/vỉ có khi lên tới 400/vỉ. mọi ng hãy lan truyền ra để không bị mất tiền oan ạ.</t>
  </si>
  <si>
    <t>2019-08-16 11:10:40</t>
  </si>
  <si>
    <t>Thu Phương</t>
  </si>
  <si>
    <t>100015214262075</t>
  </si>
  <si>
    <t xml:space="preserve">#nhuantrang #bocphot #khongphaidetox #khongphaigiamcan  </t>
  </si>
  <si>
    <t>Xin chào mọi người, mọi người cho em hỏi cách nào để cho v3 mình nhỏ lại ạ. Người em kh quá mập, tay chân cũng nhỏ, chỉ có v3 to quá. Mong mọi người cho em xin vài tips để v3 nhỏ ạ. Mong ad duyệt bài ạ. Thank</t>
  </si>
  <si>
    <t>2019-12-09 05:09:31</t>
  </si>
  <si>
    <t>Mẫn Ngọc</t>
  </si>
  <si>
    <t>100044697452433</t>
  </si>
  <si>
    <t>#datoimau
Chào mọi người, tình hình là em nhìn thấy mấy bạn em da trắng sáng nhìn mê quá,da em thuộc loại thường hơi thiên khô và cứ vàng vàng xỉn xỉn tối màu (hình bên dưới ạ) và lông mi của em cũng tương đối nhưng nó mỏng quá.Mọi người giúp em làm sao cho da nó sáng lên và lông mi dày lên ạ
Em chỉ có mấy bước skincare cơ bản:
 + Rửa mặt:Srm Simple
 + Chống nắng Apieu
 +Tẩy trang Garnier nắp hồng</t>
  </si>
  <si>
    <t>2019-11-30 12:44:09</t>
  </si>
  <si>
    <t>Há Cảo Xinh Đẹp</t>
  </si>
  <si>
    <t>100027089081735</t>
  </si>
  <si>
    <t xml:space="preserve">#datoimau </t>
  </si>
  <si>
    <t>#kemduongam 
Mình thích chất kem của kem dưỡng clinique này quá mnguoi mà tp có silicon mình xài k hợp vì trc đó xài kem dưỡng neutrogena bị lên mụn ẩn sml nên giờ gặp silicon rén lắm. Bạn nào xài kem dưỡng ẩm dạng gel nào cấp ẩm tốt mà k có silicon giới thiệu cho minh với. Cám ơn mnguoi.</t>
  </si>
  <si>
    <t>2019-10-21 14:50:54</t>
  </si>
  <si>
    <t>Linh Trần</t>
  </si>
  <si>
    <t>100023415586338</t>
  </si>
  <si>
    <t xml:space="preserve">#kemduongam </t>
  </si>
  <si>
    <t>Hic 😰</t>
  </si>
  <si>
    <t>2019-12-05 07:20:09</t>
  </si>
  <si>
    <t>#help 
#daubungkinh
Các chị ơi cho e hỏi có cách nào để giảm bớt đau bụng kinh không :(((( em đã sử dụng rất nhiều cách : chườm nước ấm , uống nước gừng ấm , uống nước dứa , mà nó không đỡ 1 chút nào :((( mà uống thuốc thì em lại sợ tại nghe nhiều người lớn bảo uống thuốc giảm đau bụng kinh nhiều sẽ bị vô sinh :(((( các chị em có cách nào giúp e với chứ mỗi lần e tới tháng là bụng nó đau như chết đi sống lại chỉ nằm 1 chỗ thôi 😭😭😭e xin cảm ơn .</t>
  </si>
  <si>
    <t>2019-08-16 03:35:01</t>
  </si>
  <si>
    <t>Nguyễn Yến Nhi</t>
  </si>
  <si>
    <t>100010090212538</t>
  </si>
  <si>
    <t xml:space="preserve">#daubungkinh #help </t>
  </si>
  <si>
    <t>Hy vọng ảnh kh làm mọi người sợ ạ ^^ 
Dạ em chào mọi người, em năm nay 15t, mọi người có thể giúp đỡ em không ạ? Tết đến mông rồi mà da với môi làm khổ em lắm :(( Da em bó tay rồi nên em xin mọi người cách dưỡng môi ạ, kh biết có chị nào giống em không, môi em thực sự rất bợt màu, em trông còn sợ, nên bạn em cũng kh ngoại lệ, bạn em thường bảo em như chết trôi ý, chẳng tí sức sống nào, còn hay trêu em son môi kh màu, em buồn lắm cả tự ti nữa :((( Em mà bệnh hay hôm đó trời rét 1 tí là em dọa nhiều người lắm. Em chưa từng dùng son có màu, bởi nhà em rất khó ạ, em chỉ dùng được vaseline với laneige, nhưng nó chỉ làm môi em mềm hơn, còn hồng môi thì kh, thấy bạn bè môi mềm mịn còn hồng hào em ngưỡng mộ lắm, em có bổ sung vitamin c bằng cách uống cam mỗi ngày nhưng có vẻ kh có tác dụng ạ, có bặm môi, nhưng tầm 10-15s là trở lại như cũ. Mẹ em cũng thấy, nhưng mẹ em bảo lớn nó hết, nên em cũng kh có biết nữa. Dạ em cảm ơn mọi người đã đọc ạ, dài quá rồi hihi ^^
#duongmoi</t>
  </si>
  <si>
    <t>2019-11-20 13:27:12</t>
  </si>
  <si>
    <t xml:space="preserve">#duongmoi </t>
  </si>
  <si>
    <t>#ask #trimun #Gynofar 
Chào mọi người, trước em có thấy một chị trong group up bài rv về Gynofar (DDVSPN), ngoài làm sạch vùng kín thì có tác dụng trị mụn, em đọc cmt cũng thấy nhiều anh chị em rv tốt về sản phẩm này, em có mua một bình (bình nhỏ giá 15k tại hiệu thuốc), nhưng khi tìm hiểu trên mạng thì em đọc được nhiều bài viết trái chiều nên rất hoang mang, không biết có nên xài không. Da mặt em mụn đỏ không nhiều nhưng mụn ẩn hai bên má rất nhiều khiến da mặt sần sùi, rất xuống sắc luôn ạ. Em ko có kiến thức về mỹ phẩm nên dù muốn chọn một loại sữa rửa mặt mà ko biết xài loại nào, da em thuộc loại thường vì ko đổ quá nhiều dầu cũng ko quá khô.
Anh chị nào đã xài Gynofar trị mụn hay xài các loại srm dành cho da thường thì cho em xin ít rv với ạ. Em cám ơn.</t>
  </si>
  <si>
    <t>2019-05-15 10:44:50</t>
  </si>
  <si>
    <t>Duyên Duyên</t>
  </si>
  <si>
    <t>100005874090944</t>
  </si>
  <si>
    <t xml:space="preserve">#Gynofar #trimun #ask </t>
  </si>
  <si>
    <t>#trịmun
Tha thiết tìm sp đặc trị mụn ẩn , se  lỗ chân lông
ạ. Em có dùg dou+  tri mun 
nhưg k ăn thua ạ.
Các ace giúp em với.</t>
  </si>
  <si>
    <t>2019-10-26 06:32:06</t>
  </si>
  <si>
    <t>Kim Thị Duyên</t>
  </si>
  <si>
    <t>100010482330866</t>
  </si>
  <si>
    <t xml:space="preserve">#trịmun </t>
  </si>
  <si>
    <t>#dakho  #munan ❤
Xin chào mọi người. Cứ tới mùa đông đến là da em khô dã man  và có mụn ẩn ý ạ..  
Mọi người tư vấn giúp em nên dùng những sản phẩm gì giúp da bớt khô mà không lên mụn ẩn nữa với ạ 😭</t>
  </si>
  <si>
    <t>2019-12-07 02:57:17</t>
  </si>
  <si>
    <t>Phạm Yến</t>
  </si>
  <si>
    <t>100010281031138</t>
  </si>
  <si>
    <t xml:space="preserve">#munan #dakho </t>
  </si>
  <si>
    <t>Tiện tay vuốt tóc mà đã rụng như này rồi😓
K dám chải đầu luôn ấy 
Mn có cách gì chỉ e với ạ 
E da dầu nên bị kén dầu gội quá😭
#ad duyệt giúp e</t>
  </si>
  <si>
    <t>2019-12-10 02:38:57</t>
  </si>
  <si>
    <t>Thiều Phương</t>
  </si>
  <si>
    <t>100009412387103</t>
  </si>
  <si>
    <t xml:space="preserve">#ad </t>
  </si>
  <si>
    <t>Mặt mình hay bị mấy cục mụn ntn ở mũi vs cằm ấy ạ nên ai cho mình tip xử lý em nó đc ko ạ 😭😭😭</t>
  </si>
  <si>
    <t>2019-11-30 04:41:52</t>
  </si>
  <si>
    <t>Minh Triết</t>
  </si>
  <si>
    <t>100036666707816</t>
  </si>
  <si>
    <t>#mụn #ask #tâmsự
Em viết bài này mục đích để trải lòng nhiều hơn là hỏi
Kia là tình trạng da mặt của e 3 tháng nay đó ạ
Khỏi nói thì nhìn mn cũng nhận ra tình trạng tệ đến thế nào
Em đi bất cứ đâu cũng bị quở, như kiểu face shaming ý ạ 😂
Cách đây 3,4 tháng da e vẫn còn ổn áp như hình 
Sau đó, e có dùng set some by me đúng 3 ngày sau mặt e nở hoa, và từ đó cuộc đời xuống dốc k phanh. E không có chê hay nhận xét gì về sản phẩm của some by me cả. Có lẽ chỉ vì là e không hợp thôi
Rồi từ đấy công cuộc trị mụn bắt đầu
Cách đây 1 tháng e có đăng bài hỏi về việc uống iso đấy ạ 😞 vì e mới mổ mắt xong nên bác sĩ không cho uống
Thế là e đi spa. Nặn mụn nâng cao nhiều bước lắm được 2 buổi. Cũng thấy đỡ thật, với cái mặt sần lên như bàn chông thì khi lấy hết nhân mụn ra, cảm giác sờ lên mặt mịn xuống e mừng đến rơi nước mắt 😓 nhưng cũng chỉ dc 1,2 tuần thì đợt mụn mới sẽ lên như cũ. Spa vẽ ra cho e 1 liệu trình 10tr. Em không đánh giá được chất lượng spa thế nào nhưng e cũng tin là nếu theo được thì e sẽ hết mụn. Nhưng làm gì có điều kiện mà theo 
Thế rồi e kiên nhẫn lại đi mua mĩ phẩm skincare về dùng từ laroche, timeless, melvita, the ordinary, mario, hirusca, bioderma,.... tất cả đều vô phương và e còn kích ứng vs cả duo+
Xong dần dần mụn lan cả xuống cổ, e stress hẳn, bấm bụng uống iso, nghĩ bụng nếu thấy mắt làm sao sẽ phải dừng ngay
Hôm nay có bài viết này , là do em buồn quá. Sáng nay e mới đi khám ở Viện da liễu trung ương về. 3 năm không quay lại, hôm nay quá bất ngờ vì bệnh viện như mở nguyên 1 tầng làm theo kiểu spa vậy, cũng những dịch vụ như thế. Làm e cảm giác như mình lại đang đi spa vậy chứ không phải bệnh viện nữa. 
Bác sĩ khám cho e đúng 5ph. Kê cho e đúng 2 loại thuốc bôi này và còn bảo không uống iso cũng được. Sau đó tư vấn cho e 1 liệu trình chạy máy 5tr/5 buổi trọn gói. Còn nếu không buổi lẻ là 1350/ buổi. Mà đấy còn là bước đầu thôi chứ cũng chả ai chắc chắn là sau đó da sẽ xịn luôn
Lịch sử lặp lại, người nông dân sao mà theo được
Em cầm đơn thuốc ra khỏi viện mà chán , lòng kiểu tuyệt vọng và bất lực luôn ý
Vì trc đấy cứ đinh ninh 1 điều đến viện có bác sĩ chữa hẳn hoi sẽ khỏi như lần trc. Cùng lắm là 2tr/tháng tiền thuốc rồi sẽ khỏi. Nhưng đúng là đời không như mơ
Bác sĩ còn chả hẹn e quay lại, cứ bảo về bôi uống thuốc đi. Em ngồi chờ lâu nghe tư vấn của người khác đều cảm thấy nếu chạy máy thì tốt còn không về tự uống thuốc vs bôi theo đơn đi rồi đến đâu thì đến
Buồn quá các chị em ơi, từ lúc mặt bị vậy e tự ti kinh khủng, chả dám đi đâu , gặp ai ngoài lúc bắt buộc. Bây giờ cảm thấy buồn và bất lực kinh khủng 😭
Các chị có giải pháp gì cho làn da hẩm hiu này nữa không ạ 😭</t>
  </si>
  <si>
    <t>2019-10-21 08:59:05</t>
  </si>
  <si>
    <t xml:space="preserve">#tâmsự #ask #mụn </t>
  </si>
  <si>
    <t>ADMIN DUYỆT GIÚP EM Ạ, EM CẢM ƠN
#mun 
Chào anh chị :'( vì em ngại nên em xin phép dùng acc clone
Em 14 tuổi, da dầu nhạy cảm bị mụn ẩn, viêm, liti, đầu đen, thâm đã 4 năm và đây là tình trạng da của em, càng skincare nó càng nổi thêm
Buổi sáng
Sữa rửa mặt cetaphil
Toner somebymi 
Buổi trưa
Tẩy trang senka chai xanh
Mask cao bí đao + cao vỏ bưởi của cocoon 
Buổi tối
Tẩy trang senka chai xanh
Sữa rửa mặt cetaphil 
Toner somebymi 
Kem dưỡng somebymi 
Em dùng kem chống nắng innisfree được mấy tuần thì mụn ẩn với mụn liti lên nhiều nên em bỏ tới giờ. Em thật sự stress với da mình :(( đi đâu cũng phải cuối gầm mặt không dám nhìn người đối diện</t>
  </si>
  <si>
    <t>2019-11-17 08:06:41</t>
  </si>
  <si>
    <t>Nghi Nè</t>
  </si>
  <si>
    <t>100039951528612</t>
  </si>
  <si>
    <t>Hi mn. Tết dí sát mông rồi mà mặt e còn như này đây ạ. E nhờ m.n tv giùm e với. Da e thuộc da hỗn hợp dầu . 23t chưa biết skincare là như nào luôn ý. E chỉ dùng mỗi srm anes loại có hạt ý ạ. E thấy sạch mặt k có mụn. Mỗi tội mụn đầu đen của e bao la luôn ợ. E cũg có dùng mặt nạ  bùn và lột mụn mà cũg k bớt ạ. Lỗ chân lông thì thôi khỏi bàn. M.n biết serum nào se lỗ chân lông cho da dầu oki k ạ. Chỉ e với. Tks m.n 
#dadau</t>
  </si>
  <si>
    <t>2019-11-26 06:45:19</t>
  </si>
  <si>
    <t>Nguyễn Hoàng Thanh Nhi</t>
  </si>
  <si>
    <t>100006272288327</t>
  </si>
  <si>
    <t xml:space="preserve">#dadau </t>
  </si>
  <si>
    <t xml:space="preserve">Mong ad duyệt bài...
Da em thuộc da dầu mụn, ai có cách trị mụn nào hiệu quả giá sinh viên ko ạ? Em tự ti quá😥😥😥
#ask </t>
  </si>
  <si>
    <t>2019-11-28 05:36:05</t>
  </si>
  <si>
    <t>Mộc Ân</t>
  </si>
  <si>
    <t>100024259510365</t>
  </si>
  <si>
    <t>Ph.ốt Con Giáp 13
Ko liên Quan đến group làm đẹp nhưng cái loại này thì cần cho tất cả mọi người biết. Bên page BMSB lên mấy hôm trước nhưng bị report mất bài rồi mình tìm ko đc nên mình post lại bên này mong Admin duyệt!
Em Mai C.ơ cặp với L.Quân T.rắng TV 
Gửi ảnh chát xiếc rồi “khen” nhau nhiều nước như Sơn Tinh
V.l Hẳn là Sơn Tinh nhiều nước :))))</t>
  </si>
  <si>
    <t>2019-12-12 01:59:11</t>
  </si>
  <si>
    <t>Hoàng Ngọc Bảo Tuệ</t>
  </si>
  <si>
    <t>100030740833026</t>
  </si>
  <si>
    <t>Lớp dạy “Sống Ảo” 
Chắc ai đó sẽ cần 😅😅😅
————
Video lưu trong máy khá lâu r nên ko nhớ nguồn, b nào có nguồn thì inbox mình edit thêm nguồn nhé!</t>
  </si>
  <si>
    <t>2019-11-06 06:02:05</t>
  </si>
  <si>
    <t>Hangmakeup</t>
  </si>
  <si>
    <t>2263221687077050</t>
  </si>
  <si>
    <t>Muốn đầu tư 1 cái máy nên ngoi lên xin review của các chị emmmm về 3 loại này ạ ☺️
#gochoihan #maylamdep
#yaman #hadacrie #refa</t>
  </si>
  <si>
    <t>2019-05-28 06:22:53</t>
  </si>
  <si>
    <t>Linh Đậu</t>
  </si>
  <si>
    <t>100000677752870</t>
  </si>
  <si>
    <t xml:space="preserve">#refa #hadacrie #yaman #maylamdep #gochoihan </t>
  </si>
  <si>
    <t>#ask#TO
M đang dùng b5 timeless,  vừa mới chuyển sang TO dùng đc 2 lần mà mụn lên ầm ầm,  hoang mang quá!  Help!!!!</t>
  </si>
  <si>
    <t>2019-06-14 03:37:15</t>
  </si>
  <si>
    <t>Thủy Hoàng</t>
  </si>
  <si>
    <t>100003372588448</t>
  </si>
  <si>
    <t xml:space="preserve">#TO #ask </t>
  </si>
  <si>
    <t xml:space="preserve">
#ask
#trietlong
Các chị em cho mình xin vài phương pháp triệt lông tay chân vĩnh viễn tốt nhất đi ạ. Kèm giá cả thế nào luôn nhé các chị em
Cứ tẩy và wax lông mãi da em nhạy cảm chết mất, lại thêm combo mỏng da vô cực, viêm lỗ chân lông nữa😭😭😭
Cảm ơn các chị em nhiều 
E đăng ảnh chống trôi 🖐</t>
  </si>
  <si>
    <t>2019-06-14 03:36:12</t>
  </si>
  <si>
    <t>Da em cũng thuộc tuýp người da trắng nhưng da mặt em cứ bị XANH XAO không được hồng hào như mọi người, mà em lại con gái nên em hơi tự ti. Mọi người có cách nào khắc phục không ạ huhu</t>
  </si>
  <si>
    <t>2019-11-26 02:09:02</t>
  </si>
  <si>
    <t>Nguyễn Vy</t>
  </si>
  <si>
    <t>100042005272676</t>
  </si>
  <si>
    <t>Cái mycin thì mk đang dùng
Còn megadua thì thấy nhiều ng bảo dùng đc 
Tuyp mycin mk dùng đc nửa tháng rồi thấy mụn đẩy lên nhiều ,lo lắng nhưng sau ít ngày thấy nó bớt đỏ 
Mk dùng cái này thấy cx đỡ , nhưng tại sắp hết nên k biết có nên chuyển sang megadua dùng hay vẫn dùng cái tuyp cũ 
🐳Mong mn tư vấn giùm ạ
E cảm ơn</t>
  </si>
  <si>
    <t>2019-11-20 00:22:59</t>
  </si>
  <si>
    <t>Trang Chii</t>
  </si>
  <si>
    <t>100022780103202</t>
  </si>
  <si>
    <t>#ask #help #chonson #lipstick
mọi người tư vấn giúp em chọn son với ạ, em lần đầu mua nên không có tí kinh nghiệm nào hết, em đang cân nhắc dòng clio rouge heel velvet này, màu nào không cần make vẫn dùng đc ạ, da em không trắng, răng cũng không được trắng nên rất ngại chọn phải màu làm xỉn men răng, bên cạnh dòng này thì mn gợi ý giúp em vài loại son khác mà màu phù hợp với, giá mềm mềm chút ạ, em biết vài loại như black rouge ( a12,a06,a17) , bbia ( a25), candy lab ( anti social ) , merzy (v6) đây là mấy màu em đang cân nhắc, mà không biết nên chọn gì vì nhiều quá, em cũng chưa dùng bao giờ nên không biết có phù hợp với mình không nữa. 
Em cảm ơn mọi người nhiều.</t>
  </si>
  <si>
    <t>2019-08-26 09:44:43</t>
  </si>
  <si>
    <t>Haha Huhu</t>
  </si>
  <si>
    <t>100025399699364</t>
  </si>
  <si>
    <t xml:space="preserve">#lipstick #chonson #help #ask </t>
  </si>
  <si>
    <t>#chiase #rungtoc
Chào mọi người, hôm nay mình xin chia sẻ cách và những sp mình đã dùng để cứu rỗi những sợi tóc mong manh dễ rụng của mình.
Mình bắt đầu nhận ra phần phía đỉnh đầu có 1 phần tóc như kiểu sắp bị hói ấy. Lúc này thì mới bắt đầu thấy là tóc mình đã đang và rụng ngày càng nhiều. Cũng do 1 phần cái tật hay bức tóc để thoã mãn cơn ngứa của mình 😂
Phía dưới là 2 tấm hình mình chụp cách nhau 1 tháng. Mình thật sự rất ngạc nhiên vì tóc đã mọc che lấp 1 phần thấy rất rõ.
~Những sản phẩm mình đã dùng: ( toàn là hàng Việt Nam giá thì rẽ cực nhưng chất lượng thật qá bất ngờ)
- Dầu gội bồ kết của Thorakao ( trước đó mình chỉ dùng dầu gội của Dove)
- Nước xịt bưởi của Thorakao
- Xịt dưỡng 2 lớp Kanac
Bên cạnh đó mình cũng hạn chế việc sấy tóc nhiều và bỏ hẳn luôn cái tật bức tóc 🤣
Mong là bài viết này sẽ giúp ích được những bạn đang gặp tình trạng sắp bị hói như mình 💁‍♀️💁‍♀️</t>
  </si>
  <si>
    <t>2019-09-10 09:35:05</t>
  </si>
  <si>
    <t>Châu Ái My</t>
  </si>
  <si>
    <t>100002904453148</t>
  </si>
  <si>
    <t xml:space="preserve">#rungtoc #chiase </t>
  </si>
  <si>
    <t>#ask #xokhuyen
Em xin phép hỏi kinh nghiệm xỏ và chăm sóc lỗ của các chị với ạ, chủ yếu là thời gian lành tương đối chứ em cũng không sợ đau lắm. Mong mọi người giúp em ạ
1.  Bình thương mọi người tự gội đầu kiểu gì mà để dầu gội không vào lỗ vậy ạ? nhất là mấy lỗ vành như helix ấy ạ. 
1. Lỗ lobe của em xỏ gần 6 năm rồi, hồi đấy em bị dị ứng khuyên (hoặc có thể tai em dữ quá), nên bây giờ nó vẫn thỉnh thoảng tự nhiên đau, sưng đỏ hoặc ra tí mủ. Cứ bỏ khuyên ra một đêm là sáng hôm sau lỗ em bịt suýt kín luôn, may là cố nhét khuyên qua cứu được. Thế là do tai em lành nhanh hay lành chậm vậy ạ em cũng không hiểu?  :(((
Thấy mấy chị trong group có thời gian lành nhanh quá nên em muốn khảo sát thời gian lành lỗ xem đa số các chị có thời gian lành thuộc khoảng trung bình không để em còn so sánh xem tai em lành nhanh hay chậm (upper lobe em 6 tuần rồi chưa lành), tiện xem xỏ lỗ nào phù hợp ạ. 
* Lobe: 4-8 tuần 
* Helix- Auricle- Forwward Helix: 8-12 tháng
* Daith: 4-8 tháng
* Rook: 6-18 tháng (dao dộng mạnh)
(cre: byrdie.com)
Mong ad duyệt bài giúp em.</t>
  </si>
  <si>
    <t>2019-07-08 12:10:03</t>
  </si>
  <si>
    <t>Nguyễn Diệu Linh</t>
  </si>
  <si>
    <t>100010104664208</t>
  </si>
  <si>
    <t xml:space="preserve">#xokhuyen #ask </t>
  </si>
  <si>
    <t>Từ lúc bầu em chỉ skin care như vậy thôi
Không kem phấn gì hết ạ 
Một tuần đi cs da cơ bản 1 lần  ☺️☺️
Có ai giống em không , em k có đk dùng đồ cao cấp nên dùng đồ này thôi ạ
#skincarebau</t>
  </si>
  <si>
    <t>2019-11-08 00:27:50</t>
  </si>
  <si>
    <t>Oanh Moon</t>
  </si>
  <si>
    <t>100009750544841</t>
  </si>
  <si>
    <t xml:space="preserve">#skincarebau </t>
  </si>
  <si>
    <t xml:space="preserve">
#Dưỡngdatay
Chào mng, chuyện là em có 1 bàn tay khá đặc biệt, lòng trong bàn tay hồng hào rất đẹp, so với mọi người thì tay e hồng hơn rất nhiều, nhưng vì lúc trước hay phải làm nặng và phơi nắng nên da tay phía ngoài rất đen, thô, nhìn như 1 con đàn ông ạ T^T
Ở ngoài khi mà lật 2 lòng bàn tay, ai cũng nói tưởng là của 2 ng khác nhau &gt;&lt;
Các chị cho e xin bí quyết dưỡng da tay Trắng, mềm mịn, bớt thô với ạ. Muốn có tự tin để người yêu nắm tay ^^
Hiện e đã hết làm nặng, phơi nắng rồi ạ.</t>
  </si>
  <si>
    <t>2019-12-23 12:26:34</t>
  </si>
  <si>
    <t xml:space="preserve">#Dưỡngdatay </t>
  </si>
  <si>
    <t xml:space="preserve"> #timeless #theordinary
Da em là thuộc da khô ! Cho em hỏi trong 3 loại sr này, loại nào là cấp ẩm tốt nhất ạ ! Sẵn cho e hỏi loại kem nào cấp ẩm tốt luôn ạ ! E cảm ơn</t>
  </si>
  <si>
    <t>2019-10-26 04:51:47</t>
  </si>
  <si>
    <t>Trần Khánh Huyền</t>
  </si>
  <si>
    <t>100031541724197</t>
  </si>
  <si>
    <t xml:space="preserve">#theordinary #timeless  </t>
  </si>
  <si>
    <t>#ask  #review #đẹp_chanh_sa
Em năm nay 18 tuổi mắt thức đến 2_3h sáng thì có thâm nhưng vài hôm là cũng tự hết. Vấn đề là càng ngày e càng thấy vùng da mắt căng và thấy hơi nhăn nữa 😓😥. Các c cho e xin ít review về các loại kem mắt dưỡng ẩm tốt ạ</t>
  </si>
  <si>
    <t>2019-11-23 19:01:04</t>
  </si>
  <si>
    <t xml:space="preserve">#đẹp_chanh_sa #review  #ask </t>
  </si>
  <si>
    <t>Chào các anh chị trong nhóm ạ em năm nay 20t và từng dùng qua trị mụnLX , trị mụn TMT( nói chung dạng thuốc rượu ạ) em vô cùng hối hận bây giờ mặt thành ra thế này ,da vừa yếu mụn mọc càng ngày càng nhiều lên , chủ yếu là mụn bọc . 
Hiện tại em dùng srm naruko
-tẩy trang gạo của the face shop  
-uống cấp nước innerB Aquarich ,nhưng cứ nổi mụn đỏ như dị ứng. Nhờ các anh chị tư vấn giúp em với ạ , em cảm ơn nhiều.</t>
  </si>
  <si>
    <t>2019-10-24 13:50:49</t>
  </si>
  <si>
    <t>100010167512933</t>
  </si>
  <si>
    <t xml:space="preserve">Da em thuộc da dầu, mụn ạ. Da em đã từng xài mtm. 😭 Giờ mụn ẩn nhiều, mụn bọc đỡ xíu,  thâm mụn thì nhiều không xuể luôn. 😭😭 Mới thấy post về senka, đa số ai cũng chê, em cũng có sài kcn với srm senka ... buồn toàn tập luôn mọi người ạ. 😭😭😭
Mọi người review cho em các sản phẩm khác với ạ ( kcn, srm, ttbc, dưỡng ẩm, sr, kem dưỡng,...) 
Mong ad duyệt bài cho e với ạ. 
#trimun #trịtham </t>
  </si>
  <si>
    <t>2019-12-12 02:15:08</t>
  </si>
  <si>
    <t>Vi Trần</t>
  </si>
  <si>
    <t>100036216678081</t>
  </si>
  <si>
    <t xml:space="preserve">#trịtham #trimun </t>
  </si>
  <si>
    <t>#Đẹpchanhxa
Mọi người cho mình hỏi với ạ?
Mình da dầu, nhiều mụn ẩn và mụn đầu đen, mình muốn mua máy rửa mặt. Nhờ  mọi người tư vấn or ai đã dùng rồi thì cho mình hỏi nào thích hợp với?
 Mình xin cảm ơn ạ!!!</t>
  </si>
  <si>
    <t>2019-10-28 16:33:15</t>
  </si>
  <si>
    <t>Lê Thị Hồng</t>
  </si>
  <si>
    <t>100007496528190</t>
  </si>
  <si>
    <t xml:space="preserve">#Đẹpchanhxa </t>
  </si>
  <si>
    <t>Mai thảo mộc trở lại đây m.n ơi :))))
Hồi đầu bênh nhau lắm,giờ thi nhau phốt,mà từ giờ boss đấy sẽ còn bị hệ thống phốt dài dài</t>
  </si>
  <si>
    <t>2019-12-09 00:50:12</t>
  </si>
  <si>
    <t>Như Rose</t>
  </si>
  <si>
    <t>100004226856522</t>
  </si>
  <si>
    <t>#bha
Có bạn nào sử dụng bha của paula's choice bị đẩy mụn ẩn thành mụn sưng to thế này chưa ạ? Mình lo quá 😭
Mình đã trị mụn xong rồi và còn mụn ẩn 2 bên thái dương, 2 bên trán và cằm nên tuần trước có sử dụng chai bha liquid của paula như hình. Do đã sử dụng duo+ và lotion bigansui 1 thời gian dài r nên mình mới tự tin quất bha 2%. Mình cũng chú ý dưỡng ẩm kĩ r. Mình mới xài bha đó có 1 lần t3 tuần trước. Giờ k biết là mụn này là đẩy hay breakout nữa, nên tiếp tục xài hay ngưng 😢
Mình k hề kích ứng với tp nào trong skincare đó giờ của mình nhé vì mình đã sử dụng 1 tgian dài rồi và rất ổn 😟
Cám ơn ad, mod đã duyệt bài ạ.</t>
  </si>
  <si>
    <t>2019-10-20 15:05:13</t>
  </si>
  <si>
    <t xml:space="preserve">#bha </t>
  </si>
  <si>
    <t>#ask #hoidap #tritannhang #tuoidoimuoi.  
- Chào mọi người hiện mẹ em đang bước tới tuổi 50. Hiện tàn nhang,  đồi mồi,  lão hóa đang phát triển. Nên mọi người biết sản phẩm nào phù hợp độ tuổi mẹ em và tốt không ạ? Em Cảm ơn.</t>
  </si>
  <si>
    <t>2019-11-21 05:33:58</t>
  </si>
  <si>
    <t>Yến Bi Yến</t>
  </si>
  <si>
    <t>100015470893695</t>
  </si>
  <si>
    <t xml:space="preserve">#tuoidoimuoi #tritannhang #hoidap #ask </t>
  </si>
  <si>
    <t>Mọi người ơi da mặt e bị mụn vậy thì nên sd loại trị mụn nào dc ạ ? E da dầu, mấy thag nay k dám ra đg luôn😪</t>
  </si>
  <si>
    <t>2019-11-18 01:47:52</t>
  </si>
  <si>
    <t>Quỳnh Châu</t>
  </si>
  <si>
    <t>100013187493389</t>
  </si>
  <si>
    <t xml:space="preserve">
Chào các chị đẹp.
 Em năm nay 33 tuổi, tầm 4 tháng nay mặt em lên mụn quá trời. Em đang Skine như sau ạh: tẩy trang, srm Laroche, tone Mamonde diếp cá, chấm mụn Klenzit_C, Megaduo em bôi full mặt, kcn Desembre. Xông mặt, tdc 2 lần / tuần, đắp mặt nạ đất sét Kiehl's và maks Nakura tràm trà. Uống colagel hằng ngày, em có đi nặn mụn ở Spa ạh. Nhưng thấy da khô quá, em muốn dùng thêm sản phẩm cấp nước + dưỡng ẩm. Các chị đẹp tư vấn giúp em giờ nên dùng B5 của Laroche hay chai màu xanh của AHC ạh? Hay em dùng kết hợp cả 2 được ko ạh? Và các bước skine của em như thế đã được chưa ạh. Em cảm ơn các chị đẹp.</t>
  </si>
  <si>
    <t>2019-11-20 05:16:48</t>
  </si>
  <si>
    <t>Nhánh Lan Rừng</t>
  </si>
  <si>
    <t>100005981291520</t>
  </si>
  <si>
    <t xml:space="preserve">
Mọi người Cho em hỏi tay em bị như này có thuốc gì bôi hiệu quả ko ?
Mách em với em làm nghề gội đầu và em mới bị như này ạ 🙂</t>
  </si>
  <si>
    <t>2019-12-08 11:43:40</t>
  </si>
  <si>
    <t>100014876628129</t>
  </si>
  <si>
    <t>#trimun 
Em da dầu mặt thì đầy mụn li ti vs đầu đen em sài nhiều loại mỹ phẩm hay lấy mụn mà nó vẫn vậy àk sau thời gian cũng nỗi lại em 17+ nhờ chị em trong goup tư vấn giúp em</t>
  </si>
  <si>
    <t>2019-12-02 00:30:41</t>
  </si>
  <si>
    <t>100011438180081</t>
  </si>
  <si>
    <t>#tocdep
Mn cho em hỏi  có  kiểu  nào  phù hợp với  khuôn mặt của e không  ạ. 28t rồi  nhưng  nhìn  già quá</t>
  </si>
  <si>
    <t>2019-12-20 13:30:19</t>
  </si>
  <si>
    <t>Thu Ba</t>
  </si>
  <si>
    <t>100037353766604</t>
  </si>
  <si>
    <t xml:space="preserve">
#Ask
#Tóc
Mọi người cho em hỏi với ạ
Mặt em to và khá góc cạnh 😞😞😞
Kiểu mặt vuông đó ạ. Tóc em cũng khá khô xơ và yếu nữa nên giờ em muốn cắt tóc ngắn nhưng em sợ không hợp, sợ mặt trông to thêm đó ạ. Anh chị cho em ý kiến với ạ, trong nhóm có ai mặt to mà vẫn để tóc ngắn không ạ. Với lại review cho em ít loại dưỡng tóc giá ổn mà hiệu quả với
Em xin cảm ơn!!!!</t>
  </si>
  <si>
    <t>2019-08-11 06:11:49</t>
  </si>
  <si>
    <t>100035304813509</t>
  </si>
  <si>
    <t xml:space="preserve">#Tóc #Ask </t>
  </si>
  <si>
    <t>#ask #son
Các chị ơi, em sắp đi học lại nên muốn thử một màu son mới( son kem lì ạ). Các chị tư vấn cho em màu nào mà đánh không quá nổi bật, không cần lì lắm, và lộ ít vân môi một xíu, hợp với da trung bình, giá dao động từ 200k đổ xuống với. Hiện tại thì em đang dùng 2 màu best seller của Black Rouge là 06 và A12, em muốn thử một màu mới hơn 2 bạn này.
Em cảm ơn nha 💐💐</t>
  </si>
  <si>
    <t>2019-06-23 11:31:59</t>
  </si>
  <si>
    <t>Nguyễn Phương Thùy</t>
  </si>
  <si>
    <t>100012309726103</t>
  </si>
  <si>
    <t xml:space="preserve">#son #ask </t>
  </si>
  <si>
    <t>Do trong group em có người quen nên em xin phép dùng acclone ạ
Da em trước kia bị nổi mụn , bị viêm(hình 3)  luôn ạ, em chăm sóc hàng ngày bằng srm với đắp mask thôi
Rồi mặt e đã đc nặn mụn và xử lý mụn viêm như hình 1-2 ạ. Vậy bây giờ e nên dùng gì để cải thiện da e lại ạ 😢😢😢 !
Mong ad duyệt bài giúp em ạ 😢😢😢
#depchanjsa #muntham</t>
  </si>
  <si>
    <t>2019-12-04 23:42:15</t>
  </si>
  <si>
    <t>Cà Khịa</t>
  </si>
  <si>
    <t>100004172657179</t>
  </si>
  <si>
    <t xml:space="preserve">#muntham #depchanjsa </t>
  </si>
  <si>
    <t>#mattham #nam
Mắt em bị thâm và có bọng ngay viền mi dưới. Có loại nào khắc phục không ạ. Chứ nhìn mắt dậy thấy kiểu mệt mỏi thiếu sức sống ý...
Tiện thể em có bị nám nhẹ ngay má, nên dùng sản phẩm gì ạ
 Em cảm ơn nhiều.</t>
  </si>
  <si>
    <t>2019-12-24 01:55:16</t>
  </si>
  <si>
    <t>Ái Nguyễn</t>
  </si>
  <si>
    <t>100028055963822</t>
  </si>
  <si>
    <t xml:space="preserve">#nam #mattham </t>
  </si>
  <si>
    <t>#goclôngmày
Hỡi những cô gái hăm có lông mày như tui 😌😌 , chúng ta hãy xách đít đi phun , thêu,  xăm hay điêu khắc quần què zì cũng được , để chúng ta nhận thấy sự thay đổi của gương mặt 😆😌😌😌 Tui mới đi làm xong chưa dc 1 ngày. 
Công nhận chịu đau kém, họ kêu châm chích nhẹ nhẹ đã ngứa thôi nhưng tui vẫn thấy đau đớn mặc dù ủ tê rồi 😅😭😅 nhưng nghĩ tới việc không còn vẽ vẽ tô tô mỗi sáng nữa nên có động lực. 😆🙌🏻😆🙌🏻😆 
Sắp tới sẽ là màn thu hẹp cánh mũi và nâng mũi. Thặc là đau đớn phải hăm quý zị 😰😰😰 Vì một gương mặt chanh sả sang chảnh chúng ta hãy 
CỐ LÊN CỐ LÊN CỐ LÊN! ĐAU KEMENO DAU KEMENO 🙌🏻🙌🏻🙌🏻🙌🏻🙌🏻🤘🏻🤘🏻🤘🏻🤘🏻🤘🏻🤘🏻🤘🏻</t>
  </si>
  <si>
    <t>2019-10-03 18:24:14</t>
  </si>
  <si>
    <t>Lê Kiều Nga</t>
  </si>
  <si>
    <t>1446513499</t>
  </si>
  <si>
    <t xml:space="preserve">#goclôngmày </t>
  </si>
  <si>
    <t>#gochoi
Mọi người cho mình xin kính nghiệm chữa mụn ẩn với , da mình thuộc da dầu</t>
  </si>
  <si>
    <t>2019-11-20 10:17:27</t>
  </si>
  <si>
    <t>Phạm Minh Phúc</t>
  </si>
  <si>
    <t>100037635374324</t>
  </si>
  <si>
    <t>Da em khô và chỉ dầu ở cùng chữ T .tình trạng mụn ntn thù dùng sản phẩm nào cho phù hợp ạ?? 
#goccantuvan</t>
  </si>
  <si>
    <t>2019-12-16 13:10:29</t>
  </si>
  <si>
    <t>Hồng Tiếu</t>
  </si>
  <si>
    <t>100007876938801</t>
  </si>
  <si>
    <t>#nhuomtoc #mautoc
Cái màu tóc này đẹp ghê cơ cả nhà ạ. Cả cái dáng đầu này nữa. Cho em hỏi đã ai làm kiểu đầu như này đẹp chưa ạ. Màu tóc này là màu j nữa. Có phải tẩy tóc ko ạ</t>
  </si>
  <si>
    <t>2019-12-22 09:28:13</t>
  </si>
  <si>
    <t xml:space="preserve">#mautoc #nhuomtoc </t>
  </si>
  <si>
    <t>#ask
Chào mọi người ạ. Cho em hỏi là mụn như thế này thì khắc phục bằng cách nào ạ? Dù đã vệ sinh rất kĩ nhưng mụn cứ lên, đa số là ở những chỗ như hình, cứ xẹp vài này là lại lên tiếp, dùng chấm mụn của Kiehl's hay HiTeen cũng không cải thiện được. 
Em dùng: 
Sáng:
Rửa mặt bằng nước muối sinh lý
Kcn Vichy
Tối:
Tẩy trang Bio
Rửa nước muối sinh lý
Srm Kiehl's
Một tuần em sẽ đắp mặt nạ đất sét của Kiehl's 1 lần.
Chấm mụn Kiehl's ( lâu lâu xài HiTeen)
Dưỡng ẩm Celestial của Lush ( cái này xài thích lắm nè, mỗi lần mà da em chuẩn nị lên mụn bọc mà xài cái này là y rằng sáng dậy sẽ không còn trừ mấy cái cục trong hình, chả hiểu sao luôn :3)</t>
  </si>
  <si>
    <t>2019-12-05 08:57:49</t>
  </si>
  <si>
    <t>Hailey Tarr</t>
  </si>
  <si>
    <t>100027683767239</t>
  </si>
  <si>
    <t>#ask 
Mọi người ơi cho e hỏi với. Em dùng cái này đc 3 ngày rồi, e nghe nói dùng sẽ bị rát mặt, nóng, bong da.... Nhưng s e dùng lại k có hiện tượng j hết, mụn ẩn giờ vẫn chưa đẩy luôn 😥😢.K biết có ai giống e k hay là do e xài hàng nhái v ạ?? :'(</t>
  </si>
  <si>
    <t>2019-11-06 11:32:59</t>
  </si>
  <si>
    <t>Phươngg Phươngg</t>
  </si>
  <si>
    <t>100014091845748</t>
  </si>
  <si>
    <t xml:space="preserve">Cả năm không sao, gần Tết thì dính
Cả nhà giúp em ăn Tết vui vẻ với ạ 😥😥☹️
Help me 😞😞😞
</t>
  </si>
  <si>
    <t>2019-12-17 23:08:49</t>
  </si>
  <si>
    <t>Hãnh Phạm</t>
  </si>
  <si>
    <t>100006233957519</t>
  </si>
  <si>
    <t>Mọi người cho e hỏi da e ntn có phải có mụn ẩn ko ạ. E chụp cam thường ạ. Mà nhìn qua ảnh ko giõ mụn chứ ngoài nhìn và sờ thì thấy giõ luôn ạ
Mặt bóng là do e mới bôi kem dưỡng ạ</t>
  </si>
  <si>
    <t>2019-12-02 00:28:36</t>
  </si>
  <si>
    <t>100025607232480</t>
  </si>
  <si>
    <t>Các chị cho e xin tư vấn với ạ. Mặt e như này nên để kiểu tóc nào cho trẻ và hợp ạ. E cao 1.63 nặng 50 kg, nhìn cũng hơi gầy và cao có kiểu tóc ngắn nào hợp với mặt và dáng người k ạ, vì e muốn thay đổi tí. Với cả 1 bên chân mày e kiểu bị cụt đuôi ấy, ai chỉ em với có cách gì cho lông mày mọc ra dài được tí k. Ai biết sản  phẩm nào vừa giảm nám vừa trắng da chỉ giúp em với ạ, sắp tới tết rồi. Em xin cảm ơn rất nhiều ạ. Mặt mộc e đây chưa qua chỉnh sửa gì đâu ạ</t>
  </si>
  <si>
    <t>2019-11-29 03:48:07</t>
  </si>
  <si>
    <t>Nguyễn Huế</t>
  </si>
  <si>
    <t>100036410101136</t>
  </si>
  <si>
    <t>#skincare 
Mọi người cho e hỏi, cô của e mới sinh được 1 tháng, năm nay cũng 30t rồi, muốn tập tành skin care nhưng mà ko rành ạ. Da cô e là dạng da khô với dễ nổi mụn. Sinh xong cũng đang còn một ít mụn ẩn. Ngày trước ko biết nên có xài phải vài loại mỹ phẩm trộn. Giờ muốn trị mụn rồi sau đó dưỡng trắng. Mà giờ chưa biết nên chọn loại nào cho phù hợp. Anh chị nào qua được khúc trị mụn với đang dưỡng da gợi ý cho e vài sản phẩm với ạ. Sợ cô e ko biết xài phải đồ trộn lại banh mặt mất 😭 à, ai đã sd mặt nạ ngủ của Laneige cho e xin review luôn ạ. E cảm ơn mọi người 😍
Mong ad duyệt.</t>
  </si>
  <si>
    <t>2019-12-12 08:56:45</t>
  </si>
  <si>
    <t>Phan Đinh Như Quỳnh</t>
  </si>
  <si>
    <t>100006717602768</t>
  </si>
  <si>
    <t>#ask
#spa
Mấy chị ơi, có ai từg đi spa làm liệu trình đẹp da (peel da, laser carbon, chạy c, peel tảo ...) mà về da đẹp chưa ạ?
Da e không xấu, ít mụn, mà có thâm, da k đều màu, lcl to, e skincare lâu lắm rồi thì da cũng bình thường chứ k đc gọi là đẹp.
Bây giờ e muốn da đẹp kiểu gái Hàn ý ạ (đẹp bằg cỡ 70 80% gái Hàn) thì đi spa làm phương pháp gì thì hiệu quả ạ? Chứ ở nhà dưỡng da lâu mà không xi nhê.
Mấy chị đừng bơ em nhé 😂😂
E cảm ơn ad và mọi người ☺️☺️</t>
  </si>
  <si>
    <t>2019-09-17 16:01:30</t>
  </si>
  <si>
    <t>Huyền My</t>
  </si>
  <si>
    <t>100005539668728</t>
  </si>
  <si>
    <t xml:space="preserve">#spa #ask </t>
  </si>
  <si>
    <t>#duhọc #skincareroutine #oily #ask
Mọi người ơi tình hình là mình sắp du học ở Vancouver (Canada) và mình k biết là sang đó có nhất thiết phải thay đổi routine từ da dầu sang da khô hay k 😭 vì mình nghe bảo thời tiết mùa hè thì ngang Đà Lạt, còn mùa đông thì trung bình là 0°C. Mình rất hoang mang k biết phải làm như nào hết mong mng giúp ạ!!! 
Hiện tại routine của mình là:
Tẩy trang eveline B5
Srm gel neem himalaya
Ttbc dermalogica
Toner klairs loại k mùi
Essence B5 của eveline (mình ít khi bị mụn chỉ bị mụn đầu đen thôi với cả mình k xài kem dưỡng để cho thoáng da)
Kem mắt thì mình xài cây lăn mắt của eveline 
Dd kẽm của propeller do lâu lâu mình hay lên mụn bọc do kinh nguyệt mình chưa đều
Kcn anessa
P/s: lọ great barrier relief ấy là mình xài khi da bị kích ứng nặng thôi</t>
  </si>
  <si>
    <t>2019-09-21 06:48:22</t>
  </si>
  <si>
    <t>100018406055266</t>
  </si>
  <si>
    <t xml:space="preserve">#ask #oily #skincareroutine #duhọc </t>
  </si>
  <si>
    <t>#nám  #dưỡngâm #nếpnhăn
Cho e hỏi là bị nám , tàn nhan như tế này thì nên dùg gì ạ ? Và nên dùg gì để dưỡg ẩm trog thời tiết hah khô ạ ? Nên dùg sp gì để da chốg lão hóa ạ ?  Da mẹ e là da thường ạ .
E xin cảm ơn mọi ng ạ ❤</t>
  </si>
  <si>
    <t>2019-12-04 15:10:26</t>
  </si>
  <si>
    <t>Vũ Minh</t>
  </si>
  <si>
    <t>100010835206265</t>
  </si>
  <si>
    <t xml:space="preserve">#nếpnhăn #dưỡngâm #nám </t>
  </si>
  <si>
    <t xml:space="preserve">
#ask
Các chị ơi cho em hỏi đã ai sử dụng sản phẩm này chưa ạ ?
Em thấy nhiều bài đăng như ảnh 4 , đọc dưới bài đó có nhiều cmt review tốt và cho đường link mua sản phẩm.
Vấn đề là tuần trước em vào link đó thì ghi giá gốc sp là hơn 800k, giảm còn 590k/ hộp
Hnay cũng vào link đó xem định mua thì lại khác : giá gốc là 580k, giảm còn 380k/ hộp 😰😰😰 
Định mua mà thấy không an toàn nhờ các chị xem giúp 😰😰😰 Em cảm ơn ạ
Edit : KHÔNG NÊN MUA NHA MN ,
Ai lỡ đặt rùi thì trả ship thôi , đừng lấy hàng 😬
Việt Nam! Vô địch 🇻🇳🇻🇳🇻🇳</t>
  </si>
  <si>
    <t>2019-12-11 11:18:00</t>
  </si>
  <si>
    <t>Trang Trần Trần</t>
  </si>
  <si>
    <t>100006522047467</t>
  </si>
  <si>
    <t>Ce ơi cho e hỏi nối tóc thì nối sáp hay nối chun thích hơn ạ?</t>
  </si>
  <si>
    <t>2019-11-20 13:23:52</t>
  </si>
  <si>
    <t>Mie Nguyen</t>
  </si>
  <si>
    <t>100001332062916</t>
  </si>
  <si>
    <t xml:space="preserve">
#gochoi
Em là thanh viên nhóm đã lâu nay mới dám đăng bài 😞 trước em có bị mụn ẩn gần đây nó thêm nhưng mụn liti và mụn đỏ em mong các ae aiii có sp nào tốt chỉ giúo em với ạ ? Sp về chị thâm và trị mụn ẩn ạ 😞 em cảm ơn nhiều ạ</t>
  </si>
  <si>
    <t>2019-12-20 22:17:37</t>
  </si>
  <si>
    <t>Hoàng Phương Chi</t>
  </si>
  <si>
    <t>100016961313262</t>
  </si>
  <si>
    <t>#ask #kieutoc
Các chị tư vấn kiểu tóc cho em với ạ :( chuyện là vì em không được cắt tóc máu (cắt tóc lúc mới sinh ra) nên giờ tóc em rất xấu, nó xoăn và xù chẳng ra cái hệ thống gì hết, em có thử duỗi qua nhưng mà nó rất đơ và một thời gian sau cũng trả về tóc cũ. Vấn đề tóc khiến em rất tự ti vì mặt em không hề hợp với tóc xoăn, nó khiến em trông già hơn nhiều so với tuổi. Em có khuôn mặt tròn, trán cao và dô, em nên để kiểu tóc nào cho phù hợp? 
Cho em tham khảo thêm là nếu đi phục hồi tóc thì tóc có đẹp lên không, nếu không thì em nên làm như thế nào cho nó bớt xù đi 
Em bất lực lắm luôn á mong nhận đc sự góp ý từ mọi người 😭😭 em cảm ơn rất nhiều</t>
  </si>
  <si>
    <t>2019-11-22 16:56:42</t>
  </si>
  <si>
    <t>100039008263256</t>
  </si>
  <si>
    <t>#ask #nặnmụnbằnglaser
Em Chào mọi người ạ. Cho em hỏi ở trong group có anh, chị nào đã đi nặn mụn ở da liễu bằng phương pháp laser và cho em xin bí quyết chăm sóc da sau khi nặn bằng phương pháp laser với ạ?
Qua e đi nặn mà quên hỏi bác sĩ là có cần bôi gì để tránh bị sẹo sau này không ấy ạ.</t>
  </si>
  <si>
    <t>2019-12-06 01:26:29</t>
  </si>
  <si>
    <t>Trần Thị Thu Thảo</t>
  </si>
  <si>
    <t>100014074178817</t>
  </si>
  <si>
    <t xml:space="preserve">#nặnmụnbằnglaser #ask </t>
  </si>
  <si>
    <t>#ask #nuocxavaiquanao
Mình chỉ đẹp chanh sả khi có mùi thơm chanh xxxả. Thế nên tui muốn hỏi về loại nước xả vải nào thơm dễ chịu với lưu mùi trên quần áo lâu lâu một chút ấy. Tui dùng qua mấy loại mà giặt xong phơi khô là cũng khô luôn mùi!!!</t>
  </si>
  <si>
    <t>2019-05-19 03:03:44</t>
  </si>
  <si>
    <t>Nguyên Ann</t>
  </si>
  <si>
    <t>100036835123734</t>
  </si>
  <si>
    <t xml:space="preserve">#nuocxavaiquanao #ask </t>
  </si>
  <si>
    <t>Hello mng. Em 14t và Da em là hỗn hợp thiên dầu. Các bước skincare của em: tt chattcot, srm sủi bọt somebyme, toner diếp cá mamonde. Em nên làm gì để khác phục tình trạng da đây ạ ❤️ thanks mng ❤️</t>
  </si>
  <si>
    <t>2019-11-18 14:05:46</t>
  </si>
  <si>
    <t>100019335157636</t>
  </si>
  <si>
    <t>Mọi người giúp em review bộ sản phẩm của kiehl’s này với, hiệu quả với da mụn không ạ ?
Da em là da khô chuyển sang da dầu, có mụn từ đợt em bị dị ứng tẩy trang dầu do nhũ hoá không sạch trên da 
Tình trạng da ngày càng kinh khủng lắm ạ 
Vì giá khá đau ví nên em đắn đo nhiều lắm trước khi mua ;((
Mong chị em cho lời khuyên 👍🏻</t>
  </si>
  <si>
    <t>2019-11-13 04:17:59</t>
  </si>
  <si>
    <t>Hương Thảo</t>
  </si>
  <si>
    <t>100004615416109</t>
  </si>
  <si>
    <t xml:space="preserve">
#suaduongthe
#dakho
Mong các ace thiện lành cho em xin review một loại sữa dưỡng thể cho da khô, da cực khô ý ạ. Da của em lấy móng tay đi nhẹ một đường là hiện vảy trắng lên rồi. :((( loại sữa dưỡng thể nào vừa dưỡng ẩm vừa Có tính chống nắng càng tốt ạ. Vì em chủ yếu dùng sữa dưỡng thể vào ban ngày. Còn ban đêm thì dùng kem body. em thấy nhiều người kêu dùng vaseline 10x mà nghe bảo dùng loại đó mọc lông kinh lắm nên không dám dùng. 
Mong các ace thiện thành giúp đỡ ạ. 
Thanks all ❤️</t>
  </si>
  <si>
    <t>2019-08-01 08:55:22</t>
  </si>
  <si>
    <t>Duyên Nguyễn</t>
  </si>
  <si>
    <t>100007202710077</t>
  </si>
  <si>
    <t xml:space="preserve">#dakho #suaduongthe </t>
  </si>
  <si>
    <t xml:space="preserve">
#help #tips #seo
Em post giúp người bạn ạ:
Da bạn em bị mụn từ cấp 2, lúc đó không biết gì nhiều về skin care, chỉ dùng srm Acnes. Hồi đó nghe nhiều người mách nên có dùng qua rượu thuốc mà không biết tác hại. Mãi đến cấp 3 thì mới biết đến các bước skin care thì lúc đó da đã bị sẹo rỗ do mụn bọc và mụn mủ nhiều. Bạn em cũng đi trị rỗ laser CO2 2 lần nhưng cũng không đỡ.
Bây giờ qua tới 22t thì bạn em mới đỡ mụn (chỉ bị mụn ở cằm và quai hàm khi tới tháng), nhưng da lúc nào cũng mẩn đỏ như hình.
Mn cho em hỏi nên dùng sản phẩm gì để da hết đỏ và đều màu ạ?
Lỗ chân lông to thì phải qua thẩm mĩ viện mới hết hẳn hay kiên trì đắp mask là được vậy ạ?
Và nên trị rỗ bằng prp hay phương pháp nào hiệu quả nhất vậy ạ?
Em cám ơn group nhìu ạ ❤️</t>
  </si>
  <si>
    <t>2019-10-21 06:44:36</t>
  </si>
  <si>
    <t>Hannah Dang</t>
  </si>
  <si>
    <t>100013124268558</t>
  </si>
  <si>
    <t xml:space="preserve">#seo #tips #help </t>
  </si>
  <si>
    <t>#makeup #chiase #lookatmyeyes #thaodiep 
🥰🥰🥰 Xin chào cả nhà, mình xin chia sẻ kiểu mắt sương sương này nhé, cả nhà tham khảo nha ❤❤❤</t>
  </si>
  <si>
    <t>2019-10-04 10:37:33</t>
  </si>
  <si>
    <t xml:space="preserve">#thaodiep #lookatmyeyes #chiase #makeup </t>
  </si>
  <si>
    <t xml:space="preserve"> #longmay #dieukhac có ai từng điêu khắc chưa ạ. E mới làm được 3 ngày mà nó đang bị bong ra nhìn trắng như vậy có sao không ạ</t>
  </si>
  <si>
    <t>2019-11-09 13:51:47</t>
  </si>
  <si>
    <t>Kim Phượng</t>
  </si>
  <si>
    <t>100005942748634</t>
  </si>
  <si>
    <t xml:space="preserve">#dieukhac #longmay  </t>
  </si>
  <si>
    <t>#trimun 
Các ce cứu em với sắp tết rồi mà mặt em tanh bành như vầy :((( do trc e có dùng kem trộn hoa anh đào giờ mặt nó thế này đây 😭 hiện thi e chỉ dùng srm the face vs tone meisoku thôi ạ</t>
  </si>
  <si>
    <t>2019-12-09 03:19:53</t>
  </si>
  <si>
    <t>Vũ Bùi Thị Nam</t>
  </si>
  <si>
    <t>100042812318484</t>
  </si>
  <si>
    <t xml:space="preserve">
#Review #Hoidap
Chào cả nhà.
Cả nhà cho em hỏi, có ai dùng sản phẩm máy rửa mặt này chưa ạ. Cho em xin ít nhận xét với. Em tính mua mà không biết có ổn không ạ. Da em bị mụn cám + mụn ẩn +  sợi bã nhờn, da sờ vào cứ sần sần ấy, lâu lâu mới nổi vài nốt mụn to thôi ạ.
Luôn tiện cả nhà cho em hỏi sử dụng toner AHA BHA PHA có lên được mụn ẩn không ạ.
Cảm ơn cả nhà ❤️</t>
  </si>
  <si>
    <t>2019-05-10 14:22:23</t>
  </si>
  <si>
    <t>Nguyễn Thị Thanh Phú</t>
  </si>
  <si>
    <t>100009614673518</t>
  </si>
  <si>
    <t xml:space="preserve">#Hoidap #Review </t>
  </si>
  <si>
    <t xml:space="preserve">
#ask
#review
Xin chào cả nhà ạ. 
Cả nhà đã ai đắp mặt nạ tảo xoắn này cho e xin it review với ạ. 
Da em có mụn 1 cái mụn viên và vài mụn ẩn, chủ yếu là thâm ạ.</t>
  </si>
  <si>
    <t>2019-06-22 07:42:38</t>
  </si>
  <si>
    <t>Trang Neo</t>
  </si>
  <si>
    <t>100007666264154</t>
  </si>
  <si>
    <t>Bạn em nó bị nổi mấy cục gì đó gần xương quai xanh, ban đầu thì nhìn giống mụn bình thường nhưng mà lúc nặn ra hết nhân r (hết cả máu bầm, mũ,...) thì bị như vậy, cứ bị đỏ với nhìn như bị thủng một lỗ vậy, lành hơn tý thì để lại thâm.
Mng cho em hỏi như vầy là bị gì và làm sao để hết đây ạ :(((</t>
  </si>
  <si>
    <t>2019-12-11 01:51:39</t>
  </si>
  <si>
    <t>100032888210092</t>
  </si>
  <si>
    <t>-Chào mọi người !. Em là nam. Em mắc phải căn bệnh ra mồ hôi tay rất nhiều, bất chấp thời tiết đông hay hè, lạnh hay nóng, mùa hè thì em có thể ngồi quạt được nhưng nay lạnh rồi thì chịu, thế là mồ hôi cứ thế ra đầm đìa, không buông tha cho bản thân mình, em có thử qua 1 vài loại thuốc bôi nhưng đâu lại vào đó, điều đó làm mình thực sự cảm thấy khó khăn trong sinh hoạt, mỗi khi chơi game (em sắp làm game thủ nên rất lo ngại), thậm chí nhắn tin, thao tác vuốt chạm vô cùng chậm, đặc biệt mồ hôi tay của em phát triển ngày càng mạnh, càng nhiều,... Ai có thể chỉ giúp mình cách hết mồ hôi tay vĩnh viễn không ạ? Mình xin cám ơn vô cùng nhiều !!!
-Ảnh : cóp nhặt trên internet</t>
  </si>
  <si>
    <t>2019-12-06 07:40:00</t>
  </si>
  <si>
    <t>Nếu Tôi Là Nữ</t>
  </si>
  <si>
    <t>100043041676905</t>
  </si>
  <si>
    <t>#help 
Ad duyệt bài cho em với ạ :((.
Có ai bị như em ko? Tự dưng năm nay hanh khô quá tay em nứt toác ra không đỡ. Cứ tấy đỏ lên r rát như này. Em bôi rất nhiều kem dưỡng ẩm cũng không khá lên tí nào.  Có ai có cách gì mà khỏi rồi mách em với. Tay nứt toác ra xót quá ạ.</t>
  </si>
  <si>
    <t>2019-12-10 14:28:09</t>
  </si>
  <si>
    <t>100012099580338</t>
  </si>
  <si>
    <t>Mọi người trong gr ai từng sử dụng qua Đai nịt bụng này chưa ạ? Cho em xin ít review với 🤗 Em cảm mơn❤️</t>
  </si>
  <si>
    <t>2019-11-12 10:29:40</t>
  </si>
  <si>
    <t>Trần Lê Hà My</t>
  </si>
  <si>
    <t>100015829753160</t>
  </si>
  <si>
    <t>Chị em nào da dầu mụn mà sử dụng sản phẩm trị mụn của Hãng Eucerin rồi cho em xin tí review sản phẩm với ạ. E đang tăm tia chuyển qua hãng này dùng mà chưa biết công dụng thực tế như thế nào. 
Em cảm ơn trước ạ 
#đẹpchanhxả  #dadầumụn  #eucerin</t>
  </si>
  <si>
    <t>2019-05-04 07:21:34</t>
  </si>
  <si>
    <t>Din Beo</t>
  </si>
  <si>
    <t>100004413639268</t>
  </si>
  <si>
    <t xml:space="preserve">#eucerin #dadầumụn #đẹpchanhxả </t>
  </si>
  <si>
    <t>Chào mọi người, sắp tết rồi mà vấn đề cân nặng vẫn ám ảnh mình thật sự, mình đã cố gắn đi tập gym rồi bỏ cơm chỉ ăn đồ ăn uống cả thuốc giảm cân trước đó rồi cả nước detox nữa nhưng vẫn vô hiệu quả gục ngã thật sự 😞 mình thật sự đã có tgian đưa mình vào chế độ ăn kiêng nhưng do công việc và học tập mình không có đủ tgian để chuẩn bị sẵn và ăn uống đúng theo tgian và thực đơn mình tìm hiểu qua trên mạng nên hôm nay lấy hết can đảm lên hỏi (biết là có người quen ở đây cũng hơi xấu hổ xí) mọi người xem còn phương án cuối cùng nào không, phương án có tác dụng càng nhanh càng tốt mình đều sẽ cố thử qua, thật sự hết cách khổ tâm lắm rồi 😞</t>
  </si>
  <si>
    <t>2019-11-24 14:05:46</t>
  </si>
  <si>
    <t>Tuệ Minh Nguyễn</t>
  </si>
  <si>
    <t>100005370798780</t>
  </si>
  <si>
    <t xml:space="preserve"> #goctuvan
da mặt e như vầy cần dùng những sp gì và cho e xin tên luôn đc k ạ? e da dầu ạ. cho e hỏi luon là mắt e nó có bi gi ko mà chụp hình nhìn mặt đần lắm ạ. tks mấy c ❤️❤️</t>
  </si>
  <si>
    <t>2019-12-24 05:44:53</t>
  </si>
  <si>
    <t>Thu Hương</t>
  </si>
  <si>
    <t>100032209330961</t>
  </si>
  <si>
    <t xml:space="preserve">Mong ad duyệt lại bài giúp e . E đã up lên mà chưa được ad duyệt nên e xin up lại vì e rất cần sự giúp đỡ .
Do lúc trước mặt e khá nhiều mụn, thời học sinh sinh viên ngày đó k có tiền đi nặn mụn các kiểu ở nhà tự nặn hậu quả khôn lường. 
Gần đây e đã đi trị rỗ lăn kim bóc tách nhưng k mấy hiệu quả lại tốn kém.
E đọc trên mạng thấy có pp peel da .
Mọi ng cho e hỏi da peel da có tốt k? Có hiệu quả k ? Và a chị bạn nào có bí kíp gì cho da rỗ như e k ? Chỉ giúp e với ạ. Lên fb thì chụp hình sống ảo chứ ra đường là khẩu trang 24/24 k dám nhìn ai luôn đó 😞
</t>
  </si>
  <si>
    <t>2019-10-12 01:05:48</t>
  </si>
  <si>
    <t>#ask 
#haircare 
#help 
Chào mọi người!
Tóc bị rụng quá nhiều nên tìm hiểu ở gruop lâu  lắm rồi, mình có xem review của mọi người bảo hàng này của Nhật dùng rất tốt nên định mua dùng, cũng thấy có ghi tiếng Nhật.Nên mình đi tìm và tra trên wed bán hàng của Nhat thì không thấy,xem mấy trang Việt thì thấy ghi hàng Nhật có chỗ để xuất xứ hongkong vậy hàng này là của Việt Nam sản xuất theo công nghệ Nhật bản hay hàng Nhật nội địa vậy ah?
Và có bạn nào dùng dầu gội nào mà bớt rụng tóc hiệu quả không chỉ mình với, sấy tóc mà tóc rụng đau lòng quá</t>
  </si>
  <si>
    <t>2019-12-08 08:45:08</t>
  </si>
  <si>
    <t>ミウ ミウ</t>
  </si>
  <si>
    <t>100003278742480</t>
  </si>
  <si>
    <t xml:space="preserve">#help #haircare #ask </t>
  </si>
  <si>
    <t xml:space="preserve">
#duong_am
#facial_oil
Hello mọi người, em đang có ý định dùng facial oil để dưỡng da. Da em là da hỗn hợp thiên dầu nhưng mà vào đông rất hay bị mất nước nên là đánh nền hay bị cakey rất là xấu, em dùng bao nhiêu dưỡng ẩm vẫn không đủ nên mới định dùng dầu dưỡng để giữ ẩm ấy. Mọi người có thể gợi ý cho em sp nào phù hợp và giá bán được không ạ? Em cảm ơn.</t>
  </si>
  <si>
    <t>2019-11-02 16:01:57</t>
  </si>
  <si>
    <t>Jane Grey</t>
  </si>
  <si>
    <t>100027444873267</t>
  </si>
  <si>
    <t xml:space="preserve">#facial_oil #duong_am </t>
  </si>
  <si>
    <t>Hôm nay em xin 1 bài tư vấn về tóc ạ. Tóc em là xoăn tự nhiên ( xoăn xù thôi chứ k xoăn như mì tôm ) chất tóc dày và khô ngta gọi là tóc rễ tre ạ :(( em đang có ý định cắt như hình nhưng k biết kiểu này có dễ giữ nếp không ạ. Em đã từng cắt ngắn ngan vai duỗi cúp nhưng vài hôm nó lại xoăn chỉa từa lưa :(( không biết cắt kiểu này duỗi tóc có bị chỉa không ạ. Mn tư vấn giúp em.
#tuvancattoc mong ad duyệt :))</t>
  </si>
  <si>
    <t>2019-10-02 10:58:19</t>
  </si>
  <si>
    <t>Ng Huỳnh Giang</t>
  </si>
  <si>
    <t>100034335430133</t>
  </si>
  <si>
    <t xml:space="preserve">#tuvancattoc </t>
  </si>
  <si>
    <t>Nhờ ad duyệt giúp.
Các bạn cho mình hỏi tự dưng lưng với vai mình mọc mụn như mụn nước nhưng mãi ko khỏi bôi thuốc rồi cũng ko đỡ mà càng lan càng nhiều. Cho hỏi cách chữa với ạ.</t>
  </si>
  <si>
    <t>2019-12-26 00:26:06</t>
  </si>
  <si>
    <t>Thuý Hằng</t>
  </si>
  <si>
    <t>100003269622148</t>
  </si>
  <si>
    <t>#giamcan #yenmach
Trong nhóm đã ai giảm cân bằng yến mạch chưa ạ, nghe quảng cáo cũng ổn mà e chưa sử dụng bao giờ. Ai đã sử dụng cho e xin review, cách nấu, và địa chỉ chỗ mua uy tín với
Thanks mọi người❤</t>
  </si>
  <si>
    <t>2019-10-21 00:23:28</t>
  </si>
  <si>
    <t>Dua Jung</t>
  </si>
  <si>
    <t>100015990966175</t>
  </si>
  <si>
    <t xml:space="preserve">#yenmach #giamcan </t>
  </si>
  <si>
    <t>CẢ CUỘC ĐỜI CHƯA BAO GIỜ MANG VÁY!!!!
#thamchan
#viemlochanlong
Xin chào tất cả mọi người, như mọi người đang thấy, đập vào mắt mọi người chính là đôi chân của em. Đôi chân của một đứa con gái 23 tuổi. Từ khi em biết ý thức về cách nhìn, sự để ý của những người xung quanh thì cũng là lúc em biết tự ti là như thế nào.
Chân của em vừa có vết thâm, vừa viêm lỗ chân lông nên em chưa bao giờ mặc váy hay quần ngắn khi ra đường. Buồn nhất là khi công ty có đồng phục là váy em cũng ko đủ can đảm để mặc. Từ nhỏ ai cũng bảo em là máu xấu, cơ thể lúc nào cũng nóng hơn người khác, da dẻ thì hay bị ngứa mặc dù em ở rất sạch sẽ.
Nhìn bao cô gái ngoài kia em luôn mong rằng mình cũng sẽ được giống như họ. Mọi người thường nói có một cơ thể lành lặn đã là quá tốt rồi nhưng sống trong môi trường xã hội hiện nay dù muốn hay không ta vẫn không thể tránh khỏi những ánh mắt kỳ lạ khi nhìn về ta.
23 tuổi, em cũng mong được mặc những bộ đầm xinh xắn để đi chơi với bạn bè, mong một lần tự tin để xin những công việc tốt hơn mà ko phải mặc cảm!
Em phải làm sao? Phải bắt đầu từ đâu? Xin hãy giúp em!!!!</t>
  </si>
  <si>
    <t>2019-09-13 13:00:28</t>
  </si>
  <si>
    <t>Mai Mai</t>
  </si>
  <si>
    <t>100027114823321</t>
  </si>
  <si>
    <t xml:space="preserve">#viemlochanlong #thamchan </t>
  </si>
  <si>
    <t xml:space="preserve">Em định uốn xoăn sóng ấy ạ . Nhẹ nhẹ thôi , tóc em khá dài và mọc nhanh , tại trước lỡ đi ép mái ngta ép cả đầu , nhìn thẳng đuột trông ghê lắm 
Mọi người có kiểu tóc đẹp cho em xin với ạ :v 
</t>
  </si>
  <si>
    <t>2019-09-16 03:53:34</t>
  </si>
  <si>
    <t>Bạn Pương Ling</t>
  </si>
  <si>
    <t>100024050649985</t>
  </si>
  <si>
    <t>Tập thói quen uống 2l nước mỗi ngày  để có sức khoẻ tốt nào</t>
  </si>
  <si>
    <t>2019-12-19 11:23:28</t>
  </si>
  <si>
    <t>Phuong Emili</t>
  </si>
  <si>
    <t>100004042836657</t>
  </si>
  <si>
    <t>Xin phép mn cho e đăng bài mày ạ 
Da em là da dầu vùng chữ t e 16t dạo gần đây e hay uống giảm cân k biết do nóng trong người nó nổi hay do e bị nổi mụn ạ m.n tư vấn giúp e với e chân thành cảm ơn ạ</t>
  </si>
  <si>
    <t>2019-12-24 14:51:30</t>
  </si>
  <si>
    <t>#đepchanhsa
#tocdep
Mong lần này được duyệt bài. 
Mọi ngừoi tư vấn giúp e xem e để tóc dài hay ngắn hợp ạ. Gần tết rồi mà vẫn chưa biết lên cắt hay để dài. Mong mọi ngừoi cho e ý kiến ạ.!!</t>
  </si>
  <si>
    <t>2019-12-06 16:32:24</t>
  </si>
  <si>
    <t>100008798049795</t>
  </si>
  <si>
    <t xml:space="preserve">#tocdep #đepchanhsa </t>
  </si>
  <si>
    <t xml:space="preserve">
Mn cho mình hỏi bộ này là kem trộn hay ntn ạ?Lỡ dùng 2 tháng r ạ.Vào gr được 2 hôm mới lòi ra nên mình hỏi
Tiện thể mn chỉ mjh cách phục hồi da vì dùng rựu thuốc với lăn kim ở spa với ạ 😔
Xin cảm ơn</t>
  </si>
  <si>
    <t>2019-10-23 13:45:57</t>
  </si>
  <si>
    <t>Định Mệnh</t>
  </si>
  <si>
    <t>100037791679450</t>
  </si>
  <si>
    <t>#ask #phunmimotrong #theumimotrong
Chào các bạn, trong group đã có bạn nào phun/ thêu mí mở tròng chưa ạ? Mình muốn hỏi về kinh nghiệm của các bạn đã từng làm, và nghe lời chia sẻ về ưu/ nhược điểm của phương pháp này ạ. Mắt mình nhỏ, ko rõ mí, lông mi ngắn thưa nên mình đang muốn làm ạ.
Cảm ơn các bạn.</t>
  </si>
  <si>
    <t>2019-04-19 15:06:01</t>
  </si>
  <si>
    <t>Chị Thỏ Ngọc</t>
  </si>
  <si>
    <t>100016909725714</t>
  </si>
  <si>
    <t xml:space="preserve">#theumimotrong #phunmimotrong #ask </t>
  </si>
  <si>
    <t>Cả nhà ơi , cho em hỏi , có ai bị rụng tóc mỗi ngày càng ngày càng nhiều ko ạ 🥺 
😭 tóc em chụp là mới gội thôi đó ạ , chưa kể em vuốt tóc lần nào là lần đó cũng có tóc hết ☹️ giống như em bị bệnh ung thư tóc vậy á , dùng hết tất cả cách mà em xem trên rồi mà không đc luôn , nên em nghỉ là em nên đi khám 🤦🏻‍♀️ ???? Mà khám ở đâu mới quan trọng 😥 nên em xin hỏi có ai bị vậy mà khám mà đỡ  hơn chưa ạ 
Cho em xin ít Tên Phòng khám &amp; Địa Chỉ Cụ thể luôn đc không ạ ( nếu mình có nhớ giá khám bao nhiu thì có thể báo cho em được không ạ 😭 em cảm ơn nhiều lắm Ạ , hiện tại tóc em càng ngày càng không thấy tóc luôn 😭</t>
  </si>
  <si>
    <t>2019-11-27 16:45:03</t>
  </si>
  <si>
    <t>Sis Ter</t>
  </si>
  <si>
    <t>100041489311237</t>
  </si>
  <si>
    <t>Chào mọi người cho em hỏi
Da của em cơ bản là khỏe, nhưng có đốm không đều màu 2 bên má của em lên hơn 1 năm nay, dù có dùng serum C hay toner cũng ko thể làm nó đều da lại được
Mọi người chia sẻ cho em cách làm đều màu da lại với, em cám ơn</t>
  </si>
  <si>
    <t>2019-12-06 14:56:25</t>
  </si>
  <si>
    <t>Phuong The Duong</t>
  </si>
  <si>
    <t>100006917310455</t>
  </si>
  <si>
    <t>Em chào mn,mặc dù không liên quan lắm nhưng em mong ad duyệt vs ạ:(( 
Năm nay em 16 tuổi sắp sang 17 rồi mà chiều cao em chỉ có 1m47 thôi ạ :( em muốn hỏi mn là có ai đã dùng qua sản phẩm tăng chiều cao nào hiệu quả chưa ạ ? Cho em xin tên vs ạ:((( em thực sự khá buồn và tủi khi bị trêu í ạ:((</t>
  </si>
  <si>
    <t>2019-11-24 15:33:56</t>
  </si>
  <si>
    <t>Lan Chii</t>
  </si>
  <si>
    <t>100036195082192</t>
  </si>
  <si>
    <t>**Nhà mình có ai xài thuốc bán trong Go Spa chưa ạ? Bữa e mua hũ này giá 1,2tr. Chị bán hàng nói đây là "thuốc dạng kem bôi", thành phần: Mật gấu, linh chi, thảo dược,... Về nhà mình mở ra thấy như trong hình, ko biết xài có bị gì ko nữa**
#gospa #xinreview</t>
  </si>
  <si>
    <t>2019-09-16 01:34:03</t>
  </si>
  <si>
    <t>Ho Ninh</t>
  </si>
  <si>
    <t>100001846058761</t>
  </si>
  <si>
    <t xml:space="preserve">#xinreview #gospa </t>
  </si>
  <si>
    <t>Mọi người ơi năm nay em 20 tuổi . trước thì em không quan tâm tới chiều cao cho lắm .mấy nay gần đây em mới để ý tới và biết mình lùn hơn so với mấy bạn cung tuổi nhiều ạ.hic .e thấy tủi thân lắm .e cao có mét 48 thui ạ còn chưa được 1met50.mọi người có cách nào tăng chiều cao ở độ tuổi 20 như em k ạ.em thấy mấy thực phẩm chức năng giới thiệu thấy ham quá mà k bk có hiệu quả k nữa.em có cach nào chia sẻ cho em với ạ.em cảm ơn mọi người
Ad duyệt dùm e voi ạ.</t>
  </si>
  <si>
    <t>2019-12-05 12:02:41</t>
  </si>
  <si>
    <t>Lan Phạm</t>
  </si>
  <si>
    <t>100034381642521</t>
  </si>
  <si>
    <t>#help
Các c ơi. Giúp e với ạ. E dùng  son tint lì Romand đc tầm 1 tháng thấy rất ok. Mịn, mướt nhưng khi tẩy trang đi thì rất khô môi. Gần đây thì bị nặng hơn. Da môi bong tróc, sưng,  rát và môi thâm dần đi. Dù e rất chăm dưỡng môi. 1 tuần nay e ko dùng son mà chỉ dưỡng bằng mật ong,dầu dừa nhưng vẫn ko cải thiện mấy 😭😭 các c giúp e với chứ đi làm ko dùng son thiếu tự tin hẳn ạ. E cảm ơn 😭😭</t>
  </si>
  <si>
    <t>2019-08-17 12:59:25</t>
  </si>
  <si>
    <t>Trần Thị Thùy Dung</t>
  </si>
  <si>
    <t>100005351852691</t>
  </si>
  <si>
    <t>Mọi người ơi😭 làm thế nào để trị sẹo lõm ạ/ Chỉ em với ạ.Sắp tết rồi nhìnn da chán quá thế.</t>
  </si>
  <si>
    <t>2019-12-17 23:12:36</t>
  </si>
  <si>
    <t>100031407691135</t>
  </si>
  <si>
    <t xml:space="preserve">
#giamcan
Ở đây có ai biết cách giảm mỡ ở chân, đùi, cánh tay, bắp tay, mỡ bụng và làm thon cổ tay không ạ? Em từng thử qua khá nhiều cách nhưng không giảm được phần bắp tay (cái phần gần cổ tay, bàn tay chứ không phải là phần gần vai ạ, mặc dù em cũng muốn giảm cả bắp trên nữa)</t>
  </si>
  <si>
    <t>2019-09-26 15:16:08</t>
  </si>
  <si>
    <t>Hoàng Minh Anh</t>
  </si>
  <si>
    <t>100039151397936</t>
  </si>
  <si>
    <t xml:space="preserve">#giamcan </t>
  </si>
  <si>
    <t>Edit 3: Ad k cho khóa cmt, mà em k muốn xóa bài (cx kb đc xóa k) để còn đọc cmt, thật sự là nhiều cmt quá em k đọc hết. Nên là em cứ để thế này nhé 😊</t>
  </si>
  <si>
    <t>2019-11-26 14:02:31</t>
  </si>
  <si>
    <t xml:space="preserve">Mọi người cho em hỏi mặt em bị khá nhiều sẹo nên dùng cái gì để trị ạ? Em có dùng thử qua Dermatix ultra với contractubex mà vẫn không hết ạ :(  
#tuvan
</t>
  </si>
  <si>
    <t>2019-11-27 04:08:08</t>
  </si>
  <si>
    <t>Dương Hải Nghi</t>
  </si>
  <si>
    <t>100014565227623</t>
  </si>
  <si>
    <t xml:space="preserve">
#goccantuvan
Chào m.n trong group ạ
Em cần tư vấn về tóc, tóc em vừa làm được 1 tuần, đây là kiểu xoăn sóng lơi ạ, nhưng do bản chất tóc em xù nên lúc làm xong nó xù tung tóe lên và k vào nếp ý ạ, kiểu tóc này còn làm em bị già đi so với tuổi
Em định đi duỗi lại , mọi người tư vấn cho em là có nên đi duỗi tóc không ạ?? Và duỗi xong liệu có hư tổn nhiều không?
Em cảm ơn</t>
  </si>
  <si>
    <t>2019-12-23 16:14:27</t>
  </si>
  <si>
    <t>Giang</t>
  </si>
  <si>
    <t>100011455084157</t>
  </si>
  <si>
    <t>Mọi người giúp em vài loại mặt nạ đắp mặt giúp thải độc, giảm tàn nhang, trắng da với ạ.
Ad duyệt bài cho e với ạ. Cần mua mà nhiều loại quá ko biết loại nào tốt ạ.</t>
  </si>
  <si>
    <t>2019-10-24 03:48:22</t>
  </si>
  <si>
    <t>My Trang</t>
  </si>
  <si>
    <t>100004537747763</t>
  </si>
  <si>
    <t>Hổng biết có ai giống như em không? Từ cái ngày đi wax lông chân cách đây hơn 2 tháng lông chân của em nó mọc như trong da luôn mọi người lần đầu em thấy như vậy luôn 😭😭😭 mọi người giúp em với.</t>
  </si>
  <si>
    <t>2019-12-11 09:56:27</t>
  </si>
  <si>
    <t>Bùi Tú Sương</t>
  </si>
  <si>
    <t>100007824160276</t>
  </si>
  <si>
    <t>#ask #kemlot #kemlót
Mn ơi cho e hỏi với ạ. Kem lót 3ce này 3 loại này khác nhau như thế nào ạ? E đang tìm kem lót để dùng mà k biết nên chọn loại nào, lót giá tầm trung thôi 
Da e da hỗn hợp dầu vùng chữ T ạ</t>
  </si>
  <si>
    <t>2019-12-13 11:09:04</t>
  </si>
  <si>
    <t>Thy Thy</t>
  </si>
  <si>
    <t>100003039180683</t>
  </si>
  <si>
    <t xml:space="preserve">#kemlót #kemlot #ask </t>
  </si>
  <si>
    <t>#ask #help #mun
Chào mn ạ ^^ e đi du học nên da mặt e bị break out và e kh biết làm sao cho hết 😢 Da e da hỗn hợp dầu chữ T 😢Mong mn giúp em ạ 😞 e cảm ơnnnn ❤️</t>
  </si>
  <si>
    <t>2019-12-19 23:20:20</t>
  </si>
  <si>
    <t>Ngọc Hạ</t>
  </si>
  <si>
    <t>100008708527697</t>
  </si>
  <si>
    <t>#ask#help#mac#auth#fake#
Mình vừa mua 1 thỏi mac nhưng về tra cách phân biệt fake của dòng lì này thì có quá ít thông tin ạ. Mn có thể check giúp e được k ạ. Mấy thỏi vỏ bóng của e trước có mùi vani kiểu mở ra là thấy. Thỏi này thì mùi k như mấy thỏi trc ạ. Huhu</t>
  </si>
  <si>
    <t>2019-10-22 00:57:53</t>
  </si>
  <si>
    <t>Phương Phương Anh</t>
  </si>
  <si>
    <t>100003691079012</t>
  </si>
  <si>
    <t xml:space="preserve">#fake #auth #mac #help #ask </t>
  </si>
  <si>
    <t>#ask
#review
Các m cho t hỏi chút . đã ai dùng V7 này chưa ạ. Thấy nhiều đứa khen lắm nhưng t thấy chưa yên tâm lắm. Ai dùng r cho t xin ít tw với. Hàng này có chuẩn k ạ</t>
  </si>
  <si>
    <t>2019-06-23 12:19:21</t>
  </si>
  <si>
    <t>Thắm Trần</t>
  </si>
  <si>
    <t>100003800341722</t>
  </si>
  <si>
    <t>Chào mấy chị.
E mới mua chai nước tẩy trang #loreal ở tiệm mĩ phẩm mà về mở ra thì thấy nó dán 2 cái giấy này đè lên nhau
Mấy chị thông thái có thể check giùm e xem hàng real hay fake đc k ạ</t>
  </si>
  <si>
    <t>2019-11-19 11:03:14</t>
  </si>
  <si>
    <t>Ngọc Hải</t>
  </si>
  <si>
    <t>100005186640101</t>
  </si>
  <si>
    <t xml:space="preserve">#loreal </t>
  </si>
  <si>
    <t>#ask  #srmsenka #kemchonglaohoa
E chao mn 
Mẹ e năm nay ngoài 40 da có nám và sạm bh lên dùng gì để bớt nám và loại nào chống lão hoá da ạ 
Mà mn bảo dùng aqualabel của Nhật giá phù hợp vs cũng ok mà e k biết gì về loại chống lão hoá
E thấy trong bách hoá xanh họ bán srm senka nhưng nó hơi khác so vs lọ e mang từ nhật về 
Da mẹ e có dùng dc senka k ạ hay lên dùng loại srm nào tốt hơn ah
Liệu hàng bán trong đấy cho chuẩn auth k mn 
Cam on mn ạ</t>
  </si>
  <si>
    <t>2019-12-13 08:35:39</t>
  </si>
  <si>
    <t>Thiên Bình</t>
  </si>
  <si>
    <t>100030519588428</t>
  </si>
  <si>
    <t xml:space="preserve">#kemchonglaohoa #srmsenka  #ask </t>
  </si>
  <si>
    <t>Các chị ơi em phun môi mới bong hết thì có nên dùng son dưỡng có màu đi-ò này không ạ? Có sợ son này có màu bị chì không ạ?</t>
  </si>
  <si>
    <t>2019-11-22 01:33:51</t>
  </si>
  <si>
    <t>Yến Ngọc</t>
  </si>
  <si>
    <t>100005628078702</t>
  </si>
  <si>
    <t>Ai giúp mình khắc phục với ạ 
Hiện tại mặt mình đang mọc mấy cái mụn mủ rất cứng và to nữa
Mặt mình nặn đâu cũng có mụn 😭
Mình lỡ sử dụng rượu thuốc 15 ngày trước ạ</t>
  </si>
  <si>
    <t>2019-12-18 08:43:00</t>
  </si>
  <si>
    <t>Pham Han</t>
  </si>
  <si>
    <t>100045044072932</t>
  </si>
  <si>
    <t>Có ai từng đi spa hay trung tâm thẩm mỹ để khử quầng thâm mắt không review cho em với ạ ❤❤❤ 
Thanks mọi người
#quangthammat #ask</t>
  </si>
  <si>
    <t>2019-12-15 04:35:36</t>
  </si>
  <si>
    <t>Mai Lê</t>
  </si>
  <si>
    <t>100040074334491</t>
  </si>
  <si>
    <t xml:space="preserve">#ask #quangthammat </t>
  </si>
  <si>
    <t xml:space="preserve">Các ce cho em hỏi chút ạ. 
Xăm môi xong có dùng được son ko ạ. Vì môi mình lên màu nhạt. Dùng son có bị thâm ko? 
Và tiện cho m hỏi là có son gì dùng sau xăm mà an toàn ko ạ.?
</t>
  </si>
  <si>
    <t>2019-12-18 13:44:00</t>
  </si>
  <si>
    <t>Maria NgọcAnh</t>
  </si>
  <si>
    <t>100005944747090</t>
  </si>
  <si>
    <t xml:space="preserve">
#review #trịmụn
Chuyện là thấy vui quá nên lên chia sẽ cho các chị em cùng vui. Lần đầu tiên viết có sai sót các chị em bỏ qua nha.
Mặt mình lúc trc mụn kinh khủng mình đã trị hết, giờ chỉ khi nóng hoặc đến kỳ mới nổi mụn mà toàn là mụn to vừa đau vừa khó chịu. Sau bao nhiêu cách thì mình thấy bộ này trị mụn là êm nhất. 
- Hình đầu là mặt mình lúc 12 ngày trước mặc dù đã có 1 lớp nền rồi vẫn ko che được vài nốt mụn gần môi, lên hình thì vậy nhưng ở ngoài sưng rất to và đau. Dùng đủ cách cũng ko bớt đến 5,6 ngày nay mình được giới thiệu xài loại này
+ Gel mụn Normaderm Hyaluspot 15ml của Vichy đúng như tên gọi giảm mụn hiệu quả nhanh thật các chị em ạ. Em chấm 1 ít vào nốt mụn sáng và tối trước khi ngủ , sau khi thức dậy thấy mụn gôm nhân rất nhanh, chấm thêm ngày thứ 2 thì mụn già có thể lấy nhân mụn ra được rồi. Khi chấm lên sẽ cảm thấy hơi nóng rát 1 xíu nhưng cảm giác chỉ thoáng qua 1 xíu rồi bình thường lại. 
- Sau đó mình sử dụng Cicaplast Baume gel B5 của La roche-posay chấm lên, có khi bôi đều cả mặt buổi sáng và tối trước khi ngủ. Hôm nay mấy nốt mụn mờ hẳn đi có những nốt chụp hình lên không thấy luôn ạ. 
2 hình mình đều chụp bằng camera thường ạ. Giờ mỗi tối mình rửa mặt xong dùng skII và bôi đều B5 khi có mụn thì mình chấm gel mụn Vichy lên. Mới 5,6 ngày thôi mà những phần thâm mụn hay sẹo cũng giảm đáng kể luôn 😚</t>
  </si>
  <si>
    <t>2019-09-28 14:34:15</t>
  </si>
  <si>
    <t xml:space="preserve">#trịmụn #review </t>
  </si>
  <si>
    <t>Mong ad duyệt bài ạ... 
Em hiện tại hay uống vitamin E với C với A ạ, mà em hiện tại phải chia ra là sáng uống E, trưa uống A, tối uống C, nhưng em nghe 1 số bạn kêu có thể kết hợp 3 loại uống 1 bữa 1 ngày,ko cần chia ra vậy. Mọi người cho em xin ít ý kiến ạ...</t>
  </si>
  <si>
    <t>2019-12-01 00:03:13</t>
  </si>
  <si>
    <t>Thị Chinh</t>
  </si>
  <si>
    <t>100015740206659</t>
  </si>
  <si>
    <t>Mong ad duyệt bài giúp em, ad ơi giúp e với. Em cảm ơn ad nhiều nhiều lắm.
#collagen 
Em đang tính mua collagen Refa 16 Collagen Enriched 480ml dạng nước uống này. Mọi người ai dùng rồi Cho e xin ý kiến với. Em cảm ơn</t>
  </si>
  <si>
    <t>2019-12-04 03:07:47</t>
  </si>
  <si>
    <t>Em chào các chị ạ! 
Hôm nay em muốn tâm sự với các chị về vấn đề tóc ạ, không biết trong group mình có ai có tóc xoăn tự nhiên từ lúc mới lọt lòng không ạ? 
Em từ lúc bé xíu đã có tóc xoăn tít rồi. Tóc em vừa nhiều vừa xoăn nữa mỗi lần ngủ dậy thì khá khó chịu khi đầu tóc bù xù, phồng to ra trông rất ghê luôn 😭 mỗi lần chải đầu là y như 1 cực hình luôn. Đến năm lớp 6 thì em được mẹ dẫn ra tiệm duỗi tóc và được cắt cái mái ngố nữa ạ, thích lắm luôn ạ. Mà chỉ thẳng được vài tháng rồi đâu lại vào đấy 😭 lại đi duỗi tiếp nhưng không để mái nữa ạ vì tóc em mau ra tóc xoăn lắm, mỗi năm em đều duỗi 2 lần nhưng mà riết làm biếng quá nên rút lại mỗi năm gần tết thì duỗi 1 lần thôi ạ, tính đến nay cũng được 7-8 năm rồi ạ 😭😞 
Mỗi lần tết đến nhìn các bạn nữ, các chị gái xinh đẹp ai cũng đều thay đổi kiểu tóc trông xinh lắm nhìn mê lắm ạ, nhìn lại tóc mình thì ôi thôi chỉ được duỗi thôi chứ không làm được kiẻu gì ạ vì tóc xoăn mà nên có làm kiểu nào thì nó cũng trở về tóc xoăn thôi ạ 😪 Em thật sự khá buồn lắm ạ, ai cũng nói muốn có tóc xoăn như em đâu có dễ nhưng mà không ai biết mỗi lần đi chơi đi tiệc tùng gì đó em đều rất mệt khi tóc mình không làm được gì cả vì nó xoăn từ trán đến ót luôn, mỗi lần xả tóc ra là nó phồng lên trông rất khủng khiếp luôn các chị ạ 😭 
Tết năm nay em định để tóc xoăn luôn nhưng mà bây giờ tóc con đang bắt đầu ra và em bắt đầu nản rồi, chắc em phải quay lại todc duỗi tiếp đây ạ 😢😂😰</t>
  </si>
  <si>
    <t>2019-11-18 05:33:27</t>
  </si>
  <si>
    <t>100041874433045</t>
  </si>
  <si>
    <t>có ai bị trường  hợp như mình không ạ 😞 trước có xỏ khuyên hai lỗ một lỗ Helix và Daith thì  Sau một tuần kiêng cử + vệ sinh = nước muối sinh lý + uống kháng sinh thì mình thấy hai lỗ đã lành hẳn , mình vẫn vệ sinh tới ngày thứ 10 luôn . Lỗ Daith thì đã lành hẳn và ko có vấn đề gì , tuy nhiên lỗ Helix sau 10 ngày đã lành thì một khoảng thời gian sau lại bị đông cứng chổ xỏ , xong chảy dịch , mưng mủ , sưng to .... mình cũng đã vệ sinh thường xuyên nhưng thấy ko có dấu hiệu bớt . ko biết có phải sẹo lồi luôn r ko nữa 😞 Stress dã man . 
#XỏKhuyên #hỏi_đáp</t>
  </si>
  <si>
    <t>2019-12-04 09:11:07</t>
  </si>
  <si>
    <t>Hồ Đăng Thư</t>
  </si>
  <si>
    <t>100009513112393</t>
  </si>
  <si>
    <t xml:space="preserve">#hỏi_đáp #XỏKhuyên </t>
  </si>
  <si>
    <t>Đây là môi e vào mùa đông, các chị e cứu vãn bờ môi e với hic.</t>
  </si>
  <si>
    <t>2019-12-09 02:48:53</t>
  </si>
  <si>
    <t>Đức Hoàng</t>
  </si>
  <si>
    <t>100015154451533</t>
  </si>
  <si>
    <t>#tuvan
Chào mn, em sn 2k1 đang là sv năm nhất. Từ nhỏ em đã tự ti vì làn da đen thui của mình. Tông da của em là màu nóng, da ko đều màu, mặc quần áo cũng khó chọn. Em đang muốn nhuộm tóc nhưng cũng ko biết nên chọn màu gì. Mn cho em xin lời khuyên nên dùng sản phẩm dưỡng toàn thân nào để da đều màu hơn? Gợi ý một số đồ make up cho đứa da sậm màu như em. Thâm bẩm sinh ở vùng cổ có cách nào trị mà đỡ tốn kém ko ?Vì em vẫn còn là sv thôi ạ.</t>
  </si>
  <si>
    <t>2019-12-11 13:18:36</t>
  </si>
  <si>
    <t>Кристина Вероника</t>
  </si>
  <si>
    <t>100042019741157</t>
  </si>
  <si>
    <t>#ask #utrang
Mọi người cho em xin ít review về ủ trắng này với ạ
Tuổi 15 thì có dùng được không ạ
Em camon</t>
  </si>
  <si>
    <t>2019-09-19 15:31:52</t>
  </si>
  <si>
    <t>Giang Văn Mây</t>
  </si>
  <si>
    <t>100023185432288</t>
  </si>
  <si>
    <t xml:space="preserve">#utrang #ask </t>
  </si>
  <si>
    <t>Mọi người ơi 😢 
Giúp em với lúc đầu ngã xe bị sẹo lồi ngay đầu gối em đã đi cắt sẹo thẩm mỹ tại Spa. Họ nói ngay gối nên thiếu da phải cắt như vậy mới đủ da..xong rồi em cử ăn tuyệt đối 2 tháng nhưng bây giờ sẹo lại bắt đầu hình thành và lồi theo chữ H. Lại tiếp tục sẹo hình khác 😭
Cả năm nay rồi em tự ti chẳng mặc được đồ ngắn ra đường . 
Mọi người có cách trị nào hay thuốc trị nào chỉ giúp em với . 
Sẹo như vậy mãi khổ tâm lắm mọi người ơi .
Mong mọi người giúp đỡ !
Cảm ơn mọi người 
Cảm ơn  ad duyệt bài 😢</t>
  </si>
  <si>
    <t>2019-10-17 06:57:21</t>
  </si>
  <si>
    <t>Ngọc Mỹ</t>
  </si>
  <si>
    <t>100005700035245</t>
  </si>
  <si>
    <t xml:space="preserve">
#Phoido
Chào m.n. E 42kg, cao 1m57. Nhìn như cây que, đã v da còn ngăm nữa. Nhờ m.n tư vấn cho e cách phối đồ nhìn cho đỡ gầy 1 xíu. E có con nhỏ nên ra đường hầu như chỉ mặc quần dài áo thun thôi.
Hình minh hoạ</t>
  </si>
  <si>
    <t>2019-09-05 14:34:12</t>
  </si>
  <si>
    <t>100011662461724</t>
  </si>
  <si>
    <t xml:space="preserve">#Phoido </t>
  </si>
  <si>
    <t>Chào mọi người ✌🏻 Đây là tóc hiện tại của em . Cực kì nhiều tóc con, tóc rất nhiều . Cái này chắc do di chuyền . Vấn đề ở chỗ tóc e rất lâu dài . E cắt ngang lớt phớt vai gần 2 năm trước giờ chỉ dài hơn tầm 15cm thuiii (cột lên ngắn như hình) 😭 trong thời gian nuôi tóc e cắt đúng 1 lần . Mọi người chỉ e cách cho tóc mau dài với . Thiệt sự là mê tóc dài lắm . Lỡ ngu dại giờ tóc kh dài rất là bùn luôn á =(((</t>
  </si>
  <si>
    <t>2019-12-13 12:03:17</t>
  </si>
  <si>
    <t>#Help #Cobe
Có cách nào trị dứt điểm viêm nhiễm nấm cô bé không ạ? Em bị 4-5 lần rồi cứ tái đi tái lại thật sự nản và stress lắm ạ :((. Em giữ vệ sinh và quần chip rất kĩ rồi mà vẫn bị nữa. Mọi người giúp em với :((
P/s: cám ơn mọi người ạ &lt;3</t>
  </si>
  <si>
    <t>2019-11-05 10:11:18</t>
  </si>
  <si>
    <t>Tuệ Nhi</t>
  </si>
  <si>
    <t>100024662288794</t>
  </si>
  <si>
    <t xml:space="preserve">#Cobe #Help </t>
  </si>
  <si>
    <t>#ask #tocbac
Ở đây có bác nào bị tóc bạc và đã chữa khỏi không ạ? Chả là em bắt đầu từ năm 2 đại học tóc em bị bạc quá, chiếm khoảng 70%. Nếu vài tháng chấm chân thì rất hại sức khỏe. Kính mong các bác có phương pháp nào hay thì mách em với chứ con gái hai mấy tuổi đầu mà bạc quá trời, đi đâu người ta cũng quở.</t>
  </si>
  <si>
    <t>2019-03-07 10:26:15</t>
  </si>
  <si>
    <t>Tạ Anh</t>
  </si>
  <si>
    <t>100009123239440</t>
  </si>
  <si>
    <t xml:space="preserve">#tocbac #ask </t>
  </si>
  <si>
    <t>Mong ad duyệt bài ạ!
Hi mọi người!
Đây là tình trạng da của mình hiện tại, da khô hơi sần, có vài lớp da bong tróc. Mụn ẩn, thâm và lỗ chân lông to, mụn đầu đen ở mũi nhiều mặc dù tẩy tế bào chết 2lần/tuần và mình chụp cam thường ạ. 
Xưa giờ mình ko bao giờ skincare chăm sóc da mặt, chỉ make up rồi tẩy trang + sửa rửa mặt thôi ạ và cứ nghĩ da mình như vậy là ổn rồi. Nhưng từ khi vào nhóm thấy mng chăm sóc da nên cũng xem lại thì thấy da mình bắt đầu xấu dần đi, nhất là vào mùa đông - độ C như thế này. Nên mới mày mò tham khảo mng trong nhóm các sản phẩm rồi đi mua những sample về dùng thử nhưng cũng ko thấy cải thiện gì mấy. Da khô vẫn hoàn khô, rồi còn nổi thêm vài nốt mụn đỏ li ti. Nên hnay mới dám lên đây nhờ mng chỉ dẫn xem mình nên xài sản phẩm nào cho phù hợp ạ! Tyou mng trước ạ 💋
#skincare#dakho</t>
  </si>
  <si>
    <t>2019-12-05 08:57:28</t>
  </si>
  <si>
    <t>100005842446602</t>
  </si>
  <si>
    <t xml:space="preserve">#dakho #skincare </t>
  </si>
  <si>
    <t xml:space="preserve">
Các chị ơi da em bị sần,thâm và lỗ chân lông khá to, mũi bị nhiều mụn nầu đen.
Skincare của em là srm vichy, toner TO và em có xài thêm Snail nữa ạ. Em định đi peel da ko biết có ổn và cải thiện không ạ
Mong mấy chị giúp đỡ cho em với :(((</t>
  </si>
  <si>
    <t>2019-11-29 15:40:22</t>
  </si>
  <si>
    <t>Li Li</t>
  </si>
  <si>
    <t>100004287465923</t>
  </si>
  <si>
    <t>E sn 93 kiểu nhìn bị già ý 
Với khuôn mặt e lên để tóc tn cho hợp ạ  
Mong mn góp ý</t>
  </si>
  <si>
    <t>2019-11-28 14:23:50</t>
  </si>
  <si>
    <t>Thu Hoàn</t>
  </si>
  <si>
    <t>100004679824984</t>
  </si>
  <si>
    <t>Có ai biết bị tình trạng như vậy là bị gì không ạ !? Rất ngứa và có mụn nước nhỏ li ti . Bị cả dưới chân nữa ạ</t>
  </si>
  <si>
    <t>2019-12-06 02:04:04</t>
  </si>
  <si>
    <t>Trần Anh Minh</t>
  </si>
  <si>
    <t>100004205520630</t>
  </si>
  <si>
    <t xml:space="preserve"> #viemlochanlong
- Chào mn cho e hỏi chân e was lông 2 lần lần đầu was xong có bôi mỡ trăng nên k sao lần sau e was nhưng k bôi nữa tại nta nói dùng mỡ trăn bị bít lcl. Sau đó 1 ngày thì chân e bắt đầu nổi hột li ti. Rồi tới nay được hơn 1 tháng thì nó nặng như này. E k biết làm gì hết 😭 tắm bã cf r mà cũng k hết. Ai có cách gì chỉ e với ạ. Với chị nào biết tẩy tbc nào sạch chỉ giúp e với ạ. E cảm ơn 🖤</t>
  </si>
  <si>
    <t>2019-12-20 09:34:55</t>
  </si>
  <si>
    <t>Phạm Lam</t>
  </si>
  <si>
    <t>100037874291811</t>
  </si>
  <si>
    <t xml:space="preserve">#viemlochanlong  </t>
  </si>
  <si>
    <t>Mọi người ơi tin được k. Ảnh đầu là e mới đi nặn mụn cách đây 1 tuần đấy ạ. Ngày trước k có cái mụn nào. Từ hồi đẻ xong một thời gian thì mặt e bị lên mụn ẩn ở trán,giờ xuống cả má với cằm. Da e da dầu. Hôm trước e có chót ngu mua mai thảo mộc về may e dùng có 1 hôm thì bạn e bảo cái đấy bị bốc phốt nhiều lắm. Bạn e giới thiệu e vào nhóm mình e thấy rất nhiều bài viết chia sẻ cách trị mụn e tham khảo may mà hợp nên mặt e cũng đỡ mụn đi. Giờ mặt e bị thâm mọi người chỉ e cách nào trị thâm với ạ. Chứ sắp đến tết rùi e hoang mang quá 😭😭😭
Mong ad duyệt bài giúp e với ạ. 
#mặtmụn #trịthâm</t>
  </si>
  <si>
    <t>2019-12-02 06:07:03</t>
  </si>
  <si>
    <t>Thảo Thu Thảo</t>
  </si>
  <si>
    <t>100008992836189</t>
  </si>
  <si>
    <t xml:space="preserve">#trịthâm #mặtmụn </t>
  </si>
  <si>
    <t>các chị có ai sử dụng các sản phẩm chăm sóc da của Muji chưa ạ ,cho em xin review với ❤❤❤</t>
  </si>
  <si>
    <t>2019-05-05 12:19:16</t>
  </si>
  <si>
    <t>Việt Sương</t>
  </si>
  <si>
    <t>100007329491414</t>
  </si>
  <si>
    <t>#help #lamtoc Mọi người cho em hỏi tóc như ảnh là làm kiểu nào vậy ạ? Ai giỏi dưỡng tóc uốn cho em xin bí quyết k vào nếp không bị khô với. E uốn lần nào củng phải cắt bỏ hết mà vẫn ham 🥶</t>
  </si>
  <si>
    <t>2019-11-28 14:24:47</t>
  </si>
  <si>
    <t>Hong Be</t>
  </si>
  <si>
    <t>100013848380300</t>
  </si>
  <si>
    <t xml:space="preserve">#lamtoc #help </t>
  </si>
  <si>
    <t xml:space="preserve">#viemlochanlong #help #skincare
Xin chào mọi người , tình hình là em bị viêm lỗ chân lông từ tận mùa hè và nó dai dẳng đến giờ luôn ạ :((( 
Sang mùa đông thì nó lan rộng ra chứ không bớt đi nên mấy hôm nay em hốt hoảng lắm. Da cánh tay em cứ sần sùi thô ráp , như kiểu bị nổi da gà ấy ạ :((( cho em hỏi có ai trong gr đã từng bị và cách chữa là gì ạ huhuhu 
</t>
  </si>
  <si>
    <t>2019-12-05 14:15:13</t>
  </si>
  <si>
    <t>Nguyễn Giang</t>
  </si>
  <si>
    <t>100015042971292</t>
  </si>
  <si>
    <t xml:space="preserve">#skincare #help #viemlochanlong </t>
  </si>
  <si>
    <t>Các m có quan tâm về sữa ong chúa không? 
Lúc trước tao có mua xài nhưng không thường nên cũng không thấy tác dụng nhiều vì da tao dạng da đẹp nên t xài nhiều loại mặt nạ lắm !
Rồi chuyện gì đến cũng đến 24 tuổi tao bị thuỷ đậu. Mặt tao tan nát hết, t bệnh 1 tuần xin nghỉ thêm 2 tuần để dưỡng da 😤😤
Tao bắt đầu tập xong mặt bằng sả, cam mỗi tuần 3 lần. Tao đắp sữa ong chúa 4 lần 1 tuần. Trong 2 tuần đó tao không xài bất cứ kem gì chỉ rửa nước muối + lau sạch mặt. Sau 2 tuần da tao bắt đầu lành, tao đắp kèm nghệ + sữa chua. 
Bây giờ thì da tao đẹp hơn xưa và tao vẫn chăm đắp sữa ong chúa
Các m có thể mua ở các cửa hàng bán đồ Đà Lạt í, giá thì cũng k đắt lắm 😛
#tiplamdep
Mong ad duyệt bài ạ</t>
  </si>
  <si>
    <t>2019-05-06 07:11:52</t>
  </si>
  <si>
    <t>Dâu Ngọt</t>
  </si>
  <si>
    <t>100034395311889</t>
  </si>
  <si>
    <t xml:space="preserve">#tiplamdep </t>
  </si>
  <si>
    <t>Ai có cách j trị mụn k ah ,e bị mụn từ lúc bôi dầu dừa lên mặt mà dùng srm e100 nha đam mà k sạch e bây h đã ngưng dùng dầu dừa 2 tháng r và bây h e cx chuyển sang srm hada labo(s từ khi dùng srm hada labo thì lúc tdc k thấy da chết đâu,có ai như e k?)cho e hỏi mấy cái nốt đen trên chán là cái đấy ạ ở hai chỗ má rìa cánh mũi cx có 
Còn mụn ở cằm e thì lm thế nào ạ?
#mong_ad_duyệt_hộ_e</t>
  </si>
  <si>
    <t>2019-12-13 12:55:31</t>
  </si>
  <si>
    <t>Đn Yến</t>
  </si>
  <si>
    <t>100024010992235</t>
  </si>
  <si>
    <t xml:space="preserve">#mong_ad_duyệt_hộ_e </t>
  </si>
  <si>
    <t>#duongdatay
Mọi người cho em hỏi làm sau để tay bớt nhăn và khô được không ạ. Khung xương tay em vốn đã xấu rồi mà da mấy chỗ khớp còn bị nhăn, da tay khô nựa ạ, em đã dùng qua thử mấy loại dưỡng da tay rồi mà chẳng xi nhê gì, tẩy tế bào chết thì lúc vừa tẩy xong tay mịn lắm nhưng mà được tầm 10 sau thì đâu lại vào đấy😩, em thích chơi guitar nhưng mà tay em xấu nên mỗi lần chơi trước đám đông là cứ bị ngại ấy ạ😢😢, hôm bữa còn bị một bạn nam trong lớp chê tay em tay con gái mà thô quá😭, buồn quá mọi người ạ, help em vớiiiiiii🥺</t>
  </si>
  <si>
    <t>2019-12-23 11:04:37</t>
  </si>
  <si>
    <t>Trâm Võ</t>
  </si>
  <si>
    <t>100038526617882</t>
  </si>
  <si>
    <t xml:space="preserve">#duongdatay </t>
  </si>
  <si>
    <t>chào mọi người ạ👋🏻
em đang rất đau đầu với cái sẹo trên mặt của mình, em cảm thấy đi xin việc rất khó khăn. Đặc biệt ngành nghề của em làm về dịch vụ cần vẻ ngoài rất nhiều. Em khá tự ti về vết sẹo này, không biết mọi người có biết cách nào trị dứt hẳn hoặc làm mờ đi phần nào không ạ. Sẹo này em bị lúc nhỏ, em xin cảm ơn mọi người ạ💕</t>
  </si>
  <si>
    <t>2019-12-11 13:21:07</t>
  </si>
  <si>
    <t>Nguyễn Trần Yến Nhi</t>
  </si>
  <si>
    <t>100026958410921</t>
  </si>
  <si>
    <t>mn ơi hiện tại tự nhiên bên mắt trái em xuất hiện đốm đó, lâu lâu e cảm giác bị cộm, e nghĩ do mỏi mắt nên mới có cảm giác như z,e cận bên mắt trái 3 độ lận, cái này có trị đc, hay có nguy hiểm hong ạ mn giúp em với huhu e cảm ơn 😢</t>
  </si>
  <si>
    <t>2019-11-26 15:24:34</t>
  </si>
  <si>
    <t>Uyểnn Nghi</t>
  </si>
  <si>
    <t>100022756693376</t>
  </si>
  <si>
    <t>Anh chị e xin chút ý kiến ạ..😞Vẫn là vẫn đề mụn này làm sao để 0 mọc lại. Cục to e cậy ui nhổ ra thành cục kèm Máu tưởng hết tháng sau lại mọc như cũ.Còn .Dưới ngón nó ra như các cục nhân nhỏ nhỏ ý Ảnh hơi mờ ạ....😔E chả biết bệnh j ..mong Anh chị tư vấn dùm e..e năm nay  24 tuổi giới tính: Nam</t>
  </si>
  <si>
    <t>2019-12-24 10:44:52</t>
  </si>
  <si>
    <t>E chua bao giờ bị mụn nào to như vậy, bên trong có mủ nhưng Ko có còi mụn, e bị được 1 tuần r, thấy nó cũng nhỏ lại nhưng ít lắm
Mọi người cho r hỏi đó là mụn gì vs lại cách điều trị, e cám on nhiều
#ask #mụn</t>
  </si>
  <si>
    <t>2019-11-29 04:06:39</t>
  </si>
  <si>
    <t>Phạm Uyên</t>
  </si>
  <si>
    <t>100034825806583</t>
  </si>
  <si>
    <t>Cho e hỏi dưới cằm lên mụn bọc thường xuyên thì nên sd sản phẩm nào bây giờ ạ :((</t>
  </si>
  <si>
    <t>2019-12-12 04:22:21</t>
  </si>
  <si>
    <t>Đoan Trinh</t>
  </si>
  <si>
    <t>100004003886916</t>
  </si>
  <si>
    <t>Mng ơi cho em hỏi mặt em hiện tại là đang bị mụn gì vậy ạ 
#trimun</t>
  </si>
  <si>
    <t>2019-12-09 00:29:15</t>
  </si>
  <si>
    <t>Da em thuộc loại da dầu,nhiều mụn đầu đen, lỗ chân lông to. Mõi lần em soi gương là em muốn khóc vậy 😞 
Mấy chị hướng dẫn em cách skincare với ạ 🥺</t>
  </si>
  <si>
    <t>2019-12-20 09:36:32</t>
  </si>
  <si>
    <t>Chị em ơi, em nay 23t nhưng bị vết  chân chiêm ở mắt nhiều lắm, cười lên thấy rõ lắm nhưng em lại hay cười cơ😂
Chị em giúp em có kem nào dưỡng da mắt tốt và bài tạo gì trị vết nhăn này ko.
Em cảm ơn ạh</t>
  </si>
  <si>
    <t>2019-11-25 11:29:28</t>
  </si>
  <si>
    <t>Jenni Phạm</t>
  </si>
  <si>
    <t>100033929955161</t>
  </si>
  <si>
    <t>Mọi người oi da e bị ảnh huong do kem trộn bây giờ dùng kem dưỡng j để phục hồi da lại ạ
#đepchanhxa#góc tv#</t>
  </si>
  <si>
    <t>2019-12-21 05:14:43</t>
  </si>
  <si>
    <t>100040805316396</t>
  </si>
  <si>
    <t xml:space="preserve">#góc #đepchanhxa </t>
  </si>
  <si>
    <t>Dạo gần đây mặt mình bị nổi mụn này rất rất nhiều, lúc đầu mình nghĩ chắc do mình bị ảnh hưởng thời tiết nên mới nổi, nhưng đến hôm nay mình nghĩ lại không biết có phải mình bị dị ứng mỹ phẩm không nữa ???? mình đang vừa sợ vừa buồn.</t>
  </si>
  <si>
    <t>2019-12-09 14:48:50</t>
  </si>
  <si>
    <t>Ngọc Yến</t>
  </si>
  <si>
    <t>100015100817871</t>
  </si>
  <si>
    <t xml:space="preserve">
#tuvan
Đây là da mình hiện tại
Lcl mình bị to 😞 các a/c tư vấn giúp mình giờ làm sao cho lcl thu hẹp bớt lại ạ 😞 nhìn như miệng giếng em cũng tự ti lắm</t>
  </si>
  <si>
    <t>2019-12-19 00:58:19</t>
  </si>
  <si>
    <t>Da mặt em như vầy thì làm sao đây ạ ? Các chị giúp em với. Em tự ti quá :((</t>
  </si>
  <si>
    <t>2019-12-15 03:18:25</t>
  </si>
  <si>
    <t>Đình Chu</t>
  </si>
  <si>
    <t>100042463742668</t>
  </si>
  <si>
    <t>Hi mọi người! 
Không biết có ce nào trong này bị tình trạng chảy nước mắt sống không ạ? Em bị tầm 1 năm trở lại đây, thường xuyên nhất là vào ban đêm ạ. Cứ nằm nhắm mắt là nước mắt tự chảy xuống, nhiều đêm ướt cả tóc ấy. Không biết là vấn đề này mình có cần đi kiển tra hay không hay là có cáh nào trị được không ạ? 
#chaynuocmatsong
#help</t>
  </si>
  <si>
    <t>2019-12-09 00:28:54</t>
  </si>
  <si>
    <t>Hồng Diệp</t>
  </si>
  <si>
    <t>100023634742293</t>
  </si>
  <si>
    <t xml:space="preserve">#help #chaynuocmatsong </t>
  </si>
  <si>
    <t>Ở đây có mem nào đã và đang đắp mn sữa ong chúa không ạ. Khi vừa đắp lên có bị cảm giá ngứa lăn tăn k, giờ m đắp xong rồi thấy rát cả mặt ấy.K những thấy rát mà còn ngứa, bị đỏ. Không biết nó là dị ứng hay n sữa ong chúa vốn dĩ vẫn vậy ạ. 
Mới mua về dùng nên còn hơi băn khoăn chị em ạ. 😥</t>
  </si>
  <si>
    <t>2019-11-17 09:32:27</t>
  </si>
  <si>
    <t>Mai Panda</t>
  </si>
  <si>
    <t>100012813375391</t>
  </si>
  <si>
    <t>em để tóc ngắn 4 năm rồi nhưng dạo gần đây đột nhiên hứng thú với tóc dài 😞 em tính di nối tóc (hình 1 là em đội tóc giả) mà nghe nói rụng tóc với lại em tóc tơ nên ngta bảo ko nên nối. Mng có thể chia sẻ các làm tóc mọc nhanh hơn được ko ạ? Tóc em thuộc dạng lâu mọc lắm mặc dù em cứ 1-2 ngày là gội 1 lần. em cảm ơn ạ</t>
  </si>
  <si>
    <t>2019-12-20 13:34:23</t>
  </si>
  <si>
    <t>Lê Na</t>
  </si>
  <si>
    <t>100037295028975</t>
  </si>
  <si>
    <t>Mọi người trong nhóm có ai xăm hình mà đã từng dùng kem che hình xăm chưa ? Review cho mình 1 vài loại chống nước tốt vớiii. Sắp đi biển với ba mẹ nên cần che ý 😢 hình xăm mình ở ngực - xăm màu khá to với phía sau lưng nữa !</t>
  </si>
  <si>
    <t>2019-12-02 13:58:58</t>
  </si>
  <si>
    <t>Hương Annie</t>
  </si>
  <si>
    <t>100007039715815</t>
  </si>
  <si>
    <t>Cả nhà ai dùng cốc nguyệt san rồi cho em xin ý kiến đi ạ . 
 Em định dùng mà sợ có cộm , với cả cứ móc ra móc vào thì thấy ghê ghê . 
 Với cả cái miệng cốc nó hút nhiều vào niêm mạc bên trong đó thì có bị ảnh hưởng niêm mạc ko cả nhà nhỉ ?
Em cám ơn ạ .
#cocnguyetsan</t>
  </si>
  <si>
    <t>2019-11-10 13:36:02</t>
  </si>
  <si>
    <t xml:space="preserve">#cocnguyetsan </t>
  </si>
  <si>
    <t>#ask
#thâm
Ai đó có thể cứu rỗi cuộc đời em được không ạ ??!
Hơn 25 nồi bánh chưng nhưng chân em cứ cố hết cái này mờ đến cái khác lại lăn tăn lên. 1 nốt bé thành nốt lớn rồi thành sẹo thâm xì. Em đau lòng ngần ấy năm ra đường chỉ mặc duy nhất quần dài. Chưa bao h diện váy vóc các kiểu với hội chị em được!!!? 
Ai đó có cao kiến gì giúp em được không ạ ??! Từ kem nghệ , mài nghệ , dưỡng thể gì đó em dùng rồi nhưng k biết có xi nhê gì không. Thật sự nó vẫn bớt nhưng 1 nốt bèo thì 1 năm đến 2 năm nó mờ đi vì chưa bao h chân em ra nắng dù chỉ là 1 tí nên 2 chân trắng nõn thẹo lại càng nổi bần bật.
Help me !!!! Em đội ơn các anh chị bằng hữu !</t>
  </si>
  <si>
    <t>2019-09-20 23:26:26</t>
  </si>
  <si>
    <t>100036294668777</t>
  </si>
  <si>
    <t xml:space="preserve">#thâm #ask </t>
  </si>
  <si>
    <t>Tóc em mỗi lần gội đầu là rụg như mưa luôn. Ai có biết cách nào cho tóc mọc dầy lên đc không ah. Em cám ơn 😇😇😇</t>
  </si>
  <si>
    <t>2019-11-25 13:59:54</t>
  </si>
  <si>
    <t>Trangg Títt</t>
  </si>
  <si>
    <t>100013883707085</t>
  </si>
  <si>
    <t>Cho em hỏi mấy chị thông thái ạ 😊
Em 23t, đó giờ em không xài mỹ phẩm gì hết chỉ toàn rửa mặt bằng nước thui. Dạo này bạn bè quỡ là da bị nám và đen mới bắt đầu để ý đến da mình. 
Da em là da bình thường hơi khô, bị nám và lỗ chân lông to, em xài các sp như v là ổn chưa ạ??? Và các bước shincare v là đúng chưa mọi người ^^</t>
  </si>
  <si>
    <t>2019-11-21 07:31:49</t>
  </si>
  <si>
    <t>Thảo Vương</t>
  </si>
  <si>
    <t>100004833069985</t>
  </si>
  <si>
    <t>#ask
E đang tìm hiểu viên trắng da max white này có chị nào dùng chưa ạ. Ai dùng rồi cho e xin review với vì nghe quảng cáo cũng ham hố 🥰</t>
  </si>
  <si>
    <t>2019-08-03 08:59:04</t>
  </si>
  <si>
    <t>Quỳnhh Nhi</t>
  </si>
  <si>
    <t>100002914691851</t>
  </si>
  <si>
    <t>#ask  #cachchamsocda
1- chào m.n em 17t da mặt e là loại da hổn hợp chỉ có dầu bên cánh mũi, trán và vùng chữ T, da hơi ngăm từ nhỏ giờ em chưa dùng kem bao giờ ( em không chăm sóc da mặt kĩ lắm, chỉ dùng sữa rửa mặt sáng tối ) nên da khá khoẻ... nếu bây giờ em muốn trắng lên kiểu tự nhiên trắng hồng ý thì làm cách nào ạ ( không cần trắng nhanh đâu, chậm mà chắc là được ). 
2- Với dạo trước e dùng sữa rửa mặt pond tầm 1-2 năm gì đó thì da khá khoẻ ( nhưng nghe m.n nói pond bào da nên em ngừng )... dạo này đổi qua hazeline nghệ thì da có vẻ hơi khô, rửa mặt mà chà nghe tiếng ken két luôn í... mong m.n chỉ em loại sửa rửa mặt nào kiềm dầu mà không bị khô quá giúp em 
3- Da em bị nổi mấy cái giống như mụn li ti và vài đốm đốm ở mặt... làm sao để hết đây ạ ?
4- bọng mắt em hơi to, dạo hè thức đêm hơi nhiều nên 2 bọng mắt vừa to vừa đen như gấu, mà còn xuất hiện vài nếp nhăn mờ nhờ... bây giờ không lo em sợ mai mốt chưa già mà mặt đã có nếp nhăn quá... m.n chỉ em vài tip bớt thâm với ngăn nếp nhăn...
5- em cảm thấy bây giờ bắt đầu chăm sóc da mặt là vừa... mọi người chỉ em vài bước cơ bản để chăm sóc da mặt với ạ... e cảm ơn ạ.
#chămsocda
#trithammat
#Đepchanhsa</t>
  </si>
  <si>
    <t>2019-11-30 15:12:29</t>
  </si>
  <si>
    <t>Trần Ngọc Khánh An</t>
  </si>
  <si>
    <t>100022152497715</t>
  </si>
  <si>
    <t xml:space="preserve">#Đepchanhsa #trithammat #chămsocda #cachchamsocda #ask </t>
  </si>
  <si>
    <t xml:space="preserve">
Em mới mua lọ mặt nạ ủ môi này mà không biết giả hay thật... Mấy chị em am hiểu thì cho em biết với ạ</t>
  </si>
  <si>
    <t>2019-10-28 05:53:32</t>
  </si>
  <si>
    <t>Tống Thị Kim Gấm</t>
  </si>
  <si>
    <t>100036467166999</t>
  </si>
  <si>
    <t>#ask
Chào mọi người ạ
Cho em hỏi Oriflame phải đồ trộn ko ạ 
Em thấy có chị trong gr bảo Oriflame là đa cấp nên muốn hỏi</t>
  </si>
  <si>
    <t>2019-06-22 12:40:56</t>
  </si>
  <si>
    <t>Trúc Maii</t>
  </si>
  <si>
    <t>100014303772629</t>
  </si>
  <si>
    <t>Mọi ng cho e tham khảo loại phấn nước nào che khuyết đc tốt mà k bay nhah k ạ. Da e thuộc loại da dầu ạ. Tiện mng cho e xin địa điểm để mua hàg luôn đc k . Tại e đl về muộn k có tgian ạ.</t>
  </si>
  <si>
    <t>2019-11-27 07:29:24</t>
  </si>
  <si>
    <t>Ngọc Hiền Trần</t>
  </si>
  <si>
    <t>100011420725732</t>
  </si>
  <si>
    <t>#ask #tatugroup 
Mọi người cho em hỏi, đã có ai dùng sản phẩm hiệu này chưa ạ??? Em nhìn thấy nó cứ giống mấy loại "kem hot girl" ấy ạ. Mà cũng không nghe ai nói tới hãng này hay review gì cả...</t>
  </si>
  <si>
    <t>2019-12-13 03:30:02</t>
  </si>
  <si>
    <t>100024230014680</t>
  </si>
  <si>
    <t xml:space="preserve">#tatugroup #ask </t>
  </si>
  <si>
    <t>Tay bà ngoại mình bình thường cứ bị nứt khô ra hết như vậy và nứt ra thì đau, nên dùng gì cho đỡ tình trạng này được mọi ng ơi
(Cái trắng kia là bà mình bôi vitamin E lên cho đỡ đau) 
Mong admin duyệt bài giúp mình ạ 🙆‍♀️</t>
  </si>
  <si>
    <t>2019-11-25 08:31:01</t>
  </si>
  <si>
    <t>Thuỳ Vân Đặng</t>
  </si>
  <si>
    <t>100011313796190</t>
  </si>
  <si>
    <t>Mình vừa mua chai bio xanh này để tẩy trang, vừa xong chưa kịp rửa là ngứa như kim chích không chịu nổi. Mình nên xài tiêp hay nhưng ạ.</t>
  </si>
  <si>
    <t>2019-12-18 11:56:54</t>
  </si>
  <si>
    <t>Bùi Ngọc Hương</t>
  </si>
  <si>
    <t>100008068928185</t>
  </si>
  <si>
    <t>@depchanhsa @moiday 
Có cách nào cho môi bớt dày hông . Cắt em ngán quá tại thấy có nhiều ng bị lổi 😭 em hay ttbc với nạ môi dưởnv vaseline luôn chăm môi lắm mà sao đánh môi kh lên màu chuẩn . Da em thuộc ngâm ngâm có màu nào hợp kh ạ ( em chụp cam thường ip nên hơi xấu 😂). Duyệt giúp em với ad ạ ❤️❤️</t>
  </si>
  <si>
    <t>2019-11-30 11:40:10</t>
  </si>
  <si>
    <t>100011771425955</t>
  </si>
  <si>
    <t>#ask #bnbg #banobagi
Mấy chị thông thái cho em hỏi cái nào fake cái nào real vs ạ
- Em mua BNBG ở medicare, mùi như ngày xưa vẫn sai giá 25k
- Mua Banobagi trên shopee auth 87 (shop siêu lớn), em mua quen luôn ý, mùi hắc kinh khủng. Ib hỏi shop bảo mẫu mới. Em mua rẻ có 16k thui ý
Huhu em không biết đường đâu mà lần luôn á.
Edit 1: Thiệt là em tức quá mà,cái banobagi mùi nó ko khác gì mùi keo dán sắt, Ib shop lại lần nữa, nó bảo 2 nhãn khác nhau. ĐM thiệt chứ lúc đầu thì kêu phiên bản mới em mới mua, giờ thì lật lọng bảo 2 thương hiệu khác nhau. 
Chị em vào tẩy chay nó hộ em với ạ</t>
  </si>
  <si>
    <t>2019-05-17 04:58:29</t>
  </si>
  <si>
    <t>Ngọc Ly Ly</t>
  </si>
  <si>
    <t>100015679089528</t>
  </si>
  <si>
    <t xml:space="preserve">#banobagi #bnbg #ask </t>
  </si>
  <si>
    <t xml:space="preserve"> #dhctrangda #dhcvitaminc #review 
Đã ai uống viên trắng da và viên vitamin C của DHC chưa ạ??? Thấy bạn mình bảo uống hai cái này kết hợp ok nhưng mình chưa dùng nên không biết thế nào. Xin review của mọi người trước ạ</t>
  </si>
  <si>
    <t>2019-08-18 06:53:44</t>
  </si>
  <si>
    <t>Nguyễn Thị Phương Thuý</t>
  </si>
  <si>
    <t>100008247900606</t>
  </si>
  <si>
    <t xml:space="preserve">#review #dhcvitaminc #dhctrangda  </t>
  </si>
  <si>
    <t>#tóc
Em xin chào mọi người, em máu xấu nên tóc bạc rất nhiều , em mới 19t thôi ạ , nay tình cờ vạch vạch tóc ra thấy cả một nùi tóc bạc, chân trắng luôn, lúc trước em cũng có nhuộm tóc càng ngày nó cứ ra chân tóc bạc í ạ , em sợ chục năm nữa em bạc trắng đầu luôn quá, cho em hỏi có chị nào trong đây bị giống em đã uống thuốc ntn để nó bớt ra chân bạc ko ạ. Em xin cảm ơn</t>
  </si>
  <si>
    <t>2019-10-28 16:29:07</t>
  </si>
  <si>
    <t>100036554896407</t>
  </si>
  <si>
    <t xml:space="preserve">#tóc </t>
  </si>
  <si>
    <t xml:space="preserve">Em bị tác dụng không mong muốn trong 1 loại kháng sinh ạ nên mụn e cứ dậy dậy lên như này!!
Mong anh chị trong group có phương pháp hỗ trợ e với cảm ơn các anh chị. Cảm ơn ad đã duyệt bài
</t>
  </si>
  <si>
    <t>2019-11-30 02:13:43</t>
  </si>
  <si>
    <t>#gócnhaycam #vùngnach
Chào m.n e là mẹ bỉm sữa , từ lúc có bầu nách e bắt đầu có mùi . E đã dùng rất nhìu loại trị hôi mà vẫn ko hết . E có sài loại của hàn quốc ( dưới hình ) mà vẫn ko khỏi . M.n ai đã từng sử dụng sản phẩm hay thuốc nào để trị dứt diểm ko ạ . Mỗi lần e ra đường e phải dùng tới lăn nách , chứ ko thôi e tự ti kinh khủng 😭😭 .</t>
  </si>
  <si>
    <t>2019-12-15 23:52:00</t>
  </si>
  <si>
    <t>Hậu Trần</t>
  </si>
  <si>
    <t>100011928042911</t>
  </si>
  <si>
    <t xml:space="preserve">#vùngnach #gócnhaycam </t>
  </si>
  <si>
    <t>Em đang mún học make cá nhân, tự học tại gia vì hem có tgian đi học lớp ấy 😞 Da e hh thiên dầu và k sáng đều màu, ít kđ. Thì e nên mua những gì của brand nào ah? E cám ơn ạ.</t>
  </si>
  <si>
    <t>2019-11-29 00:21:58</t>
  </si>
  <si>
    <t>Vũ Thùy Linh</t>
  </si>
  <si>
    <t>100001296888760</t>
  </si>
  <si>
    <t>Tóc e như này , vừa dầy vừa đen thì nên làm tóc kiểu gì và nên nhuộm màu gì đẹp ạ ???</t>
  </si>
  <si>
    <t>2019-12-26 00:24:37</t>
  </si>
  <si>
    <t>100010123290041</t>
  </si>
  <si>
    <t>Mong ad duyệt giúp
Chân em bị thâm như vậy cũng lâu rồi. Ai có cách nào giúp làm mờ vết thâm đó đi ko ạ? Chỉ giúp em mới chứ mặc quần đùi hay váy mà lộ mấy cái thâm kia cũng ngại . 😰😰 
Helppppp meeeee</t>
  </si>
  <si>
    <t>2019-12-17 11:10:28</t>
  </si>
  <si>
    <t>Mítt Mítt</t>
  </si>
  <si>
    <t>100009117301974</t>
  </si>
  <si>
    <t>Em hoang mang qá mn ạ , da của em bị mụn ẩn khoảng 2 tháng rồi , em xin mn tip trị mụn hay với ạ , định đi spa mà họ đòi 7tr số tiền khá lớn , nếu tự điều trị được thì tốt qá :((</t>
  </si>
  <si>
    <t>2019-11-21 05:34:23</t>
  </si>
  <si>
    <t>Nguyễn Văn Lê</t>
  </si>
  <si>
    <t>100008198670089</t>
  </si>
  <si>
    <t>Các chị cho e hỏi có loại dưỡng nào cho tóc tơ thưa mỏng tốt Ko ạ
Tiện cho e hỏi các chị có biết thuốc nhuộm tạm nào mà tốt Ko ạ
Màu đen ánh xanh hoặc mấy màu kiểu này ạ</t>
  </si>
  <si>
    <t>2019-12-24 10:45:42</t>
  </si>
  <si>
    <t>Hồng Phúc</t>
  </si>
  <si>
    <t>100017532571978</t>
  </si>
  <si>
    <t>Dạo này mấy pha 9x toàn nhầm 8x nhỉ thì m cũng góp vui 1 tí nha chỉ cho m về lại đúng tuổi 1 tí xíu 
T Sinh năm 95 
Mở shop quần áo khách 8x vào toàn kêu m bằng chị WTF m già vậy sao??? Hỏi mấy người đoán xem Bao nhiu tuổi toan kêu m 88, 90, 86 mới đau lòng! 
Thế là đi xén lại tóc tự nhiên về lại đúng tuổi 9x của m măc dù là 93 🤣 mà thôi cũng đỡ chứ nhập cung với 8x buồn lắm!
Nên ai chê già auto cắt tóc + chăm da + làm mũi là đẹp nha 
Tui chưa có tiền làm mũi nên vẫn hơi phèn</t>
  </si>
  <si>
    <t>2019-12-19 23:21:55</t>
  </si>
  <si>
    <t>Đinh Thảo</t>
  </si>
  <si>
    <t>100015743645693</t>
  </si>
  <si>
    <t xml:space="preserve">
#ask
#toc
Cho em hỏi mọi người ai uống qik hair bị mụn trứng cá không ạ
Em uống 15 hộp rồi, tóc mọc đỡ rụng, không hiểu sao 3 tuần nay em bị mụn trứng cá, mụn bọc quá trời luôn 
Mong mọi người cho em xin chút ý kiến</t>
  </si>
  <si>
    <t>2019-12-02 01:50:18</t>
  </si>
  <si>
    <t>Xin chào mọi người ạ.
Không biết ở đây có ai bị giống mình không. Mình bị tăng tiết mồ hôi từ bé, vài năm gần đây mình có sử dụng thuốc bắc để chữa trị thì thấy cũng đỡ rõ rệt. Vào mùa hè thì mình ra ít mồ hơi hon (chỉ bị khi áp lực, suy nghĩ nhiều...). Nhưng mùa đông thì mình lại ra rất nhiều mồ hôi chân, trời lạnh cuốn chăn kín người (mình ở nước ngoài) nhưng chân lại ướt mèm..., rồi đợt này mình còn bị khô môi, bong da nặng, hay bị sốt nữa mà mọi năm về trước mình không bị... Mọi người từng chữa trị mồ hôi bằng thuốc cho mình hỏi có ai bị tương tự không ạ, mình lo quá. Hic 😢😢. 
Ngoài ra, có bác nào thử điều trị bằng phẫu thuật cho em xin lời khuyên với ạ.
Em cảm ơn ad, cảm ơn m.n ạ.</t>
  </si>
  <si>
    <t>2019-12-13 12:03:32</t>
  </si>
  <si>
    <t>Nguyễn Hà Như</t>
  </si>
  <si>
    <t>100010469649349</t>
  </si>
  <si>
    <t>Có loại kem nào hay mỹ phẩm nào trắng da mặt không mọi người , tay chân trắng mà mặt như bao công 😂😌</t>
  </si>
  <si>
    <t>2019-12-08 08:27:49</t>
  </si>
  <si>
    <t>Lý Kim Nhung</t>
  </si>
  <si>
    <t>100011457814885</t>
  </si>
  <si>
    <t xml:space="preserve">Các chị giúp em với ạ! Hiện tại là em bị mụn liti, mụn viêm, mụn ẩn.... ở trên trán khá nhiều ạ. Không những thế em còn bị mụn ẩn ở hai bên gò mũi nữa. Em có sử dụng detox blan nhưng chỉ giảm mụn đc vài ngày rồi lại nên ( nếu không bôi thường xuyên) em dùng gần hết chai srum rồi nhưng hiệu quả không như ban đầu mà tác hại là lên càng nhiều mụn hơn! :((
Cả nhà tư vấn giúp em em nên sử dụng sản phẩm nào thích hợp ạ! Da em là da khô và nhạy cảm.
</t>
  </si>
  <si>
    <t>2019-11-26 14:27:27</t>
  </si>
  <si>
    <t>Trần Minh Châuu</t>
  </si>
  <si>
    <t>100039259281958</t>
  </si>
  <si>
    <t>nhờ m.n chỉ hộ e cách trị mụn này vs ạ, e mới bị lên cách đây 3 hôm. lúc đầu chỉ 1,2 cái sau nó ra như giờ, e chỉ dùng qua srm và tẩy trang bấy lâu k bị nhưng nay lại xuất hiện ạ😭😭. chế độ ăn của e cũng bình thường, k thức khuya nhưng tự dưng như này thấy hoang mang quá ạ 😭😭😭
nhờ mn tư vấn hộ e vs ạ.
nhờ ad duyệt hộ e ạ, e cảm ơn ạ</t>
  </si>
  <si>
    <t>2019-12-23 08:04:59</t>
  </si>
  <si>
    <t>Hoàng Thu Trang</t>
  </si>
  <si>
    <t>100007101096403</t>
  </si>
  <si>
    <t>#Soida #kemtrộn #cảnhbao 
Dạo này bọn kem trộn mặc áo blouse đi soi da ghê quá mng ạ tội các mẹ không hiểu rõ skincare nên không phân biệt được mỹ phẩm mặt áo blouse nên cứ tưởg là dân tri thức ai ngờ là kem trộn học không biết tới đâu mà như bác sĩ da liễu mấy chị học ngành y chưa dám khoác áo blouse ra khỏi bệnh viện phòg khám đó là quy định vậy mà bọn này ra hẳn chợ😥😥😥Trăm nghìn cái áo blouse học y 3 tháng soi da chợ trời.
Bạn nào có cha mẹ nhớ dặn là đi chợ đừg bị dụ soi da</t>
  </si>
  <si>
    <t>2019-11-18 11:14:22</t>
  </si>
  <si>
    <t xml:space="preserve">#cảnhbao #kemtrộn #Soida </t>
  </si>
  <si>
    <t>#ask
Mọi người có ai biết về sữa này ko ạ. Mình thấy mẹ mình uống bảo là sữa nhập khẩu. Do người quen giới thiệu cho. Nhưng mình đọc thông tin thấy ko giống là hàng nhập khẩu mà tìm trên mạng rất nhiều giá khác nhau, sỉ lẻ, đại lý các kiểu giống như đa cấp vậy. Mẹ mình mua là 1 triệu 2. Mong ad duyệt bài giúp mình ạ.</t>
  </si>
  <si>
    <t>2019-12-08 11:42:07</t>
  </si>
  <si>
    <t>An An</t>
  </si>
  <si>
    <t>100018503771789</t>
  </si>
  <si>
    <t>Em ngoi lên đây mong được duyệt bài ạ.
thực sự e buồn lắm mới đăng lên mong được mọi người trong nhóm ai đã từng bị và trị hết rồi cho e ít lời khuyên hay kinh nghiệm cho khuôn mặt hiện giờ của mình ạ.Tết sắp cận kề rồi mà tết thì lại phải về gặp bạn bè người thân hazzz, mà giờ e đi hok mấy chị cùng lớp học của em ngày nào cũng quở hết, ai cũng nói em xài thuốc rượu đi cho đẹp ( tại cái nghề của e là phải đẹp ạ), mà khổ lỗi e đã từng xài và giờ thì mặt e như vậy đó , e đã rất khiên quyết không xài nhưng mọi người nói quá ạ lên nhiều lúc lại muốn xài lại mọi người ạ huhu.( mặt e hơi nhiều lông do có mụn lên e không cạo ạ ).
#deptranhsa rất mong được duyệt ạ, e cảm ơn.</t>
  </si>
  <si>
    <t>2019-11-26 13:26:20</t>
  </si>
  <si>
    <t xml:space="preserve">#deptranhsa </t>
  </si>
  <si>
    <t>#dakho #munan
Xin chào mọi người. Mỗi khi mùa đông đến là da em khô dã man 😢 mặt em khá là nhiều mụn ẩn nữa. Mọi người tư vấn giúp em nên dùng những sản phẩm gì giúp da bớt khô mà không lên mụn ẩn nữa với ạ 😭</t>
  </si>
  <si>
    <t>2019-12-04 02:34:31</t>
  </si>
  <si>
    <t>Sam Gin</t>
  </si>
  <si>
    <t>100029777165087</t>
  </si>
  <si>
    <t>#ask #chaixitchongnang
Cho e hỏi chút xíu mọi người ạ , chuyện là hồi trưa e đi sư vạn hạnh mall chơi lucky box . Rồi e trúng được chai này ạ ! E có lên search ra chạy xịt chống nắng trắng da ! Em có nên dùng không ạ ?? Cảm ơn mọi người trước ạ ^^</t>
  </si>
  <si>
    <t>2019-11-03 14:57:19</t>
  </si>
  <si>
    <t>Vy Thanh</t>
  </si>
  <si>
    <t>100010903093421</t>
  </si>
  <si>
    <t xml:space="preserve">#chaixitchongnang #ask </t>
  </si>
  <si>
    <t>chào các chị các chị có thể giúp e với được không ạ , 2 ba hôm nay thì vùng da này của em nổi mẩn đỏ và rát , rửa mặt hay tẩy trang cũng rát sau đó thì em cũng chỉ tẩy trang rửa mặt va bôi kem duỡng ẩm và hôm qua em có đi spa về thì vùng da này khô lại như thế này , bây giờ em chỉ rửa mặt và dùng kem dưỡng ẩm thôi thì làm sao ạ , mong các chị giúp đỡ vì nó khô ráp và làm gì bôi gì cũng bị rát ạ 😞
#help #ask</t>
  </si>
  <si>
    <t>2019-05-17 04:41:35</t>
  </si>
  <si>
    <t>Phương Hà Trần</t>
  </si>
  <si>
    <t>100036218460982</t>
  </si>
  <si>
    <t xml:space="preserve">#ask #help </t>
  </si>
  <si>
    <t>Vào tham khảo đi các nàng
#CanNangChuan</t>
  </si>
  <si>
    <t>2019-12-02 01:55:15</t>
  </si>
  <si>
    <t xml:space="preserve">#CanNangChuan </t>
  </si>
  <si>
    <t>#miếngđộnngực 
Mong ad duyệt bài giúp em với.
Giúp đỡ mình với mọi người ơi.
Tình hình là mê cái đầm này quá nên dành dụm tiền hốt về mặc vào thì ngực quá lép. Đau đớn thay cái đầm này có mút ngực sẵn rồi nên xác định mặc vào bị hở chắc luôn nè.
Ai có cứu cánh miếng độn ngực hay áo ngực nào mỏng mỏng mà nâng cho nó đầy đầy ko ạ. Chứ mua về mà k mặc đc chắc khóc nguyên 1 dòng sông quá nè 😭😭😭</t>
  </si>
  <si>
    <t>2019-12-13 12:53:13</t>
  </si>
  <si>
    <t>Lê Trần Phương Uyên</t>
  </si>
  <si>
    <t>100003274123585</t>
  </si>
  <si>
    <t xml:space="preserve">#miếngđộnngực </t>
  </si>
  <si>
    <t xml:space="preserve">Mn ơi cho e xin sản phẩm dưỡng mi dài với ạ 
Mi em ngắn vs thưa hầu nhìn hầu như không có lông mi :(( mong ad duyệt bài giúp em 
</t>
  </si>
  <si>
    <t>2019-11-13 09:02:51</t>
  </si>
  <si>
    <t>Phan Thị Hoàng Vi</t>
  </si>
  <si>
    <t>100042589142528</t>
  </si>
  <si>
    <t>#help 
😢 Da e bị như này thì phải làm sao đây mọi người!!! Nó bị như vậy rồi còn nhiều dầu nữa. Em vẫn xài dưỡng ẩm, và kem dưỡng kiềm dầu nhưng nó k đỡ hơn là bao mà giờ lỗ chân lông còn càng ngày càng to ra như này e sợ quá 😢 phải dưỡng như nào đây mấy chị chỉ e vs hay phải đi chữa ạ?</t>
  </si>
  <si>
    <t>2019-12-24 10:45:34</t>
  </si>
  <si>
    <t>100041985773042</t>
  </si>
  <si>
    <t xml:space="preserve">Cả nhà mình có ai dùng máy đắp mặt nạ foreo ufo chưa ạ
Nếu có thì cho e hỏi nếu k dùng mặt nạ của foreo mình có thể sử dụng máy với serum dc ko
E đang 0rder về nhưng cũng chưa rành cách xài lắm 😆
Tks mọi người
</t>
  </si>
  <si>
    <t>2019-08-12 03:27:34</t>
  </si>
  <si>
    <t>Ying Yu</t>
  </si>
  <si>
    <t>100002363465874</t>
  </si>
  <si>
    <t>#hoidap #kichmi
Ce có thể cho em 1 ít bí kíp kích mí đc ko ạ huhu, em khổ quá, em kích đc mắt phải như hình ấy ạ còn mắt trái em dùng chắc mấy chục miếng lưới rồi mà nó toàn bị lật lại thôi</t>
  </si>
  <si>
    <t>2019-11-29 04:06:48</t>
  </si>
  <si>
    <t>Min</t>
  </si>
  <si>
    <t>100006601201980</t>
  </si>
  <si>
    <t xml:space="preserve">#kichmi #hoidap </t>
  </si>
  <si>
    <t>Đây là mặt mộc chụp cam thường của e ạ. E có bị tàn nhang . Do da của e mỏng nổi mạch máu lên nên hướng điều trị rất nan giải.e có đi tham khảo các cơ sở làm đẹp . Thăm khám họ kêu là bắn laze.nhưng da e mỏng nhiều ng kêu bắn k chăm dc da mỏng sẽ đẩy tàn nhang bị nặng hơn. Nên e nhờ các c có ai bị tàn nhang mà điều trị khỏi cho e chút kinh nghiệm với ạ</t>
  </si>
  <si>
    <t>2019-11-28 00:26:18</t>
  </si>
  <si>
    <t>Trà Thu</t>
  </si>
  <si>
    <t>100041652382835</t>
  </si>
  <si>
    <t>Mọi người có ai biết nguyên nhân và cách điều trị mụn mủ k ạ.e ngày nào nó cũng nổi một vài cái quanh miệng và cằm rất khó chịu còn mũi thì lâu lâu nổi mụn bọc ạ.e đi da liễu nhưng không khỏi.</t>
  </si>
  <si>
    <t>2019-12-25 00:21:38</t>
  </si>
  <si>
    <t>100040523801278</t>
  </si>
  <si>
    <t>Cho mình xin review về kem này với ạ . 
Da mình hỗn hợp dễ nổi mụn mà thường xuyên trang điểm nên đó giờ xài kem dưỡng ẩm là bị mụn nặng liền nên mình đã rất lâu k dùng. Chỉ dùng toner và kem chấm mụn . 
Mà dạo này thấy da yếu nên mua loại này mà k biết ổn k , có gây mụn ẩn k ạ ? Hay có ngừa mụn đc k ạ? 
Thanks all .</t>
  </si>
  <si>
    <t>2019-10-28 15:06:41</t>
  </si>
  <si>
    <t>100008103990354</t>
  </si>
  <si>
    <t>Cho em hỏi làm sao để làm lành mấy vết thâm mụn đi ạ... :( Em bị từ năm lớp 10 tới giờ nó chỉ mờ thôi ạ
Em cảm ơn mọi người!
(Da em da dầu ạ)</t>
  </si>
  <si>
    <t>2019-12-12 12:27:16</t>
  </si>
  <si>
    <t>Brandon Bara</t>
  </si>
  <si>
    <t>100038788384182</t>
  </si>
  <si>
    <t xml:space="preserve">Chào mọi người trong Đẹp Chanh Sả.
Mình xin phép xưng Châu nha. 
Vì mắt châu bị cận và độ khá là cao (6.5 và 7) và châu muốn bắn mắt cận để khỏi phải đeo cái kinh dày cộm nữa :(((
Mọi người trong group có ai đã từng bắn mắt hoặc mổ mắt cận chưa ạ, có bị tái phát và kiên cử gì kh ạ.  Và mọi người có thể cho Châu xin giá và địa chỉ uy tín về bệnh viện mắt để bắn hoặc mổ mắt được kh. 
Chân thành cảm ơn mọi người
#bắnmắt
</t>
  </si>
  <si>
    <t>2019-12-08 14:43:30</t>
  </si>
  <si>
    <t>Lê Bảo Nhã Châu</t>
  </si>
  <si>
    <t>100003840618393</t>
  </si>
  <si>
    <t xml:space="preserve"> #bắnmắt </t>
  </si>
  <si>
    <t>#Ask #Thammun
Chào mọi người, em đang trải trải qua “khủng hoảng” mụn tuổi 20, chưa hết sạch mụn ẩn nhưng đa số đã lấy được hết nhân mụn, em muốn hỏi một vài sản phẩm trị thâm mụn tốt, một vài vết thâm vẫn còn hơi ửng đỏ. Em có tìm hiểu qua là thoa sản phẩm có chứa benzoyl peroxide giúp giảm thâm mụn đỏ, nhưng không biết sp nào có thành phần này.. Mong mn tư vấn giúp em 😢 Em cảm ơn mn nhìuu! ❤️</t>
  </si>
  <si>
    <t>2019-09-05 11:15:57</t>
  </si>
  <si>
    <t>Ngọc Ly Hoàng</t>
  </si>
  <si>
    <t>100006481354276</t>
  </si>
  <si>
    <t xml:space="preserve">#Thammun #Ask </t>
  </si>
  <si>
    <t>#ask 
#trắngda
Chào mọi người ^^
Em xin review về nước uống trắng da với ạ.  Kh biết vị có khó uống không? Ai đã uống qua rồi có hiệu quả không ạ?  Không biết là có trắng đều toàn thân không ạ? 
Helpme.. Plzzzz</t>
  </si>
  <si>
    <t>2019-08-26 15:33:47</t>
  </si>
  <si>
    <t>Lêu Lêu Bẹp</t>
  </si>
  <si>
    <t>100010293402071</t>
  </si>
  <si>
    <t xml:space="preserve">#trắngda #ask </t>
  </si>
  <si>
    <t>Cho em hỏi cái này có phải là bị oxi hoá không ạ?
 #help</t>
  </si>
  <si>
    <t>2019-12-19 10:33:38</t>
  </si>
  <si>
    <t>VânAnh VõThị</t>
  </si>
  <si>
    <t>100015240455536</t>
  </si>
  <si>
    <t>Trc e có dùng rượu thuốc xong nó lên nhiều tn, e cũng hay thức khuya, hay bị stress vì nghĩ nhiều nữa mà k bỏ dc thói quen này.
Em dùng Kenzit C đẩy mụn lên mà có khi nớ ngứa nên e cũng hay nặn rồi nó loét ra. Em nên dùng cái gì dc ạ..
Sắp tết rồi mà nhìn mặt k muốn về ăn tết mn ạ😔</t>
  </si>
  <si>
    <t>2019-12-20 22:16:17</t>
  </si>
  <si>
    <t>Em mới sử dụng kem chống nắng sau hơn 20 năm không bao giờ sử dụng ạ 😅
Em chọn loại Neutrogena SPF55, da em da dầu và mỏng do đã sử dụng thuốc Bắc 2 lần. Không biết có chị em nào đã sử dụng loại kem chống nắng này chưa cho em xin review với ạ. Em cảm ơn nhiều!</t>
  </si>
  <si>
    <t>2019-10-14 13:14:02</t>
  </si>
  <si>
    <t>Mai Thị Ngọc Ánh</t>
  </si>
  <si>
    <t>100006048136995</t>
  </si>
  <si>
    <t>Chào mọi người ạ!
Em mới bị bỏng (do cồn nước vẩy lên chân trong lúc có lửa cháy bên cạnh) cách đây 2 ngày, giờ vết bỏng đang bị mọng nước lên như  trong ảnh, giờ em chưa biết nên xử lí như thế nào với cái bọng nước này và làm sao để k bị sẹo ạ
Mọi người có cách nào hay thuốc trị sẹo nào tốt thì chỉ giúp em với ạ 😭😭😭😭😭 help me!!!!
Em cảm ơn mn nhiều ạ
#trị_sẹo_bỏng</t>
  </si>
  <si>
    <t>2019-12-21 13:17:09</t>
  </si>
  <si>
    <t>Hương Ngà</t>
  </si>
  <si>
    <t>100025687513972</t>
  </si>
  <si>
    <t xml:space="preserve">#trị_sẹo_bỏng </t>
  </si>
  <si>
    <t xml:space="preserve">#ask
Cho em hỏi là tóc không dày, trán cao, mặt to thì để tóc mái kiểu gì được ạ? Ra tiệm tóc người ta bảo trán cao sang đẹp mà em thấy chả đẹp tí nào 
</t>
  </si>
  <si>
    <t>2019-12-10 14:26:27</t>
  </si>
  <si>
    <t xml:space="preserve">
#cushionclio
Em chào mọi người! Em mới mua hộp cushion này của clio. Mọi người có kinh nghiệm xem giúp em đây có phải hàng auth không ạ? Tại em mua để em đi tặng nên cũng hơi hơi không an tâm ! Em cám ơn ạ!
Edit: em mua ở B.Box ấy ạ! Nếu so với mấy chỗ khác thì rẻ nhưng mà nghe review bảo an toàn nên em mua . Em mua giá 479k ạ!</t>
  </si>
  <si>
    <t>2019-10-22 10:15:02</t>
  </si>
  <si>
    <t>Thảo Trần</t>
  </si>
  <si>
    <t>100014879804530</t>
  </si>
  <si>
    <t xml:space="preserve">#cushionclio </t>
  </si>
  <si>
    <t>mn ơi cho e hỏi là hôm qua e mới đi đốt mấy cái nốt ruồi trên mặt mà xong về tối hqua e quên mất đụng tẩy trang với nước huhu. liệu có để lại thâm hay sẹo gì ko hả mn e lo quá mới đốt chiều qua mà tối qua e đã đụng phải mấy cái nốt mày trên dưới phải 29 lần rùi các c bạn ạ huhuu . Ai có cách nào mách em để e ko bị sẹo lõm với thâm với ạ còn kiêng ăn thì e vẫn kiêng được vì e còn mới phun mày nữa ạ huhuu</t>
  </si>
  <si>
    <t>2019-12-17 11:10:02</t>
  </si>
  <si>
    <t>Dolly Nguyễn</t>
  </si>
  <si>
    <t>100024354965503</t>
  </si>
  <si>
    <t>#xokhuyen
Ở đây chắc nhiều người có sở thích xỏ khuyên và t cũng thích xỏ nên hồi tháng 3 có đi xỏ khuyên rốn ấy. Xỏ đau mà đẹp nên cũng ráng, xỏ xong ưng ý lắm, t cũng kiêng cữ vệ sinh các thứ cả tháng trời, qua tháng 2 vẫn kiêng bắp nếp với rau muống nha. 
Đột nhiên nay tháng 10 thì t phát hiện cái lỗ xỏ nó bị teo thịt các m ạ, hong hiểu luôn. Nó teo còn nhỏ xíu, cái t phải bỏ lỗ luôn. Còn 1 ít thịt nên t cắt ra cho nó nhanh lành. H thành cái sẹo, cũng đang lành, chờ lành hẳn chắc t đi xỏ lại 
Nhưng mà ở đây có ai xỏ mới hơn nửa năm mà bị teo thịt nhanh như t ko ?</t>
  </si>
  <si>
    <t>2019-10-12 01:10:52</t>
  </si>
  <si>
    <t>Thị Mẹt</t>
  </si>
  <si>
    <t>100011339858689</t>
  </si>
  <si>
    <t xml:space="preserve">
#hoidap
  Mn cho e xin loại dưỡng tóc tốt với ạ , tóc e tẩy và nhuộm nhiều lần
  Thanks mn</t>
  </si>
  <si>
    <t>2019-11-19 03:49:38</t>
  </si>
  <si>
    <t>Phạm Như Nguyệt</t>
  </si>
  <si>
    <t>100025950172179</t>
  </si>
  <si>
    <t>#ask
Các bạn ơi Nước hoa cho nam thì có loại nào mùi dễ chịu mà giá cũng dễ chịu hả các bạn 😂😂 
Em đang cần gấp gấp gấp mua tặng bạn ạ mọi người tư vấn giùm e nhaa</t>
  </si>
  <si>
    <t>2019-08-19 09:48:01</t>
  </si>
  <si>
    <t>Hiyo Dê</t>
  </si>
  <si>
    <t>100003489975231</t>
  </si>
  <si>
    <t>#ask Mọi người cho em xin it reivew về xà phòng tắm thiên nhiên giúp làm sáng da cho mẹ sau sinh bị dị ứng xà phòng với? Em mới đẻ xong thế nào lại bi dị ứng với các loại sữa tắm. Đi khám bác sỹ bảo là bị da cơ địa, động vào hoá chất như xà bông là dễ mẩn ngứa. mà tắm nc không thì k chịu được.</t>
  </si>
  <si>
    <t>2019-12-11 13:13:22</t>
  </si>
  <si>
    <t>Nguyễn Huyền</t>
  </si>
  <si>
    <t>100013196564591</t>
  </si>
  <si>
    <t>#ask #bắpchânto
Cả nhà ơi, chuyện là bắp chân em to do cơ ấy ạ nên tự ti kinh khủng không dám diện váy gì cả 😭 có cách nào khắc phục bắp chân to do cơ không mọi người? :(( em có tập thử mấy bài cardio mà không thấy hiệu quả, lúc đứng lên thì  bắp chân cứng thô, ngồi xuống thì thấy to gì đâu như chân con trai (có khi con trai còn không to bằng :'()
P/s: ảnh em lấy trên mạng ạ</t>
  </si>
  <si>
    <t>2019-08-13 12:09:47</t>
  </si>
  <si>
    <t>Tr Uyên Nhi</t>
  </si>
  <si>
    <t>100021029363514</t>
  </si>
  <si>
    <t xml:space="preserve">#bắpchânto #ask </t>
  </si>
  <si>
    <t xml:space="preserve">Các chị cho em xin ít review về eyeliner dễ vẽ cho người begin đk ạ?
</t>
  </si>
  <si>
    <t>2019-12-06 06:55:06</t>
  </si>
  <si>
    <t xml:space="preserve">
#megaduo
#klenzitC
Mọi người ơi cho em hỏi chút với ạ:
- Tuýp Megaduo mn bôi toàn mặt hay sao ạ? Có dùng được lên cái vết thương hở không ạ ( vd như mụn mới vỡ hay mới nặn ý ạ) ?
- 2 tuýp này mn dùng trước hay sau các bước skincare vậy ạ? 
Mn ơi cíu em. Em cảm ơn.</t>
  </si>
  <si>
    <t>2019-10-21 01:48:54</t>
  </si>
  <si>
    <t>Nguyễn Mận</t>
  </si>
  <si>
    <t>100010323609738</t>
  </si>
  <si>
    <t xml:space="preserve">#klenzitC #megaduo </t>
  </si>
  <si>
    <t>Chào cả nhà. 
Lần đầu đăng vào gr mong được duyệt ạ!
Chuyện là mình cần tìm 1 loại son lì một xíu. 
Bởi môi mình kiểu ko ăn son ý (có tẩy tbc và dưỡng môi đủ nhé ạ).
Các dòng son được quảng cáo là lì đi chăng nữa mà vào môi mình thì cũng “nói chuyện thôi cũng bay cả son” 😢
Hiện mình đang dùng 3ce kem và son ink thì cũng chẳng giữ màu là mấy. Ko cần ăn dầu mở chỉ cần nói chuyện hay đi ngoài tí là nhạt màu liền ý. Kiểu môi mình hơi dày tí nữa mà son nhạt đi lộ môi ra thì trông mặt nhợt nhạt khiếp luôn. 
(Ảnh minh hoạ)
Cảm ơn ad duyệt bài nhé ạ. 
#timsonli</t>
  </si>
  <si>
    <t>2019-05-30 11:09:42</t>
  </si>
  <si>
    <t>Trần Thị Tuyết Khuyên</t>
  </si>
  <si>
    <t>100004060086254</t>
  </si>
  <si>
    <t xml:space="preserve">#timsonli </t>
  </si>
  <si>
    <t>Mọi người ơi cứu lấy bàn tay của em với 😭😭😭 em bị phỏng do đổ dầu ăn lên 2 bàn tay ... giờ em làm cách nào để nhanh lành và giảm thâm nhất có thể ạ ???:(((( em tuyệt vọng quá 😣😣😣help help help me, please!!!!!❤️mong được sự giúp đỡ của Mọi người , em cám ơn rất nhiều luônnnnnn💕💕💕
#mongadduyetbaigiupem</t>
  </si>
  <si>
    <t>2019-11-28 23:58:54</t>
  </si>
  <si>
    <t>Triệu Vy Huỳnh</t>
  </si>
  <si>
    <t>100005283255617</t>
  </si>
  <si>
    <t xml:space="preserve">#mongadduyetbaigiupem </t>
  </si>
  <si>
    <t>Da mặt e lỗ chân lông to, thêm 1 vài vết sẹo rỗ do mụn cách đây 10 năm. Ace tư vấn cho e sp nào có thể se nhỏ lcl đc ko, nếu ko có sp nào khả quan thì e có nên đi spa ko? Nên lựa chọn phương pháp gì ạ. 
Các bước csda của e: dầu tẩy trag, srm than tro của initfree, toner hoa cúc, serum vitamin C của balance, kem dưỡng v7. Đợt trc lúc chưa biết chăm sóc da, lcl của e to hơn nhiều ý, giờ e thấy cũg đỡ nhưg chưa hết hẳn đc ạ. Mong ý kiến các cao nhân.</t>
  </si>
  <si>
    <t>2019-11-07 15:30:58</t>
  </si>
  <si>
    <t>Phạm Chung</t>
  </si>
  <si>
    <t>100003747340066</t>
  </si>
  <si>
    <t>#ask #srm #E100
Chả là em thấy mọi người khen srm của Thorakao nhiều quá nên lúc lên Medicare em cũng tính hốt về mà lóng ngóng thế nào em lấy nhầm 2 lọ srm của E100 ạ là loại nha đam với loại nghê ạ. 
Trót mua rồi nên em tiếc, cứ dùng xem như thế nào. Cảm nhận đầu tiên là rửa dịu nhẹ, không bị kích ứng da, sạch không cũng chả biết nữa. Do trước em dùng senka với toàn srm làm khô kin kít nên là em khá thích cái này. Mỗi tội nó bị mùi hóa chất quá nên em sợ nó không tốt. 
Hic ở đây có ai dùng E100 rồi không ạ, có nên dùng không ạ? Em cần 1 lí do để tiếp tục :'( da em là da thường có 1 xíu mụn ẩn 
Em cảm ơn ạ &lt;3</t>
  </si>
  <si>
    <t>2019-09-14 13:50:10</t>
  </si>
  <si>
    <t>Chi Mai</t>
  </si>
  <si>
    <t>100029548734050</t>
  </si>
  <si>
    <t xml:space="preserve">#E100 #srm #ask </t>
  </si>
  <si>
    <t xml:space="preserve">
#trị_mụn
 Từ khi e dậy thì trán e lúc nào cũng có mụn bọc rất đau và ngứa ,  😭😭 e skincare rất kỹ rồi , mn ai biết sản phẩm nào trị mụn bọc và tàn nhang hiệu quả giới thiệu e với 😭😭 tks mn</t>
  </si>
  <si>
    <t>2019-08-11 22:44:05</t>
  </si>
  <si>
    <t xml:space="preserve">#trị_mụn </t>
  </si>
  <si>
    <t>#Ask bọng mắt với quầng thâm
Thật sự thì không phải chỉ nếp nhăn hay tóc bạc mới làm mình già đi đâu.T bị cái bọng mắt với quầng thâm thôi mà già đi cả chục tuổi. T chỉ thức khuya cày bộ phim tiếng sét trong mưa có 1 tuần thôi mà mặc phờ phạc quá trời . Chị em có tip hay phương pháp nào hay  thì chia sẻ t với nha</t>
  </si>
  <si>
    <t>2019-12-21 13:18:11</t>
  </si>
  <si>
    <t>Hương Thu</t>
  </si>
  <si>
    <t>100041863583597</t>
  </si>
  <si>
    <t>Vẫn là vấn đề cũ đây ạ nay mặt em hết tróc da rùi :v 
Mà nó thâm dị nè em không hiểu thâm này là bị do bên trong cơ thể mình hay là do bên ngoài da thôi em tính mua mấy sản phẩm trị thâm về trị mà vẫn chưa chắc chắn là do bên ngoài tác động hay trong cơ thể bộc phát . Có ai từng bị giống em mà trị được không ạ? Lên gg đọc gì mà ung thư da nghe ghế quá 😞 
E ngưng skincare tất cả luôn bôi mỗi toner có vài hôm mà da em trùng xuống trông thấy luôn . 
Áp lực quá mọi người ạ huhu</t>
  </si>
  <si>
    <t>2019-11-09 11:21:26</t>
  </si>
  <si>
    <t>Hàng Nội Địa Trung</t>
  </si>
  <si>
    <t>100033046806424</t>
  </si>
  <si>
    <t>Sau khi dùng gần hết chai Dou+ thấy êm quá, nên em quyết định tậu nguyên bộ Laroche luôn xài thử xem có kết quả k 😒
Mọi người cho em hỏi cách trị thâm sau khi hết mụn đi ạ 😞 h mặt thâm quá trời rồi ạ 😢 Thanks mọi Người ạ ❤️
#Đẹp_Chanh_Sả</t>
  </si>
  <si>
    <t>2019-11-19 11:01:31</t>
  </si>
  <si>
    <t>Thương Thương Nguyễn</t>
  </si>
  <si>
    <t>100002878806634</t>
  </si>
  <si>
    <t xml:space="preserve">#Đẹp_Chanh_Sả </t>
  </si>
  <si>
    <t>Chia sẻ với mọi người make up tone em yêu thích nhất nhưng chỉ dùng only selfie hoặc soi gương. 
Còn khi nhờ ai chụp thì môi trông tái nhợt không hiểu tại sao luôn ý mọi người 😞 sau đó em tô thử màu hồng đỏ là y như rằng mặt sáng sủa trắng sáng TT
Nhưng rõ ràng soi gương trông hợp phết ý 😞 
Nên em chỉ dùng tone này để selfie thôi, chứ ra đường là auto son đỏ ạ 
Chị em nào cùng cảnh ngộ không ạ :((((( chứ em yêu tone cam đất/cháy kinh khủng ý :'(</t>
  </si>
  <si>
    <t>2019-10-09 08:21:39</t>
  </si>
  <si>
    <t>Võ Thuỵ Vân</t>
  </si>
  <si>
    <t>100003055570581</t>
  </si>
  <si>
    <t>#ask #Tangcan 
Các chị em thiện lành trong hội có thể chia sẽ cho em bí quyết làm sao để tăng cân nhanh chóng không ạ 😟 Chứ em nhìn em riết chán quá rồi 😅 Em bị tình trạng rất dễ xuống Kg nhưng lại rất khó tăng cân 😔 Mỗi lần bệnh là xuống mất vài kg 😢 Em 1m62 , 46kg nhưng nhìn ở ngòai như 1 bộ xương ấy 😑</t>
  </si>
  <si>
    <t>2019-08-26 15:33:16</t>
  </si>
  <si>
    <t>Hà Thị Trúc Linh</t>
  </si>
  <si>
    <t>100007937250959</t>
  </si>
  <si>
    <t xml:space="preserve">#Tangcan #ask </t>
  </si>
  <si>
    <t>LÃO HÓA TRƯỚC TUỐI??
Chào anh/chị, mọi người ạ :( Chuyện là hôm nay định chụp mấy tấm hình sống ảo, xong lấy từ máy ảnh ra nhìn lại mà hết cả hồn. Hai nếp nhăn trán, khóe mắt đã có nếp chân chim kéo dài. 
Mình còn tháng nữa mới 20 tuổi thôi, Skincare kem chống nắng dưỡng ẩm đàng hoàng cẩn thận từ năm lớp 10, nên cảm thấy rất khó hiểu khi thấy nếp nhăn xuất hiện rõ ở tuổi như vậy.
Mình biết sản phẩm nào dùng để giảm thiểu nếp nhăn, nhưng cho mình hỏi ở độ tuổi của mình da như vậy là bình thường không?</t>
  </si>
  <si>
    <t>2019-12-05 09:01:19</t>
  </si>
  <si>
    <t xml:space="preserve"> #ask #eyeliner
Em mới mua dạ mắt của karadium vì nghe review rất tốt dành cho người đang tập kẻ ạ nhưng khi mới dùng thì đã thấy hiện tượng không đều màu khi test ở tay với mắt rồi ạ. Mọi người cho em hỏi do vốn dĩ nó như thế hay là bị sao ạ vì em xem nhiều người mua đánh giá rất tốt và nét kẻ đậm khi trên mắt nhưng em dùng lại khá thất vọng ạ :((</t>
  </si>
  <si>
    <t>2019-10-23 15:38:29</t>
  </si>
  <si>
    <t>Khai Anh</t>
  </si>
  <si>
    <t>100008259019405</t>
  </si>
  <si>
    <t xml:space="preserve">#eyeliner #ask  </t>
  </si>
  <si>
    <t>Tình trang trán của e hiện h như v nè mn. E chỉ toàn nổi mụn trên trán thôi e có nặn và có để lại thâm nữa. Mn có cách nào giúp giảm mụn với giảm thâm không ạ 😢</t>
  </si>
  <si>
    <t>2019-12-03 12:16:50</t>
  </si>
  <si>
    <t>My Lan</t>
  </si>
  <si>
    <t>100043087780524</t>
  </si>
  <si>
    <t>Cho em hỏi thỏi này là auth hay fake ạ 😞 em mua lần đầu mà hoang mang quá huhu :((
Mùi em nó như mùi kẹo, nhưng so với thỏi của bạn em mua thì mùi này đậm hơn chút xíu và màu vỏ của em đậm hơn và ko có độ bóng. Chất son thì như nhau ạ. Tem son lúc mua về nó lệch chút xíu mà em bóc ra nghịch nên hết keo lúc dán vào nó mới bị chổng ý ạ:(
Edit: em thêm ảnh test son rùi đó mng uii</t>
  </si>
  <si>
    <t>2019-11-12 14:16:31</t>
  </si>
  <si>
    <t>Mong ad duyệt bài e với 
ai có cách chi chỉ e với, e bị ren da rắn khắp cơ thể mùa ni là nổi khô vảy, giờ thi da mặt, rác ngứa,khô như dị như ứng thời tiết mùa này ở huế lạnh là e bị thì phai dùng gi day mn 😞</t>
  </si>
  <si>
    <t>2019-12-06 23:48:22</t>
  </si>
  <si>
    <t>Trương Như Bảo Quyên</t>
  </si>
  <si>
    <t>100005866390474</t>
  </si>
  <si>
    <t>Mọi người ơi chỉ giúp e cách tăng cân với ạ.
E 18t mà ăn no mới được 38kg thôi 😭 
Mặc dù e thử uống các loại thuốc tăng cân cũng không có tác dụng ạ 😭😭
E cao 1m59 nhìn ốm tong ốm teo 😭😭😭😭
Cảm ơn Ad duyệt bài ạ.!!!</t>
  </si>
  <si>
    <t>2019-12-25 13:17:35</t>
  </si>
  <si>
    <t>Kim Ngọc</t>
  </si>
  <si>
    <t>100012501191140</t>
  </si>
  <si>
    <t xml:space="preserve">
#hoidap
Có ai có bí quyết tăng cân không ạ???? Mình Khổ sở vì cân nặng quá 😭😭😭 1m56 nặng 38kg 😭😭</t>
  </si>
  <si>
    <t>2019-05-02 13:21:44</t>
  </si>
  <si>
    <t>Phạm Tươi</t>
  </si>
  <si>
    <t>100031979173917</t>
  </si>
  <si>
    <t xml:space="preserve">
Da em thuộc tuýp da dầu - mụn - lỗ chân lông lo. Các chị em thông thái tư vấn cho e với ạ. Ngoài loại CC e dùng lâu nay thì e nên chọn mask nào ok nhất ạ ??? 
❤️❤️❤️❤️❤️</t>
  </si>
  <si>
    <t>2019-11-29 00:24:36</t>
  </si>
  <si>
    <t>Đặng Quỳnh Như</t>
  </si>
  <si>
    <t>100002521457056</t>
  </si>
  <si>
    <t>#nam #tannhang 
Đây là bài viết đầu tiên của em mong được nhận phản hồi từ chị em thông thái ạ.
Là e vừa bị nám và tàn nhang không?  E thấy da e bị nám nhưng hôm trước e có cmt 
tư vấn thì có người bảo chỉ bị tàn nhang thôi.
Lúc đầu e chỉ bị vài đốm dưới mắt, sau đó đi học quốc phòng vào mùa hè thì lan ra nhiều hơn. Lần dần xuống má. Đến giờ đã 2 năm. Có nhiều đốm đen là do thâm và mụn ruồi mụn để lại.
P/s: cho e xin vài review về collagen tốt. Kem thì e mua của dongsung nhưng chưa dùng vì đang chờ da nghỉ điều trị mụn</t>
  </si>
  <si>
    <t>2019-11-25 12:44:41</t>
  </si>
  <si>
    <t>NT Thảo</t>
  </si>
  <si>
    <t>100004560243463</t>
  </si>
  <si>
    <t>Mong ad duyệt bài giúp em. Em bị dị ứng gần 1 năm nay. Liên tiếp mẩn ngứa. Em có chữa rất nhiều mà không được. Không biết anh chị nào gặp tình trạng này chưa? Tư vấn giúp em với ạ</t>
  </si>
  <si>
    <t>2019-12-18 05:42:55</t>
  </si>
  <si>
    <t>Khuất Hồng Thơm</t>
  </si>
  <si>
    <t>100004681563903</t>
  </si>
  <si>
    <t>#ask #help
Chào mọi người em 19t bị hôi nách mỗi khi đến hè là ám ảnh của em 😭
Mỗi lần sáng sớm đeo cặp đến trường cởi cặp ra 2 bên nách đã ướt rồi hay mỗi lần hoạt động là nách bắt đầu ra mồ hôi đến nỗi tạo thành giọt lăn từ nách xuống như giọt nước ý ah em chán kinh khửnng nhưng được cái em không có mùi lắm ah
Em cũng đã sd trapha cả etiaxil và dùng chanh chà nách vẫn không đỡ nên em lên đây muốn ac giúp đỡ cho em ah
Trong này ac nào dùng thuốc trị hôi nách hay xịt chưa ạ cho em ít review ::))</t>
  </si>
  <si>
    <t>2019-09-27 00:30:51</t>
  </si>
  <si>
    <t>Nguyệt An</t>
  </si>
  <si>
    <t>100029219196763</t>
  </si>
  <si>
    <t>Mọi người tư vấn cho em quả này với ạ :(em chẳng biết gì về skin care luôn, biết mỗi là da dầu, mặt có đủ các loại mụn và hiện đang dùng sữa rửa mặt oxi deep wash
*Tấm 2 là em chỉnh sáng lên do ảnh gốc tối quá</t>
  </si>
  <si>
    <t>2019-11-30 16:33:51</t>
  </si>
  <si>
    <t>Phạm Minh Đức</t>
  </si>
  <si>
    <t>100021992562083</t>
  </si>
  <si>
    <t>#tưvan #forwedding
Xin chào mọi người, tình hình là tớ sắp thử váy cưới, các cậu/các chị tư vấn cho tớ loại áo ngực nào phù hợp để mặc váy hở lưng hoặc hở vai được không ạ? 😚😚😚</t>
  </si>
  <si>
    <t>2019-05-29 14:13:32</t>
  </si>
  <si>
    <t>Nguyễn Như Quỳnh</t>
  </si>
  <si>
    <t>100009272776528</t>
  </si>
  <si>
    <t xml:space="preserve">#forwedding #tưvan </t>
  </si>
  <si>
    <t>Mọi người ơi cho mình hỏi, mình bị mụn giống trong hình nhưng mình thấy không có nhân hay gì hết mà đụng vô thì cứng cứng không đau.  Có bạn nào trong group biết cách trị chỉ mình với. 
Mình cám ơn. 
Mong add duyệt bài giúp em. 
Em cám ơn.</t>
  </si>
  <si>
    <t>2019-11-29 07:36:55</t>
  </si>
  <si>
    <t>Nguyen Hoang Nguyen</t>
  </si>
  <si>
    <t>100004117510631</t>
  </si>
  <si>
    <t>#help #mun #mundauden Huhuhu cả nhà ơi giúp em với. Da em hỗn hợp thiên dầu đôi khi nổi vài cái mụn rồi hết nhưng ở mũi và cánh mũi thì siêu nhiều mụn đầu đen luôn ạ. Em có lột mụn và đắp mặt nạ đất sét nhưng vẫn không đỡ? Giờ có cách nào giamr bớt mụn đầu đen không ạ?</t>
  </si>
  <si>
    <t>2019-09-26 09:06:09</t>
  </si>
  <si>
    <t>Phuong Uyen</t>
  </si>
  <si>
    <t>100022691072562</t>
  </si>
  <si>
    <t xml:space="preserve">#mundauden #mun #help </t>
  </si>
  <si>
    <t xml:space="preserve">
#Quầnáo
#Dángbéotrên
Chào anh chị ạ, e hnay muốn hỏi về ăn mặc.
Chẳng là e béo chả giống ai cả, cứ bị béo phần hông (đùi ngoài trên), với bụng, bắp tay cũng bự tại trước e tập ko tới. Nhìn nó kì lắm, e béo ít béo nhiều nó cứ lên trên thôi lạ ghê. Giờ bạn cứ chê mặc ko đẹp nên e hỏi các chị chút là giờ e mặc theo như nào thì không bị lộ với đẹp ạ 🤦🥰🥰 em cảm ơn. Mong được duyệt ạ 😇</t>
  </si>
  <si>
    <t>2019-12-17 09:55:42</t>
  </si>
  <si>
    <t>Phạm Ngọc Bích</t>
  </si>
  <si>
    <t>100010432805750</t>
  </si>
  <si>
    <t xml:space="preserve">#Dángbéotrên #Quầnáo  </t>
  </si>
  <si>
    <t xml:space="preserve"> #help #thuydau
Chào mn.Mình bị thủy đậu ngày thứ 3 ,các nốt cũng giảm.Nhưng có nốt mọc  ở chân mày, do hôm không biết tưởng mụn mình có cạy vỡ.Giờ nốt ấy có to hơn xung quanh đỏ tấy,mắt sụp nheo mắt hơi đau và vướng.Có phải mình bị nhiễm trùng không ạ,có ai bị như vậy và điều trị như thế nào chỉ giúp mình với 
*** và cho mình xin cách trị sẹo thâm,lồi lõm vs ạ 😥.thanks mn</t>
  </si>
  <si>
    <t>2019-11-08 15:10:54</t>
  </si>
  <si>
    <t>Lùn</t>
  </si>
  <si>
    <t>100009710983591</t>
  </si>
  <si>
    <t xml:space="preserve">#thuydau #help </t>
  </si>
  <si>
    <t>#làmđẹp
Mọi người tư vẫn giúp em với ạ. Chuyện là trước đây em bị bỏng bô h để lại hai cái thẹo cũng khá lớn. Mà ngta nói thẹo bỏng bô khó lành lắm nên em tính đi xăm cũng một phần là em thích xăm mà một phần che đc khuyết điểm trên chân. Mọi ng  Tư vẫn giúp em vài mẫu hình đẹp mà che đc khuyết điểm của em với ạ.</t>
  </si>
  <si>
    <t>2019-12-26 00:25:15</t>
  </si>
  <si>
    <t>Lê Thị Thùy Dung</t>
  </si>
  <si>
    <t>100013854705358</t>
  </si>
  <si>
    <t xml:space="preserve">#làmđẹp </t>
  </si>
  <si>
    <t>Mấy ac cho e hỏi răng em hiện tại như v thì có niềng được không ạ. 
Hay chỉ nên bọc răng sứ. 
Em cảm ơn và mong được duyệt để ac tư vấn giúp e với ạ.
❤❤Mn biết ở đà Nẵng hay Tam Kỳ chỗ nào niềng răng giá tốt và đẹp k ạ..</t>
  </si>
  <si>
    <t>2019-12-04 07:35:38</t>
  </si>
  <si>
    <t>Đặng Thư</t>
  </si>
  <si>
    <t>100025862118933</t>
  </si>
  <si>
    <t xml:space="preserve"> #nám #help
Xin chào mọi người.
Đây là lần đầu mình đăng bài, nếu có gì sai sót mong mọi người nhắc nhở và bỏ qua.
Mẹ mình năm nay cũng ngoài 40 tuổi. Tình hình là da mặt mẹ mình như này (dưới hình), nám cũng lâu năm rồi. Mẹ mình làm việc trong môi trường có nhiều bụi. Mình muốn hỏi trong group có ai đã và đang trong quá trình điều trị nám, đã đỡ hay giảm nám gì chưa? Theo dõi group cũng hơi lâu, thấy vài bài viết có nhắc đến kem trị nám Dongsung của Hàn Quốc. Có ai đã thử và kha khá thành công chưa ạ? Kem trị nám đó có giúp da trắng hơn xí nào hông ạ? Hay có loại trị nám nào khác ổn hơn hay không?
Cho mình xin ý kiến với. 
Cảm ơn mọi người đã đọc bài viết.
Chào mọi người.</t>
  </si>
  <si>
    <t>2019-11-12 05:39:43</t>
  </si>
  <si>
    <t>Cẩm Giang</t>
  </si>
  <si>
    <t>100005867052048</t>
  </si>
  <si>
    <t xml:space="preserve">#help #nám  </t>
  </si>
  <si>
    <t>Chào mọi người ạ. Mẹ em nay 48 tuổi, da có xuất hiện đồi mồi rồi nên em muốn tìm hiểu sản phẩm trị đồi mồi ạ, em cũng cần tìm kem dưỡng hoặc serum dưỡng  dành cho da lão hóa cỡ tuổi mẹ em ạ. M.n biết sản phẩm nào tốt chỉ em với, em cảm ơn nhiều ạ 💚</t>
  </si>
  <si>
    <t>2019-11-26 08:01:32</t>
  </si>
  <si>
    <t>100010783354117</t>
  </si>
  <si>
    <t>Thời gian đầu da em có biểu hiện da bong tróc , em cứ nghĩ là do khô da , giờ thì nó ngứa với cả rát, giờ thì tệ hơn có cả nếp nhăn , mọi người có cách nào giúp em không ạ 😞 em cảm ơn mn ạ</t>
  </si>
  <si>
    <t>2019-12-23 16:17:26</t>
  </si>
  <si>
    <t>Huỳnh Bé</t>
  </si>
  <si>
    <t>100006690857739</t>
  </si>
  <si>
    <t>#aks #laneige #taytebaochet
Mọi người ơi, cho em hỏi sau khi tẩy tế bào chết da mọi người có bị nổi đỏ đỏ như em không ạ? Trước giờ em chỉ dùng tẩy trang và srm (da khô dùng thêm toner). Em vừa mua bộ chăm sóc của Laneige và dùng thử.
Đây là mặt em sau khi dùng Clear c peeling mask đó ạ. Trong hình nhìn đỡ chứ bên ngoài nhìn nó đỏ hơn một tí ạ!
Không biết như vầy là bình thường hay là da em bị kích ứng ạ. Em cảm ơn</t>
  </si>
  <si>
    <t>2019-10-09 01:43:54</t>
  </si>
  <si>
    <t>Hoàng Yến Thanh</t>
  </si>
  <si>
    <t>100003807366122</t>
  </si>
  <si>
    <t xml:space="preserve">#taytebaochet #laneige #aks </t>
  </si>
  <si>
    <t xml:space="preserve">M.n oi em năm nay 16 tuổi bị gù lại còn là con gái nữa :((( cả nhà nội em đều bị gù luôn ý ạ có cách nào khắc phục không ạ? Em cám ơn 
</t>
  </si>
  <si>
    <t>2019-11-15 14:03:38</t>
  </si>
  <si>
    <t>Hồng Linh</t>
  </si>
  <si>
    <t>100037607513415</t>
  </si>
  <si>
    <t xml:space="preserve">
#khomoi 
Chào mọi người, hôm nay đăng bài mong mọi người chỉ giúp em có cách nào để bớt khô môi hơn ngoài việc dùng dưỡng môi, vaseline không ạ? 
Và có chị nào biết cách tẩy tế bào chết môi bằng những nguyên liệu thông dụng chỉ em với. Vì những sản phẩm tẩy chết tào chết ở môi hiện tại em không có tiền mua 😥
Ảnh chống trôi ạ.</t>
  </si>
  <si>
    <t>2019-10-31 12:39:51</t>
  </si>
  <si>
    <t>Hoàng Liên</t>
  </si>
  <si>
    <t>100028333305596</t>
  </si>
  <si>
    <t xml:space="preserve">#khomoi </t>
  </si>
  <si>
    <t>Mng ơi có ai từng bị như vậy và đã có cách trị hiệu quả không giúp mình với. Em gái mình đang gặp tình trạng da chân như vậy bẫm sinh và nặng hơn trong hình nữa, mùa nóng cũng có nhưng nhất vào mùa lạnh này nhìn da em vừa khô vừa nức nẽ nhìn em mà mình thấy xót lắm.Ai có cách trị như vậy thì chỉ giúp mình với không mong sao đẹp đẽ như người khác chỉ mong da chân em bình thường lại thôi chứ miễn tới mùa lạnh như này nhìn da em khô với lại tự ti với mọi ng với làn da không mong muốn mình thấy thương em lắm. 
@ ảnh trên mình coppy của bạn nào đó nhưng quên rồi nên k đễ tên được, tình trạng của egái mình tương tự như hình mà nặng hơn nữa Á.</t>
  </si>
  <si>
    <t>2019-12-07 15:01:17</t>
  </si>
  <si>
    <t>Nguyễn Thảo Vi</t>
  </si>
  <si>
    <t>100008798171744</t>
  </si>
  <si>
    <t>Cả nhà ơi!!!
Cháu e nó bị té. Vết thẹo vừa khô thôi thì tối nó ngủ lăn qua lăn lại. Sáng dậy thấy bong cả mảng thế này
Cả nhà có ai biết kem trị sẹo loại nào tốt k ạ. Giới thiệu giúp em với
E cảm ơn. Thks ad duyệt bài ạ</t>
  </si>
  <si>
    <t>2019-11-08 00:48:26</t>
  </si>
  <si>
    <t xml:space="preserve">
#munboc
#xinykien
Em mệt mỏi quá!
Sống với mụn đã 4 năm rồi. Mỗi lần có người gặp là họ sẽ dặn dò em uống nước nhiều lên. Dặn dò em phải bôi nghệ sức thuốc cho hết mụn. Con gái ai lại để vầy.
Em đã đi da liễu gần một năm.
Em đã bôi thuốc hơn 2 năm.
Ngày càng tệ...
Và ban đầu có cố gắng cho mụn không lên. Thì công việc của em hiện tại không thể ngủ sớm được. Luôn luôn là đến hơn 1h mới xong việc để đi ngủ. Ban ngày em đi làm, tối lại đi học để kiếm thêm kiến thức đi du học. Tối về phải hoàn thành deadline cả ở trường cả ở cty.
2 ảnh này là quá trình 8 tháng ròng rã em đi da liễu. Vì em làm bên mảng truyền thông, nên việc đi ăn uống nhậu nhẹt và tiếp khách khá là nhiều. Không tránh khỏi việc kiêng đồ ngọt cay bla bla. 
Dù đã đỡ hơn 1 level =(( Nhưng em đuối quá mn ạ. Em thật sự chán em lắm rồi. 
Sinh viên ra trường 1 năm. =(( lương bọp bẹp, chi tiêu đủ thứ. Nhìn da mặt mn mà ham, em còn bị đối xử không công bằng với mấy chị đẹp nữa. Mn hay bảo em có nét, nhưng mụn ăn hết rồi...</t>
  </si>
  <si>
    <t>2019-09-16 12:17:57</t>
  </si>
  <si>
    <t>Lai Lai</t>
  </si>
  <si>
    <t>100038828358698</t>
  </si>
  <si>
    <t xml:space="preserve">#xinykien #munboc </t>
  </si>
  <si>
    <t>Do lúc trước e dùng Mai Thảo Mộc 5-6 tháng nên giờ da e bị ntn . Mọi người cho e xin cách phục hồi với ạ</t>
  </si>
  <si>
    <t>2019-11-30 02:11:45</t>
  </si>
  <si>
    <t>Đào Thế</t>
  </si>
  <si>
    <t>100008960888936</t>
  </si>
  <si>
    <t>Có ai đang tình trạng như em không ạ 😭😭 giúp em với , năm lớp 11 em có sd qua thuốc rượi tới nay cũng gần 4 năm rồi ạ . Da em khô 2 bên má và không bị mụn , nhưng vùng chữ T thì có dầu mà giờ  đỡ rồi , nhưng mỗi lần bị mụn là chỉ toàn vùng chữ T thôi ạ , có ai biết cách khắc phục chỉ em với ạ 😭😭😭
Sáng : srm Simple + máy rửa mặt , tiếp đến là kem chống nắng của Anessa, e có chấm thêm kem nghệ của Thorakao 
Tối: tẩy trang Simple + máy rửa mặt
 - tuần 2 lần đắp mặt nạ đất sét của innisfree
 -tẩy tế bào chết của huxley ( tuần 2 lần )
- mặt nạ naruko ( cách 1 ngày đắp 1 lần )
Em chưa kiếm đc kem dưỡng phù hợp ạ, da em hơi nhạy cảm trước có dùng kem dưỡng của neutrongena nhưng bị lên mụn . 
Cho em xin cách khắc phục với ạ, plssss 😭😭😭</t>
  </si>
  <si>
    <t>2019-12-19 10:31:28</t>
  </si>
  <si>
    <t>Các chị ơi. có cách nào để cho lông mày dày lên không ạ? Chỉ em với. em không muốn xăm chân mày</t>
  </si>
  <si>
    <t>2019-11-19 07:39:52</t>
  </si>
  <si>
    <t>100023753266030</t>
  </si>
  <si>
    <t>#ask #phukhoa 
Em chào các chị ạ. Mấy hôm nay, em cứ bị đau vùng nhạy cảm như kiểu châm chích ấy ạ, mà cũng sắp đến ngày hành kinh của em nữa. Em muốn hỏi đó có phải dấu hiệu của ngày hành kinh không ạ :( chứ tháng nào em cũng bị với cả em còn bị ra khí hư, mẹ em bảo là rửa nước chè thì nó hết mà em lo quá. Lần trước đi siêu âm ổ bụng thì bác sĩ siêu âm bảo buồng trứng bình thường mà chả nói cổ tử cung có bình thường không :( em lo lắm vì đi xem người ra bảo khó có con. Chị nào có kinh nghiệm hoặc biết phòng khám phụ khoa nào uy tin ở hải phòng thì tư vấn giúp em với ạ. Em cám ơn mọi người nhiều và cũng cảm ơn ad trước nếu em được duyệt bài ạ</t>
  </si>
  <si>
    <t>2019-08-11 12:04:46</t>
  </si>
  <si>
    <t>Đào Ngọc Mai</t>
  </si>
  <si>
    <t>100014675821489</t>
  </si>
  <si>
    <t xml:space="preserve">#phukhoa #ask </t>
  </si>
  <si>
    <t>mình chấm tuyp mụn LAROCHE-POSAY DUO+ mà lúc bôi kem lên thấy rát, và những vết bôi bị sạm có nên sử dụng nữa không ạ
mọi người tư vấn dùm e với ạ</t>
  </si>
  <si>
    <t>2019-12-14 07:57:48</t>
  </si>
  <si>
    <t>Anna Hiep</t>
  </si>
  <si>
    <t>100007914768412</t>
  </si>
  <si>
    <t>Em bị lỗ chân lông to hay bị sẹo rỗ vậy mọi người và có cách nào khắc phục không ạ ???</t>
  </si>
  <si>
    <t>2019-11-26 14:28:30</t>
  </si>
  <si>
    <t>Thanh Phương</t>
  </si>
  <si>
    <t>100006488318409</t>
  </si>
  <si>
    <t>Dạo gần đây lưng và ngực em nổi mụn rất nhiều mọi người có cách nào giúp em không chứ gần tết rồi mà bị vậy không bận đồ hở được em buồn quá 😞</t>
  </si>
  <si>
    <t>2019-11-27 00:44:29</t>
  </si>
  <si>
    <t>Marina Quỳnh Như</t>
  </si>
  <si>
    <t>100022630551883</t>
  </si>
  <si>
    <t>#Ask #Help
Mọi người giúp em với , em sống trên thành phố nhỏ giờ , mụn thì nổi 3 năm trc rồi có một thời gian lặn đi rất nhiều , hình như là lặn hẳn ! Nhưng 1 tháng nay em chuyển xuống đồng tháp sống thì mụn nó lên ùn ùn , đi khám da liễu thì vẫn cho thuốc uống vs kem bôi nhưng chỉ bớt sưng tấy với ngứa nhức ! Hiện tại em đang lau mặt bằng nước múi pha loãng và có dùng nacurgo dạng xịt được vài hôm kh thấy ăn thua nên chả dám dùng gì nữa , chỉ một ngày  dùng nước muối 2 lần ! Anh chị nào có thuốc bôi hoặc thuốc uống thì góp ý giúp em với , đa phần toàn mụn viêm to không nhân ! :((</t>
  </si>
  <si>
    <t>2019-10-24 16:08:54</t>
  </si>
  <si>
    <t>Lạc Cẩm Hà</t>
  </si>
  <si>
    <t>100009631281858</t>
  </si>
  <si>
    <t>#tâm #sự.
Thật sự bây giờ m k dám nhìn khuôn mặt của mình trong gương. Chỉ sau 3 năm mà mặt nó lỗ rỗ kinh tởm. 1 phần là do m nặn mụn k đúng cách, 1 phần là do cơ địa da mình, hết sẹo nó cũng để lại rỗ. 
M đã tốn tầm 30tr có khi hơn để đi lăn kim, phi kim, cắt đáy sẹo nhưng m thấy nó k hề thay đổi gì. Mình thật ghen tỵ với mấy b có làn da đẹp k sẹo, vò cái mặt sẹo mà đi xin vc cũng khó. M rất tự ti, nên chỉ dám xin làm công nhân. 27t r mà ny vẫn k có vì mình ngại khi phải đối mặt gần với ng đối diện. 30tr đó chưa kể tiền m mua thuốc trị sẹo mỹ phẩm....
M nghĩ chắc do cơ địa m xấu + những nơi m chữa tay nghề chưa cao, chứ m thấy nhiều b bị sẹo đi chữa nó vẫn đầy và đẹp nên. M 3 năm k dám chụp ảnh đăng lên fb.( ko muốn chụp bằng áp vì sợ bb sau khi nhìn ảnh với gặp ở ngoài mng sẽ thất vọng).
M đăng nỗi lòng của m lên đây tâm sự, mong mng đưa ra lời khuyên, và có cách kinh nghiêmh gì cho mặt m nó cải thiện hơn k. M chắc cũng k dám đi chữa ở đâu nữa vì toàn tiền mất tật mang.
Edit. Tại t chụp k rõ ,chứ ở ngoài nó kinh hơn như này cơ</t>
  </si>
  <si>
    <t>2019-03-29 20:43:59</t>
  </si>
  <si>
    <t>GặpnhaulàbởidoDuyên ĐihayởlạibởiriêngmỗiNgười</t>
  </si>
  <si>
    <t>100004576986843</t>
  </si>
  <si>
    <t xml:space="preserve">#sự #tâm </t>
  </si>
  <si>
    <t>#tànnhang #thâmmắt #mụnđầuđen #mụnẩn #lclto
Chào mọi người. Đây là tình trạng da mặt của mình. Mọi thứ xấu xí trên đời đều có cả. Tàn nhang bẩm sinh từ bé, quầng mắt bẩm sinh từ bé. Mặt mình thì trc giờ k có mụn cho đến đợt gần đây nổi lên mụn ẩn như này, đau rát. Mụn đầu đen và lcl to xuất hiện từ ngày mình đi nânv mũi. Laik còn môi thâm nữa. Haizzz. Trước giờ m cũng chưa từng skin care bài bản. Chỉ sd sữa rửa mặt, lâu lâu bôi tí kem dưỡng ẩm linh tinh, cũng từng sài kem trộn. Xin mọi người chỉ giúp mình một số sp dưỡng da phù hợp với mặt mình. Nhất là mấy cái mụn ẩn kia ạ. 25 mùa khoai sọ giờ ms biết mụn ẩn là ntn, mong mọi ng giúp đỡ. Da mình là da hh thiên dầu ạ. Vào mùa đông này thì lại khô nứt ra :(</t>
  </si>
  <si>
    <t>2019-12-16 10:58:07</t>
  </si>
  <si>
    <t>100035584292859</t>
  </si>
  <si>
    <t xml:space="preserve">#lclto #mụnẩn #mụnđầuđen #thâmmắt #tànnhang </t>
  </si>
  <si>
    <t>Mọi người ơi da mình bị lổ chân lông to với rổ lâu năm như thế này. 
Mọi người có phương pháp hay kem nào khắc phục không,giúp mình với ạ !! 
#mụnrổ</t>
  </si>
  <si>
    <t>2019-11-06 05:31:44</t>
  </si>
  <si>
    <t>Tân Thành</t>
  </si>
  <si>
    <t>100003942680796</t>
  </si>
  <si>
    <t xml:space="preserve">#mụnrổ </t>
  </si>
  <si>
    <t xml:space="preserve"> Mong ad duyệt giúp e vs ạ ❤️
Sắp Tết rồi 😭, ai chỉ em bí quyết giảm cân đi ạ. Cơ địa e hít không khí cũng mập, mà e chỉ mập phần thân vs ngực thôi, phần chân tay vẫn thon. E định đi tập gym mà k có tg để đi, vs một phần cũng ngại. Ace giảm cân thành công có bí quyết gì chia sẻ vs e đi ạ: công thức giảm cân, mấy bài tập thể dục ở nhà, thuốc giảm cân, nước uống giúp giảm cân,... gì cũng đc. E cảm ơn nhiều 💝
Em năm nay tròn 20t, cao 1m58, nặng 65kg</t>
  </si>
  <si>
    <t>2019-11-25 12:42:51</t>
  </si>
  <si>
    <t>Dâu Đỏ</t>
  </si>
  <si>
    <t>100007121748012</t>
  </si>
  <si>
    <t>Mọi người ko biết ai giống mình ko ạ. Lúc nhỏ vẫn để tóc mái được mà giờ muốn để cùng ko được, ko biết có xoáy hay là hói nữa, chỉ muốn để tóc mái che đi mà mỗi lần để thì phải úp trước ...nhưng khi ra ngoài gió nó thổi xí thì lại trở về trạng thái ban đầu huhu
Mọi người có cách nào chỉ mình với ạ</t>
  </si>
  <si>
    <t>2019-11-26 09:23:30</t>
  </si>
  <si>
    <t>Su Su</t>
  </si>
  <si>
    <t>100034410587605</t>
  </si>
  <si>
    <t>#tocretre #help 
Cả nhà cho mình hỏi tóc khô cứng, rễ tre thì nên dùng sản phẩm gì ạ?
- dầu gội, xả
- ủ tóc
- dầu dưỡng tóc
Mình xin cảm ơn. Tóc rễ tre toàn tốn tiền triệu đi làm đẹp mà vẫn ko ra gì 😢😢😢 cắt tóc xong xơ vẫn hoàn xơ. làm xoăn thì đẹp lúc ở tiệm về gội đi khóc ra tiếng mán 😭 hiện tại mình đã ép thẳng rồi, nhìn đỡ ghê hơn nhg sờ vẫn kinh khủng lắm</t>
  </si>
  <si>
    <t>2019-09-29 02:53:51</t>
  </si>
  <si>
    <t>Đàm Lan Chi</t>
  </si>
  <si>
    <t>100000100393119</t>
  </si>
  <si>
    <t xml:space="preserve">#help #tocretre </t>
  </si>
  <si>
    <t>#hoidap #nitbung
Có chị em nào đã sử dụng nịt bụng chưa ạ. Tư vấn cho em với. Em muốn mặc đầm body nhưng phần bụng dưới hơi to nên định mua nịt bụng. Có loại có móc gài, loại không có đường may thì loại nào tốt ạ? 
Cảm ơn mọi người</t>
  </si>
  <si>
    <t>2019-05-12 05:36:48</t>
  </si>
  <si>
    <t>100035341541809</t>
  </si>
  <si>
    <t xml:space="preserve">#nitbung #hoidap </t>
  </si>
  <si>
    <t>Mọi người ơiii #đẹp_chanh_sả #bodycare
Em xin tất tần tật review về bột đậu đỏ tự xay để tắm trắng với ạ
Ai thành công rùi em xin công thưcs cường độ và cách dùng luôn
Em nghi vấn đề này nhiều ce qan tâm đấy ạ
Vì vừa tự nhiên mà vừa hiệu quả nhanh 🥰🥰</t>
  </si>
  <si>
    <t>2019-08-24 07:28:19</t>
  </si>
  <si>
    <t>Hà Trang Lê</t>
  </si>
  <si>
    <t>100036283180526</t>
  </si>
  <si>
    <t xml:space="preserve">#bodycare #đẹp_chanh_sả </t>
  </si>
  <si>
    <t>Em có nhỏ bạn chơi ngu nhuộm tóc ko mang bao tay xong bị như vầy đây. Chị e biết cách nào làm sao cho hết ko ạ</t>
  </si>
  <si>
    <t>2019-12-20 09:35:27</t>
  </si>
  <si>
    <t>100015126137071</t>
  </si>
  <si>
    <t>Mọi người ơi
Xin mọi người giúp đỡ em chỉ em cách trị mụn ẩn và thâm được không ạ, da em là da dầu ạ😞😞☹️☹️</t>
  </si>
  <si>
    <t>2019-11-25 23:31:36</t>
  </si>
  <si>
    <t>100027390035462</t>
  </si>
  <si>
    <t>#ask#auth#fake
Em chào mọi người
Chả là e mới mua cây son dưỡng dior hàng giả, đã nhắn tin cho shop và được hoàn tiền lại. Nhưnh khổ nỗi e đã mua shop này nhiều lần và cũng tin tưởng. Đây là shop chuyên  hàng dùm khách nên giá thấp hơn thị trường là hiển nhiên.
Em mua chai toner fresh new 700k
Nhờ các anh chị thông thái xem dùm e là thật hay giả
Em cảm ơn ạ
Nhờ ad duyệt hộ em. Em cảm ơn</t>
  </si>
  <si>
    <t>2019-11-23 10:38:10</t>
  </si>
  <si>
    <t>Diem Bui</t>
  </si>
  <si>
    <t>100006669701353</t>
  </si>
  <si>
    <t xml:space="preserve">#fake #auth #ask </t>
  </si>
  <si>
    <t>Hiện tại da mình đang bị như vậy. Ai có cách nào k ạ huhu</t>
  </si>
  <si>
    <t>2019-12-06 14:52:11</t>
  </si>
  <si>
    <t>Huỳnh Loan</t>
  </si>
  <si>
    <t>100007184386802</t>
  </si>
  <si>
    <t>Em thấy có nhiều bài viết về skincare rất hữu ích và hay nên chúng ta đã đẹp về mặt bằng rồi ( da ) thì các chi tiết về lông ( lông mi , lông mày,...) cũng cần được chăm sóc kĩ và kì công không kém gì da đâu nha . Hôm nay em sẽ share các công đoạn em chăm sóc về phần lông tóc cho các chị em nhé, có thiếu sót gì mong mọi người bỏ qua ạ. 
LÔNG MI, LÔNG MÀY :
Sản phẩm em dùng gồm sáp vaseline origin, dầu dừa, dầu oliu, nha đam , vitamin e sử dụng cho mặt . Với vaseline thì mọi người dùng tăm bông bôi từ góc đến ngọn của lông mi, vuốt theo chiều lông đi lên để lông mi cong hơn, mi dưới cũng làm như mi trên và mỗi mi vuốt đều 5 lần cho sáp dính đều trên mi mà không gây nặng mắt, sử dụng tăm bông giúp mn thoa sáp lên được những sợi mi mỏng và ngắn hơn là bôi bằng tay, còn dư sáp thì thoa ngón tay áp út và vuốt theo khuôn của lông mày, mỗi bên 5 lần là xong, mn có thể vuốt sáp lên lông mi và lông mày đến khi nào không còn cảm thấy nặng mắt nữa là oke, tương tự với dầu dừa và dầu oliu và cẩn thận tránh để dầu rơi vào cay mắt . Em còn 1 công thức đó là trộn chung những sản phẩm em nêu trên thành một hỗn hợp để trong lọ rồi chuốt thường xuyên, nhưng hỗn hợp này thường không để lâu được và mỗi lần làm cũng hơi khổ nên trong những giai đoạn đầu thì mn nên làm hỗn hợp này để sử dụng, mỗi lần làm chỉ cần đủ cho 2 tuần là oke, dùng đến khi thấy cải thiện thì ngưng rồi sử dụng vaseline hoặc dầu dừa,oliu.
LÔNG NÁCH,LÔNG CHÂN : vấn đề này khiến nhiều người đau đầu lắm đây vì bản thân em cũng từng vật lộn với hai điều này, trước đây lông nách và lông chân em có đủ, đi wax thì chỉ có mọc nhanh và dài hơn thôi 😭😭 sau đó em mới đi triệt, siêu đau 🙁🙁, bác sĩ kêu không đau đâu con, chỗ nào chân lông sâu thì nhói xíu thôi 🙂 ai ngờ nó đau mà em giật nảy người trên giường luôn, đã vậy còn bị tái phát và đi bắn lại lần hai 😔 khóc 😣 chưa hết đâu mn 🙂 bắn xong về lông bị mọc ngược và viêm lỗ chân lông 🙂 khóc lần hai 😭 thì lúc đó em chỉ có niềm tin mãnh liệt duy nhất vào hh tẩy tbc bột đậu đỏ + sữa chua + mật ong và body lotion của Thuỵ Sĩ em được cho . Cứ 3 lần /1 tuần em cứ miệt mài sử dụng hh suốt 1 tháng hơn, vì bị viêm lỗ chân lông nên em tránh hoạt động ra mồ hôi toàn người vì nếu mặc quần dài thì lcl sẽ bị bít, mặc đồ ngắn thì khói bụi vào lcl cũng như không. Nách thì tẩy tbc xong đợi ráo rồi lăn nách của vichy, điều cấm tuyệt đối là không được nhổ lông nách, chân thì có body lotion mà thoa miệt mài thôi. Sau hai tháng em cuối cùng cũng thoát khỏi tình trạng trên và bonus thêm trắng da 😭😭 khóc vì vui mừng . Em thấy nhiều người cứ bảo thoa mỡ trăn là hết nhưng em nghĩ bị viêm mà còn thoa dầu lên thì có khi bị viêm thêm, đó chỉ là suy nghĩ của em thôi còn chị nào hết thiệt thì chắc là có công dụng thiệt. 
Bài dài quá rồi nên em dừng tại đây thôi ạ, ai có thắc mắc gì thì cứ cmt em sẽ tl ạ
Edit: điện thoại em cùi nên chụp hình không lấy nét được nên em chỉ chụp đc lông mi và chân thui ạ
EDIT : có nhiều bạn hỏi chai body lotion mà em đi du học nên không có đem theo chai đó để chụp cho mọi người 😭😭 em xin lỗi nhiều ạ, mọi người có thể kham thảo thêm các dòng body lotion khác, em thì hay tìm theo chất lotion như lotion của châu âu thì chất lại dày hơn lotion của châu á. Em thấy mn kêu sử dụng lotion của vaseline thì sẽ bị mọc lông dài hơn , lúc mới triệt lông xong hoặc bị viên nang lông thì nên thoa lotion mỏng nhẹ hoặc chất dày nhưng lại thấm nhanh không gây bết rít là oke rồi ạ . ❤️❤️</t>
  </si>
  <si>
    <t>2019-11-03 01:14:32</t>
  </si>
  <si>
    <t>Phan Bảo An</t>
  </si>
  <si>
    <t>100014046611229</t>
  </si>
  <si>
    <t>#Đẹp chanh sả, quầng thâm mắt
Dạo này em hay thức khuya nhiều quá, nên mắt thâm như gấu trúc vậy, không biết mọi người có phương pháp nào hiệu quả không chỉ giúp em với, chứ mắt lờ đờ thiếu sức sống quá ạ.</t>
  </si>
  <si>
    <t>2019-12-08 08:27:06</t>
  </si>
  <si>
    <t>Duyên Kiều</t>
  </si>
  <si>
    <t>100043114631995</t>
  </si>
  <si>
    <t>- Tay em cứ đến chớm đông là khô và nhăn thế này :(( 
Các bác chỉ cho em loại kem nào cho tay bớt khô với ạ  ạ</t>
  </si>
  <si>
    <t>2019-12-06 02:48:33</t>
  </si>
  <si>
    <t>100038951952311</t>
  </si>
  <si>
    <t>#needhelp #xongmat 
Cho em hỏi xíu ạ 
Da em da hỗn hợp thiên khô - không mụn (lâu lâu nếu nóng sẽ lên 1-2 em thoi) 
Em xông mặt (bằng lá tía tô + chanh +sả + muối )tầm khoảng dc 3 lần (mỗi tuần 1 lần , tổng cộng là 3 tuần) 
Xông xong thì đợi 5-10p là dùng đá lạnh lăn 
Xông xong da mặt sáng ửng hồng nhưng sao em cảm giác nó sần da vùng má dưới mắt (sần k biết là đang lên mụn ẩn hay sao hix)
Và vùng dưới khoé mũi trước ko có mụn đầu đen nay lại thấy có , THẤY LCL HÌNH NHƯ CÓ VẺ TO HƠN TRƯỚC 
hix KHÔNG BIẾT LÀ DO SAi CÁCH CHỖ NÀO ạ
Mong người giúp em!!!! Em xông tầm 7 phút mỗi lần. Hồi tầm 1 năm mấy trước e cũng xông mặt nhưng thấy lcl cũng có vẻ to hơn , không biết đã sai chỗ nào ạ</t>
  </si>
  <si>
    <t>2019-10-15 02:00:17</t>
  </si>
  <si>
    <t>Loan Bella</t>
  </si>
  <si>
    <t>100003983098324</t>
  </si>
  <si>
    <t xml:space="preserve">#xongmat #needhelp </t>
  </si>
  <si>
    <t>Mong ad duyệt giúp e. 
- Mặt e bị mụn 5 năm rồi. Mặt e da nhờn, rỗ sẹo thâm , rất hay bị viêm sưng. Trước đây e có theo da liễu 1 thời gian dài. Cứ hết rồi lại lên ( kiểu như là tiền cứ ra mà mặt vẫn vậy, nhiều khi nãn lắm :( )  Mà đặt biệt mặt e rất nhạy cảm, dị ứng, đỏ mặt. 2 loại sản phẩm dưới e xài mà thấy cũng không hiệu quả cho lắm :(... Mong mọi người tư vấn giúp ạ. 😢</t>
  </si>
  <si>
    <t>2019-12-24 22:43:26</t>
  </si>
  <si>
    <t>Trần Minh</t>
  </si>
  <si>
    <t>100023613912041</t>
  </si>
  <si>
    <t>#lcystine #klenzitc #megaduo 
  Chào mn,chuyện là em uống l cystine được 3 vỉ thì mụn con mọc rất nhiều,nó sần sần bên má với lại ở trán ạ,mặt em bị mụn,có nhiều vết thâm lâu ngày nữa ,da dầu từ trước nhưng khi uống em thấy mụn lên nhiều hơn,tóc thì thấy cũng bớt rụng xíu nhưng lông tay lên như rừng amazon luônnnn á mn :)))))
   Em vẫn skincare bao gồm tt -srm -toner như bth,tối em chấm mụn klenzit c cho mụn sưng ( nhưng em thấy nó để lại thâm lắm ) và megaduo em bôi chủ yếu là chỗ mụn với thâm.Các ace thông thái có tips nào trị mụn chỉ em với,em có nên uống l cystine nữa kh ạ,chứ em thấy nó đẩy mụn kinhhh vch :(((( .Plz help me 😭😭 Em cảm ơn mn
Mong ad duyệt bài cứu vớt cuộc đời em 😢</t>
  </si>
  <si>
    <t>2019-11-10 00:20:44</t>
  </si>
  <si>
    <t xml:space="preserve">#megaduo #klenzitc #lcystine </t>
  </si>
  <si>
    <t>Mọi người ơi em bị mụn viêm và thâm có nên đi sapa nặn mụn để về phục hồi lại da không ạ 
Cứu em với huhu 
#mongadduyetbaihoem</t>
  </si>
  <si>
    <t>2019-12-20 09:36:27</t>
  </si>
  <si>
    <t>Phạm Duy Long</t>
  </si>
  <si>
    <t>100010868647918</t>
  </si>
  <si>
    <t xml:space="preserve">#mongadduyetbaihoem </t>
  </si>
  <si>
    <t xml:space="preserve">Cho em xin vài tips phối đồ cho nhìn đỡ béo với mọi người ơi. Em cao 1m6 và nặng 55kg, bắp tay em thì thô, còn đùi và vòng 3 của em to kinh khủng ( em nhớ hồi nghỉ hè thì vòng ba em hơn 100, còn đùi thì gần 60 ạ :&gt; ). Cũng sắp đến Tết rồi, ai mà chả muốn diện đồ xinh đi chơi Tết đúng không ạ, và em cũng vậy 😭 
#tipsphốiđồdànhchongườibéo
</t>
  </si>
  <si>
    <t>2019-12-10 14:28:42</t>
  </si>
  <si>
    <t>100041250436713</t>
  </si>
  <si>
    <t xml:space="preserve">#tipsphốiđồdànhchongườibéo </t>
  </si>
  <si>
    <t>Chị em ạ, tôi vừa mua 1 chai nước tẩy trang ở cửa hàng X nọ. Chỗ này thì t vẫn mua nc tẩy trang vì xem trên web của hãng thì thấy shop X cũng là cơ sở phân phối chính hãng và lần nào mua cũng đc cái chai nguyên tem nguyên mác có cả hdsd bằng tiếng việt. 
Thế mà lần này tự nhiên đc 1 chiếc chai nó khác khác, mùi thì vẫn thế mà dùng thử chưa thấy bị gì (da mình da siêu nhạy cảm). Mình có nhắn tin hỏi thì bên shop bảo là hàng xách tay (?!). Mình nhắn tin cho cả trang laroche posay thì bên ý bảo chai có tem mác kia là hàng chính hãng còn k khẳng định gì thêm. 
Thực sự thì cũng chửa đặt hàng xách tay chiếc tẩy trang này bao giờ nên mình cũng chưa dám khẳng định shop bán hàng "trộn" hay không và mk có "không may" mua phải chai rởm không. Nhưng thấy ghê ghê nên post lên đây hỏi các chị em thông thái soi giúp xem có phải fake lòi rồi không :(((
----------
Sau một hồi có các anh chị thông thái chỉ cho thì mình biết đc là 1 chai là hàng chính hãng pháp còn 1 chai là nhập khẩu VN. Đội ơn các anh chị nhiều,  chứ từ tối đến giờ dùng xong chưa đi tắm cứ ghê ghê chỉ lo mai mở mắt ra lại mẩn mụn đầy mặt 😘
 #nuoctaytrang</t>
  </si>
  <si>
    <t>2019-10-16 14:09:45</t>
  </si>
  <si>
    <t>Trang Nalu</t>
  </si>
  <si>
    <t>100035178045346</t>
  </si>
  <si>
    <t xml:space="preserve">#nuoctaytrang  </t>
  </si>
  <si>
    <t>Chào các chị, không biết có ai trong group từng bị giống em chưa ạ :(( tháng trước em bị 1 lần rồi xong tháng này bị giống vậy mà còn nặng hơn nữa :(( tối ngủ em dưỡng môi khá kĩ nên không phải do thời tiết làm môi khô ạ 😞
Từ bé giờ bị nóng trong người thì lở miệng bên trong miệng không à 😞 tự nhiên giờ bị như này trông kinh lắm em không dám ra đường luôn ý :((
Chị nào từng bị rồi có cách trị giúp em với 😞 search toàn ra ung thư các kiểu em sợ quá 😞 
#ask #lomoi #help</t>
  </si>
  <si>
    <t>2019-12-17 13:10:20</t>
  </si>
  <si>
    <t>Thai Thai</t>
  </si>
  <si>
    <t>100028054387821</t>
  </si>
  <si>
    <t xml:space="preserve">#help #lomoi #ask </t>
  </si>
  <si>
    <t>Có kem chống nắng nào hiệu quả và an toàn cho mẹ bỉm sữa không ạ 
Cho em xin ít riew với 
#đepchanhsa</t>
  </si>
  <si>
    <t>2019-12-13 16:28:06</t>
  </si>
  <si>
    <t xml:space="preserve">
#kemduongmygoldhanquoc
Các chị ơi, cho em hỏi có ai dùng kem dưỡng Hồng sâm my gold Hàn Quốc này chưa ạ, có hiệu quả kg ạ?
Em xin cảm ơn.</t>
  </si>
  <si>
    <t>2019-10-18 14:13:08</t>
  </si>
  <si>
    <t>100015859330648</t>
  </si>
  <si>
    <t xml:space="preserve">#kemduongmygoldhanquoc </t>
  </si>
  <si>
    <t xml:space="preserve">
Xưa giờ mặt mình không xài gì không có mụn luôn mà dạo này 2 bên mặt lên mụn viêm xưng nhiều quá,mọi người tư vấn giúp mình bắt đầu xài những gì ạ!
Mình thuộc da dầu nha m.n.
Cảm ơn ạ!!</t>
  </si>
  <si>
    <t>2019-12-06 23:52:30</t>
  </si>
  <si>
    <t>100023407877958</t>
  </si>
  <si>
    <t>E mong được duyệt bài ah ! 
E 31t , cũng sống chung với đôi mắt thâm đen này hơn 10năm rồi nè ,mần mọi cách vẫn không giảm , 
E thấy sp Skii có họp trị thâm quần mắt , nhưng giá chát quá .
Các chị e trong hội cho e xin chúc thông tin đi ah ? 
E cảm ơn !
 #skii</t>
  </si>
  <si>
    <t>2019-06-24 11:37:06</t>
  </si>
  <si>
    <t>Hân Nguyen</t>
  </si>
  <si>
    <t>100010570128272</t>
  </si>
  <si>
    <t xml:space="preserve">#skii  </t>
  </si>
  <si>
    <t>Da em trước dậy thì khá mụn! Sau đó thì e dùng rượu thuốc, e sài 2-3 loại suốt gần 1 năm như vậy, da đẹp tầm 2-3 tháng thì bị nổi lại, giờ nó tệ lắm ạ! Lỗ chân lông to, mụn đầu đen cực kì nhiều, nhất là ở vùng mũi, chi chít luôn, mụn nước mụn ẩn gì cũng có. E ngứa tay hay nặn nên thâm quá trời. E ngừng dùng hơn nửa năm nay rùi, e cũng k sài gì ngoài srm innifree để kiềm dầu và mụn nhưng vẫn ko bớt ạ. Da e giờ lúc khô ráp bong tróc lúc đổ dầu. Ai có kinh nghiệm về da như vậ chia sẻ giúp e với ạ. E stress mất T.T
#tuvan</t>
  </si>
  <si>
    <t>2019-12-02 13:16:43</t>
  </si>
  <si>
    <t>Võ Anh Tuấn</t>
  </si>
  <si>
    <t>100009135105915</t>
  </si>
  <si>
    <t>Các chị em có ai bị rạn da đỏ do tăng cân không ạ 😭có cách nào làm mờ rạn hông em đã giữ kg không tăng nữa nhưng thấy nó vẫn tiếp tục rạn</t>
  </si>
  <si>
    <t>2019-11-16 13:58:54</t>
  </si>
  <si>
    <t>100035362930739</t>
  </si>
  <si>
    <t>Mấy chị em cho em hỏi tí! 
Lâu lâu em lại nổi những đốm đỏ đỏ như muỗi đốt chủ yếu là tay chân nhưng không ngứa nhiều! Cho em hỏi có ai bị tính trạng giống em không ạ? Và cách điều trị như thế nào ạ :( ?</t>
  </si>
  <si>
    <t>2019-12-24 05:43:56</t>
  </si>
  <si>
    <t>Võ Ngọc Thuỳ Trang</t>
  </si>
  <si>
    <t>100005995952348</t>
  </si>
  <si>
    <t>Da e bị mụn vs nhìu mụn ẩn cộng them nám nữa. Các ce có sp hay cách nào trị hiệu quả k 😭 sắp tết rồi e cũng muốn có da đẹp</t>
  </si>
  <si>
    <t>2019-12-10 10:10:26</t>
  </si>
  <si>
    <t>Chi Sói</t>
  </si>
  <si>
    <t>100006722477969</t>
  </si>
  <si>
    <t>#Mọi người cho em hỏi về cách trị rạn da hiệu quả với ạ
Em bị rạn da cách đây 3 năm không phải do mang thai mà do em tăng cân trong thời gian ngắn. Em xài kem dầu dừa vẫn không thấy đỡ Những vết rạn nó cứ đỏ mãi không qua trắng. Mong các chị có thuốc hay mẹo nào chỉ em với ạ chỉ cần mờ đi thôi cũng được ạ
#emcamon❤️</t>
  </si>
  <si>
    <t>2019-11-26 15:27:07</t>
  </si>
  <si>
    <t>Huỳnh Yumi</t>
  </si>
  <si>
    <t>100006765401113</t>
  </si>
  <si>
    <t xml:space="preserve">#emcamon #Mọi </t>
  </si>
  <si>
    <t xml:space="preserve"> #ask #dadaumun
Đây là tình trạng mặt mình hiện h, da mình thuộc loại hỗn hợp thiên dầu, mụn, lỗ chân lông to và dễ bị thâm.
Có ai cho mình ít bí kíp giúp da sáng, hẹp lcl và hết mụn với 😥😥😥😥😥😥</t>
  </si>
  <si>
    <t>2019-10-05 14:18:07</t>
  </si>
  <si>
    <t>An Mei</t>
  </si>
  <si>
    <t>100013700047043</t>
  </si>
  <si>
    <t xml:space="preserve">#dadaumun #ask  </t>
  </si>
  <si>
    <t>chào mn!!
sau khi tìm hiểu e đc biết là e bị mụn nội tiết
e có vài câu hỏi về việc đi khám da liễu ạ
1. điều trị tầm bao lâu thì khỏi?
2. viện da liễu chỉ kê đơn thuốc uống hay có thuốc bôi?
3. trong quá trình điều trị thì có dùng skincare ko hay để mặt mộc?
4. 1 lần khám, kê thuốc thì tốn khoảng bn?
5. e có tìm hiểu thì biết bv có 3 gói: bsi thường, bsi phó giáo sư, bsi giáo sư. e nên dùng gói cao nhất ko  hay khám gói nào cũng như nhau?
6. trong bv thì có chăm sóc da, nặn mụn như các spa ko?
e cảm ơn &lt;3
#munnoitiet #dalieu</t>
  </si>
  <si>
    <t>2019-10-09 06:24:09</t>
  </si>
  <si>
    <t>Phương Hà</t>
  </si>
  <si>
    <t>100037936571386</t>
  </si>
  <si>
    <t xml:space="preserve">#dalieu #munnoitiet </t>
  </si>
  <si>
    <t>Em xin phép dùng acc clone đăng bài ạ .
Da mặt em thuộc dạng da dầu hiện tại nó như thế này ạ , mụn ẩn với bị thâm rất nhiều . Do lúc trc em không biết nên có mua trên mạng một số thuốc trị mụn , gần đây nhất là e có xài 2 lọ mtm cacah đây 2 tháng sau đó em không xài nữa . Sắp tới Tết rồi ma mặt emm v chán thật sự , anh chị nào có loại sp nào trị mụn ẩn với thâm tốt không ạ? Với e còn nhỏ nên không thể mua các sp đắt tiền .
Em cảm ơn .</t>
  </si>
  <si>
    <t>2019-12-07 02:57:59</t>
  </si>
  <si>
    <t>Ka Minh</t>
  </si>
  <si>
    <t>100010338004405</t>
  </si>
  <si>
    <t>xin chào mọi người
Mong ad duyệt bài giúp e ạ
Tình hình là men răng của e rất kém mọi người ạ. Mấy năm trước răng e bị sâu nhiều và phải chụp 4 cái răng giả. Từ đó e cũng kiêng đồ ăn nóng hoặc lạnh quá. Mà giờ răng giả bị vỡ e đi chụp lại thì thấy nhiều răng sâu lắm. E vừa phải đi chụp lại 5c liền. Thật ra chỉ bị 2c thôi mà phải chụp cả cái bên cạnh để giữ cái chân răng giả cho nó chắc. Nhưng cũng phải hàn tận 5-6c khác. Cả hàm răng của e chắc trừ mấy cái răng cửa thì sâu gần như là hết. Mà e đánh răng sáng tối vẫn bị sâu nhiều. Nên mọi người có cách gì hoặc dùng loại thuốc nào hợp lý chỉ giúp e với. Răng e còn bị hơi ố vàng nữa. 
Nhất đau mắt nhì đau răng, đau răng vừa đau mà tốn kém quá mọi người ạ</t>
  </si>
  <si>
    <t>2019-12-16 05:59:44</t>
  </si>
  <si>
    <t>Thị Nở</t>
  </si>
  <si>
    <t>100028652296432</t>
  </si>
  <si>
    <t>E tẩy thâm môi đc 3 tuần r ạ.mà 5 hôm nay trong lòng môi sưng lên , đỏ hơn và có ngứa.có bảo bên làm thì bảo mua thuốc này thoa lên.nhưng e thấy k hiệu quả  nó còn lan rộng hơn . Các chị giúp e với ạ @@</t>
  </si>
  <si>
    <t>2019-12-19 03:03:30</t>
  </si>
  <si>
    <t>Phạm Trân</t>
  </si>
  <si>
    <t>100029081532806</t>
  </si>
  <si>
    <t>#ask 
mấy hnay em có nổi một cái mụn sau lưng, kiểu lúc đầu nó khá bth nhưng hnay em thấy k đau nữa nên nặng ra thì thấy cái cục này, không biết có sao không ạ? cảm ơn mọi người
edit: em cảm ơn ạ, lúc chưa duyệt bài em cứ tưởng bị bọ ký sinh vào lên sợ quá chừng:))) giờ mọi người nói rõ rồi em cũng an tâm. cảm ơn ạ</t>
  </si>
  <si>
    <t>2019-11-16 23:36:59</t>
  </si>
  <si>
    <t>Elaine Stewart</t>
  </si>
  <si>
    <t>100027894666163</t>
  </si>
  <si>
    <t>M.n ơi thường thì làm chân mày kiêng nước mấy ngày ạ 
E kiêng 2 ngày rồi và sao nó cứ ngứa ngứa í không dám gãi lun😭
Khi nào thì mới bong ạ</t>
  </si>
  <si>
    <t>2019-11-24 15:34:34</t>
  </si>
  <si>
    <t>Trần Thơm</t>
  </si>
  <si>
    <t>100031465810404</t>
  </si>
  <si>
    <t>Em chào m.n.  E vào nhóm lâu lắm theo dõi lâu lắm mà chưa thấy bài viết nào về " cô bé " có mùi. Thật ra thì em văn dở nên cũng k biết nói ntn. E bị mùi rất hôi , vừa tắm vs sạch sẽ xong đi tiểu là có mùi liền. Mùi bám vào quân gây khó chịu. M.n co cách nào khắc phục k ạ ! 
#Helpme #Đepchanhsa</t>
  </si>
  <si>
    <t>2019-11-30 00:53:43</t>
  </si>
  <si>
    <t>100025159657345</t>
  </si>
  <si>
    <t xml:space="preserve">#Đepchanhsa #Helpme </t>
  </si>
  <si>
    <t>- Cho e xin tips trị mụn nặng ntn đc k ạ 😭😭😭😭😭😭 e hay thức khuya chơi game bây giờ làm sao ạ ?</t>
  </si>
  <si>
    <t>2019-11-27 00:41:48</t>
  </si>
  <si>
    <t>Minh Hùng</t>
  </si>
  <si>
    <t>100009908592038</t>
  </si>
  <si>
    <t xml:space="preserve">m.n cho em xin 1 ít kinh nghiệm trị thâm khi vừa đi nặn mụn ở spa về với ạ. 
</t>
  </si>
  <si>
    <t>2019-10-25 03:45:07</t>
  </si>
  <si>
    <t>100023568666854</t>
  </si>
  <si>
    <t>#ask #niengrangtrongsuot
Em chào mn ạ, tình hình là răng em 9630, em rất muốn niềng nhưng lại ngại xấu ấy ạ :(((
em đang tính niềng răng bằng khay trong suốt, nhưng liệu đeo vào có bị cộm miệng lên ko ạ
vì trc e có dùng khay tẩy trắng răng, đeo vào cứ bị cộm miệng lên k khép đc mồm ấy ạ 😂
trong hội có ce nào đã từng niềng cho e xin review với, e cảm ơn ạ!</t>
  </si>
  <si>
    <t>2019-12-23 11:02:46</t>
  </si>
  <si>
    <t>100042820043586</t>
  </si>
  <si>
    <t xml:space="preserve">#niengrangtrongsuot #ask </t>
  </si>
  <si>
    <t>Mấy anh chị cho em hỏi tình trạng hiện giờ của em là bị gì ạ 
Và có cách nào để trị không ạ 
Em cảm ơn .</t>
  </si>
  <si>
    <t>2019-12-05 04:56:07</t>
  </si>
  <si>
    <t>Võ Đức Trọng</t>
  </si>
  <si>
    <t>100030533858204</t>
  </si>
  <si>
    <t>Mn ơi ở đây ai có cách phục hồi tóc hư tổn kh ạ. Lúc trước tóc e dài nhưng cũng do uốn nên bị cháy tóc mà có nhuộm đuôi, sau đó e cắt ngắn. Nhưng vì thích nhuộm quá nên e đã nhuộm 2 3 lần, bây giờ tóc xơ phần đuôi nhưng e kh muốn cắt ngắn lên nữa. Có ai biết thuốc nào hay dầu gội đầu nào giúp phục hồi tóc kh ạ ❤️ E cảm ơn trước</t>
  </si>
  <si>
    <t>2019-10-28 12:45:25</t>
  </si>
  <si>
    <t>Nguyễn Phước Đan Thy</t>
  </si>
  <si>
    <t>100006653649207</t>
  </si>
  <si>
    <t>Các chị cho em hỏi cách dưỡng nuôi tóc nhanh dài và chắc khỏe được không ạ. Tóc em khá xơ khi em nhuộm màu tẩy vài lần. Bây giờ ra tiệm tóc họ bảo em phải dưỡng và cắt hết đoạn hư mới được làm cái mới như uốn hay duỗi ấy ạ @@ em khổ tâm với cái đầu em quá Huhu 
#duongtocdai</t>
  </si>
  <si>
    <t>2019-11-10 02:38:00</t>
  </si>
  <si>
    <t>Kim Huế</t>
  </si>
  <si>
    <t>100016873926435</t>
  </si>
  <si>
    <t xml:space="preserve">#duongtocdai </t>
  </si>
  <si>
    <t>Xin chào mn ạ!
Mn review cho em loại dầu gội và dưỡng tóc nào tốt cho da đầu và tóc khô với ạ 
Huhu tóc em dạo này như đống rơm hết cả 😭
Em cảm ơn các chị em ạ ❤️</t>
  </si>
  <si>
    <t>2019-12-06 13:44:35</t>
  </si>
  <si>
    <t>Khủng Long</t>
  </si>
  <si>
    <t>100027962353337</t>
  </si>
  <si>
    <t>Cho e xin ý kiến các chị hay đi làm nail ạ bộ này 400 có ổn ko ạ ❤️❤️
vn</t>
  </si>
  <si>
    <t>2019-10-09 12:32:42</t>
  </si>
  <si>
    <t>Trần Thy</t>
  </si>
  <si>
    <t>100003365860351</t>
  </si>
  <si>
    <t xml:space="preserve">vn </t>
  </si>
  <si>
    <t>chào cả nhà ĐCS ạ, da em là da dầu mụn, có nhiều mụn ẩn cực. Hiện em đang gặp một số vấn đề như sẹo rỗ ở má như hình, mụn ẩn, mụn đầu đen và có các sợi lông li ti mà khi em nặn ra thì bên dưới là nhân mụn đó ạ. Em cảm giác như tất cả các lỗ chân lông trên mặt em đều có mụn hết luôn huhu :( Không biết làm cách nào để giải quyết các tình trạng trên ạ, mong các chị thông thái giúp em, em cảm ơn rất nhiềuuuuuuu 🥰</t>
  </si>
  <si>
    <t>2019-12-23 11:04:52</t>
  </si>
  <si>
    <t>Christina Le</t>
  </si>
  <si>
    <t>100024870484663</t>
  </si>
  <si>
    <t>mình muốn cắt mí, 1 mí thành 2 mắt còn bị xếch nữa hạ xếch, rồi niềng luôn răng có ổn không mọi người, cho dù mình ko làm công việc gì liên quan đến khuôn mặt mà mình muốn đẹp hơn dễ nhìn hơn.
mặc dù mình thân thiện mà người ta nhìn vào bảo gian ác lắm ạ nói thế em hơi tự ti...
Ad duyệt bài giùm em</t>
  </si>
  <si>
    <t>2019-12-17 23:11:13</t>
  </si>
  <si>
    <t>Văn Hiếu</t>
  </si>
  <si>
    <t>100025316988303</t>
  </si>
  <si>
    <t>#ask #help #dadau #munviem #munboc
Đây là mặt của bạn em ạ,giờ nó vẫn chưa sử dụng bất kì sản phẩm nào cả.Mà sắp đến Tết rồi,các chị có thể tư vấn 1 vài sản phẩm phù hợp với da nó không ạ?Da nó là da dầu</t>
  </si>
  <si>
    <t>2019-12-16 14:07:15</t>
  </si>
  <si>
    <t>Uyên Nhi</t>
  </si>
  <si>
    <t>100012360160106</t>
  </si>
  <si>
    <t xml:space="preserve">#munboc #munviem #dadau #help #ask </t>
  </si>
  <si>
    <t xml:space="preserve">
#boctachseoro
Xin phép admin ạ
Tình hình là tuần tới e đi bóc tách đáy sẹo rỗ lần đầu kết hợp tca, prp. Anh chị cho em hỏi bóc tách xong thì buộc phải nghỉ dưỡng ở nhà tối thiểu mấy ngày ạ. Vì em chỉ xin nghỉ được 3 ngày để đi làm sẹo ( Có chị bảo em cần nghỉ 1 tuần -10 ngày, mà công việc của em không xin nghỉ dài ngày được ạ 😞 )
Ac cho em xin thêm tip chăm sóc da sau khi bóc tách sẹo vs ạ
Em cảm ơn admin và ac ạ &lt;3</t>
  </si>
  <si>
    <t>2019-09-28 05:52:51</t>
  </si>
  <si>
    <t>Bảo Oanh</t>
  </si>
  <si>
    <t>100004265985945</t>
  </si>
  <si>
    <t xml:space="preserve">#boctachseoro </t>
  </si>
  <si>
    <t xml:space="preserve">
Da e lcl to mà mỗi lcl lại có mụn nhân đầu đen bên trong đó nhiều nhất ở mũi và xung quanh má nặn xong nó lại lên ạ
M.n trong group cho e hỏi có cách nào chữa khỏi được ko ạ? 
Mong được ad duyệt bài giúp e ạ</t>
  </si>
  <si>
    <t>2019-12-10 04:19:39</t>
  </si>
  <si>
    <t>Em Chỉ Riêng Mình</t>
  </si>
  <si>
    <t>100013371709081</t>
  </si>
  <si>
    <t xml:space="preserve">Mọi người cho em hỏi chỗ vùng gần mắt em bị nổi mấy hạt nhỏ như này ấy ạ, hình như kphai mụn, làm sao để hết ạ :(( ?
</t>
  </si>
  <si>
    <t>2019-11-24 10:19:45</t>
  </si>
  <si>
    <t>Thuu Anhh</t>
  </si>
  <si>
    <t>100028580170086</t>
  </si>
  <si>
    <t>#help #tànnhang #chấmtannhang
Mọi người ơi em mới vào nhóm. Ai có kinh nghiệm hay là thợ thì cho em hỏi mặt em chấm tàn nhang liệu có hết ko ạ??
Và chấm tàn nhang bao nhiêu ngày nó rụng ạ?? Em cám ơn ạ.
Em chưa đẻ con chưa chồng nên ko bị nám ạh</t>
  </si>
  <si>
    <t>2019-11-24 10:11:56</t>
  </si>
  <si>
    <t>Xuân Ngô</t>
  </si>
  <si>
    <t>100006498139251</t>
  </si>
  <si>
    <t xml:space="preserve">#chấmtannhang #tànnhang #help </t>
  </si>
  <si>
    <t>#ask #tannhang 
Tình hình là mới 22t mà tàn nhang kín mặt như này đây :(( tn của mh là bẩm sinh có từ hồi lớp 2 rồi 😢
Mh cũng hay đi hóng cách trị tàn nhang nhưng thấy ít cái nào hiệu quả thật sự
Bắn laser là phổ biến nhất nhưng lại làm mỏng da và dễ tăng sắc tố đối với tàn nhang bẩm sinh, chăm sóc cũng phải rất kĩ. Khổ cái mh lại cực kì đỏng tính 😫 
Đợt mh đi spa thì đc tư vấn về cách trị tàn nhang, ngta bảo da mình hồng v là loại da mỏng, ko bắn laser đc mà sẽ trị bằng PRF vs Plasma gì đó ko làm mỏng da cũng k tăng sắc tố da. Nếu làm thì sẽ có 1 buổi đầu lên làm khoẻ da, sau đó tuỳ độ nặng nhẹ của da mà sẽ đi 3 4 lần. Làm xong có kq liền, ko làm bong tróc da và để sẹo, chỉ đỏ trong tg vài tiếng. 
Spa cũng có đưa hình ảnh những ng từng lm thì e thấy có hiệu quả thật. Giá làm thì cao hơn bắn tàn nhang nhiều ạ
Không biết ở đây ai biết về pp đó hay từng trải r chia sẻ ce biết đc ko ạ 
E tìm kiếm trên mạng mà thấy mù tịt nên hơi hoang mang 😭</t>
  </si>
  <si>
    <t>2019-08-20 07:40:13</t>
  </si>
  <si>
    <t>Anh Nguyet</t>
  </si>
  <si>
    <t>100004873990026</t>
  </si>
  <si>
    <t xml:space="preserve">#tannhang #ask </t>
  </si>
  <si>
    <t>#ask #help #dasiêudầu #lclto #mụncám #mụnẩn
Mong ad duyệt bài giúp ạ
Mọi người ơi cứu mình với . Từ ngày dậy thì đến giờ ,  da mình trở thành loại siêu siêu siêu dầu , lỗ chân lông siêu to ( như hố bom ) , mụn cám mụn ẩn thì thôi rồi , nhiều khỏi nói  . Mặt lúc nào cũng bóng loáng , như cái chảo chiên nem xù Hà Nội vậy :'( . Đã dùng qua nhiều loại kem dưỡng , toner cấp nước , dưỡng ẩm , kiểu dầu ,kcn kiềm dầu mà không ăn thua . Mọi ngưởi xin hãy cứu mình với :'(
Những sản phẩm mình đã dùng qua 
- toner some by mi
- kem dưỡng bioderma sebium pore refiner
- kem trị mụn ẩn la roche posay dou+
- kem dưỡng vitamin tree water gel
- lotion hada labo advanced nourish hyalyron
- serum TO niacinamide 
- kcn the saem
Vân vân và mây mây nhớ không nổi 😭😭😭😭</t>
  </si>
  <si>
    <t>2019-09-30 10:34:53</t>
  </si>
  <si>
    <t>Lê Trọng Nghĩa</t>
  </si>
  <si>
    <t>100025186113833</t>
  </si>
  <si>
    <t xml:space="preserve">#mụnẩn #mụncám #lclto #dasiêudầu #help #ask </t>
  </si>
  <si>
    <t>Có ai bị mụn lưng với ngực mà giống em khong ạ 
Khổ nổi là em bị mà còn bị mụn thịt nặn ra k có nhân mụn mà rất đau . Có cách nào để hết mụn và thâm giúp em không ạ 
Em cảm ơnn !</t>
  </si>
  <si>
    <t>2019-12-07 07:59:39</t>
  </si>
  <si>
    <t>Võ Hồng Loan</t>
  </si>
  <si>
    <t>100007014000385</t>
  </si>
  <si>
    <t>#help #mun #dasansui
Đây là tình trạng trán e, cả mấy tháng rồi nó cứ sần sùi như vậy. Em có nghe bạn bè thử vài loại serum nhưng cả mấy tháng r k tiến triển được gì. Cứ bị tự ti nên lúc nào cũng để mái che trán đi thì hình như nóng r mô hôi nhiều ở trán nó lại lên mụn liti vậy nhiều hơn. Giờ e còn sợ nó lan ra khắp mặt 😢 mọi người có cách gì chỉ em với ạ 😔😔😔</t>
  </si>
  <si>
    <t>2019-12-06 02:45:18</t>
  </si>
  <si>
    <t xml:space="preserve">#dasansui #mun #help </t>
  </si>
  <si>
    <t>#Askdamun
 Có ai bị da mặt "gồ ghề" như mình k ạ? Cả mấy cái mụn trắng kia nữa. Mn cho mình xin tip dưỡng da mịn bổ- rẻ với ạ :))</t>
  </si>
  <si>
    <t>2019-12-25 07:55:34</t>
  </si>
  <si>
    <t>Phương Thị</t>
  </si>
  <si>
    <t>100006236371738</t>
  </si>
  <si>
    <t xml:space="preserve">#Askdamun </t>
  </si>
  <si>
    <t>Bạn em có mua một set quần áo và thấy nó đang giảm giá nên mua luôn nhunge lại ngại hỏi nên em muốn hỏi mọi người rằng cái này có phải là kem trộn không ạ? Nếu sử dụng có ảnh hưởng hay gây hại cho da như thế nào ạ? 
Đây là ảnh thật của nó ạ.</t>
  </si>
  <si>
    <t>2019-12-14 13:23:35</t>
  </si>
  <si>
    <t>#sonblackrouge #auth #fake
Mn ơi, em vừa mua son bên Bovie Comestic trên shopee, nhưng mà hình như fake ạ, vì son mùi như kẹo mà khá nồng, chất son thì lỏng hơn cây cũ em đang dùng😭😭, như tô nước lã pha tí màu í ạ😭. Em tô tận 3 lớp thì nó mới lên màu (ảnh cuối). Em mua màu A06 mà đánh lại ra màu như ảnh. Các chị thông thái xem giúp em có phải fake không ạ😭😭. Em mua sale 109k, không phải em ham rẻ, nhưng mà do em thấy tận hơn 4000 lượt mua son black rouge ở shop này, nên nghĩ chắc cũng chất lượng thì mới nhiều người mua, ai dè😭. Son cũ của em bị mờ chữ với cả mất vỏ hộp r nên không đối chiếu được ạ. Em mới vô đọc lại đánh giá shop thì thấy nhiều đánh giá bảo là son fake (merzy, bbia cũng bị bảo là fake luôn). Các chị thông thái giúp em với ạ. Huhu. Em không biết check hidden tag, em mù cái này lắm. Huhu</t>
  </si>
  <si>
    <t>2019-09-21 15:39:04</t>
  </si>
  <si>
    <t>100007622682475</t>
  </si>
  <si>
    <t xml:space="preserve">#fake #auth #sonblackrouge </t>
  </si>
  <si>
    <t>E định dùng bộ mp mini của larocher   Màu xanh xemcó hợp k theo mn thì mặt e chữa ntn day ạ 😭 buồn cái bản mặt mk ghê
Hằng ngày e chỉ rửa srm và chấm mụn uống thêm viên uống trị mụn nữa ak 
 😣 mặt mụn đã đành hại tóc tóc e xơ mối lần chải nó rụng và gãy hết ngọn 
E đang ỡ Nhật mn ai bt đồ gì của Nhật tốt k nói e voi ạ</t>
  </si>
  <si>
    <t>2019-12-03 05:34:23</t>
  </si>
  <si>
    <t>#helppp
Mn tư vấn cho em một vài cách vệ sinh da mụn với ạ 😭 và một số sản phẩm phù hợp giá mềm một xíu ạ da em là da hỗn hợp :(((</t>
  </si>
  <si>
    <t>2019-12-15 03:18:44</t>
  </si>
  <si>
    <t>Hân Mai</t>
  </si>
  <si>
    <t>100029648145496</t>
  </si>
  <si>
    <t xml:space="preserve">#helppp </t>
  </si>
  <si>
    <t>#help #concealer #nhiemsactoda
Mọi người ơi, cho em lời khuyên với ạ!! Chẳng là em bị nhiễm sắc tố da (bị nửa khuôn mặt), thật sự là em rất tự ti nên em đã học trang điểm bằng các video trên mạng. Em cũng đang tìm một số concealer giá bình dân và có thể che được khuyết điểm này, mong mọi người tư vấn cho em với ạ 😭😭
*Em phải sử dụng snapchat để chụp vì điện thoại của là Samsung nên không chụp rõ được ạ 😅😅*</t>
  </si>
  <si>
    <t>2019-12-21 18:03:46</t>
  </si>
  <si>
    <t>Nguyễn Lê Nhật Linh</t>
  </si>
  <si>
    <t>100010800183861</t>
  </si>
  <si>
    <t xml:space="preserve">#nhiemsactoda #concealer #help </t>
  </si>
  <si>
    <t>Mọi người trong gr cho em hỏi. Đây là hình da tay của bạn em. Nó bị khoảng 2 năm rồi mà chẳng biết là bị gì cứ sần sùi như vậy( như kiểu mụn liti ấy ạ). Ai bị và trị rồi hay có cách nào chỉ giúp em với ạ. Chứ nhìn nó mặc đồ cứ phải che che vì tự ti nhìn tội lắm ạ
#Hỏidap</t>
  </si>
  <si>
    <t>2019-11-25 12:43:15</t>
  </si>
  <si>
    <t>Kim Loan</t>
  </si>
  <si>
    <t>100028669358494</t>
  </si>
  <si>
    <t xml:space="preserve">#Hỏidap </t>
  </si>
  <si>
    <t>Lúc trước em bị dị ứng nặng lắm ạ, sau điều trị thì còn thâm mụn, ai biết cách nào trị thâm mụn không ạ 😭 em cảm ơn 
#mong_ad_duyệt :&lt;</t>
  </si>
  <si>
    <t>2019-12-14 16:48:07</t>
  </si>
  <si>
    <t>Nguyễn Thị Huỳnh Như</t>
  </si>
  <si>
    <t>100038420391642</t>
  </si>
  <si>
    <t xml:space="preserve">#mong_ad_duyệt </t>
  </si>
  <si>
    <t>Các c cho e hỏi sự khác biệt của 2 loại này với ạ? 🥰🥰
#kemnen #dior</t>
  </si>
  <si>
    <t>2019-11-29 14:05:47</t>
  </si>
  <si>
    <t>Anh Lưu</t>
  </si>
  <si>
    <t>100018821144804</t>
  </si>
  <si>
    <t xml:space="preserve">#dior #kemnen </t>
  </si>
  <si>
    <t>Mấy c cho e hỏi có cách nào làm tóc mau dài hơn không ạ , e nối tóc r nhưng lại 2 tháng phải gỡ vì bị gàu chân tóc nên e không muốn nối nữa . Cũng sắp đến tết rồi mà tóc tai ngắn tnay nên e hơi chán . Nhìn mấy bạn tóc dài bồng bềnh mà ham quá . E không mong dài quá chỉ mong đến tết dài qua vai 1 xíu thôi .</t>
  </si>
  <si>
    <t>2019-12-09 06:24:44</t>
  </si>
  <si>
    <t>Nguyễn Ngọc Lan Hương</t>
  </si>
  <si>
    <t>100037178482416</t>
  </si>
  <si>
    <t>Da e đây vừa mới trị mụn xong, vẫn còn nhiều thâm nên e muốn tìm một số sản phẩm trị thâm và dưỡng lại da ạ. Hiện tại e chỉ dùng tt Bio hồng và srm Neutrogena xanh lá. E cảm ơn ạ</t>
  </si>
  <si>
    <t>2019-11-21 11:06:20</t>
  </si>
  <si>
    <t>Trần Thùy Linh</t>
  </si>
  <si>
    <t>100004367583454</t>
  </si>
  <si>
    <t>#Ask #Retinol
MẤY MẸ KEM TRỘN NÉ CON RA, ĐỪNG CÓ ADD IB NỮA XOÁ MỎI TAY
1. E mới 21 tuổi mà mắt nhăn quá ạ. Có sp nào dùng bớt nhăn nhanh k ạ? E sợ đang ít tuổi dùng sớm retinol quá sau nhờn 
2. Da e khô, lcl cũng nhỏ, e làm sạch rất kĩ nhưng 1 năm gần đây bị mụn ẩn, đầu đen nhiều. Nội tiết e k đều, e nghĩ do nội tiết chứ bước làm sạch e dùng tẩy trang máy rửa mặt srm đều đồ tốt hết. Có ai biết uống gì để đỡ lên mụn ẩn k ạ :((
3. Trị thâm mụn bằng sản phẩm nào khi dùng vitamin C k hợp( serum dior ) , dùng Dark Spot của Kiehs từng rất hiểu quả nhưng đã bị nhờn???</t>
  </si>
  <si>
    <t>2019-11-17 15:12:58</t>
  </si>
  <si>
    <t>Trịnh Thảo</t>
  </si>
  <si>
    <t>100004171240140</t>
  </si>
  <si>
    <t xml:space="preserve">#Retinol #Ask </t>
  </si>
  <si>
    <t>Chuyện la em bị tông xe mặt bị thế đấy(này là lúc mới lột mài mặc dù e rất kỹ,sức nghệ thoa thuôc cac kiu ...) mà nay nó đen lun mn ạ..thâm rôi nhin như cái bớt..bun lăm..tết đến rồi thế này làm sao về quê đây,có cách nào mờ thâm mn chỉ e với!!!!!
Ad duyêt bai giup e vơi.</t>
  </si>
  <si>
    <t>2019-11-29 11:08:19</t>
  </si>
  <si>
    <t>Bánh Mì</t>
  </si>
  <si>
    <t>100026278189328</t>
  </si>
  <si>
    <t>#trietlong #trietlongbi #tưvấn
Có chị nào có kinh nghiệm triệt lông bi không ạ? Tư vấn cho e có nên triệt không với. Bữa e có nghe chị đồng nghiệp kể chuyện đi triệt ngta k che chắn, tắm rửa gì cả cứ thế vào triệt e thấy ghê ghê sao íiii..eo ôi ngại chết. E đang có ý định triệt mà nghe xong k dám đi luôn. Chỗ nào cũng như vậy hay sao vậy các chị?</t>
  </si>
  <si>
    <t>2019-12-21 07:59:45</t>
  </si>
  <si>
    <t>Hà Vy</t>
  </si>
  <si>
    <t>100042351063403</t>
  </si>
  <si>
    <t xml:space="preserve">#tưvấn #trietlongbi #trietlong </t>
  </si>
  <si>
    <t>Em mới mua em luna3 này nhưng khi kết nối với đt tại sao lại k đc ạ liệu có phải fake k ạ mn giúp e với 😢
#Help</t>
  </si>
  <si>
    <t>2019-12-08 12:06:43</t>
  </si>
  <si>
    <t>Mi Kawaii</t>
  </si>
  <si>
    <t>100036292096428</t>
  </si>
  <si>
    <t>Tóc em sau sinh bị rụng mà giờ gần tết rồi có chị nào biết bí kíp hay loại nào kích mọc tóc nhanh chỉ em vs dc k ạ 😭😭😭</t>
  </si>
  <si>
    <t>2019-12-06 00:48:23</t>
  </si>
  <si>
    <t>Mai Sơn</t>
  </si>
  <si>
    <t>100031002885157</t>
  </si>
  <si>
    <t>Em bị rụng tóc sau sinh muốn hói luôn rồi .. nhà mình có ai biết có cách nào để tóc đừng rụng nữa và ra dầy lại như cỹ nhanh k ạ .. gần tết rồi !!! 
Giúp em với ạ</t>
  </si>
  <si>
    <t>2019-11-14 09:07:12</t>
  </si>
  <si>
    <t>Tina Kim</t>
  </si>
  <si>
    <t>100034892844307</t>
  </si>
  <si>
    <t>M.n cho em xin vài tips để chữa quầng thâm mắt ạ :(( 
Em đi ngủ khá sớm, trước 10h30 và cũng ngủ đủ giấc nữa nhưng chả hiểu sao vẫn xuất hiện quầng thâm 
Em có áp dụng chườm đá lạnh lên quầng thâm mắt  đc 1 tháng thì nó cũng chả bớt đi đc bao nhiêu cả, hoàn toàn vô dụng
MONG MỌI NGƯỜI CHO EM XIN VÀI TIPS HIỆU QUẢ ĐỂ CÓ THỂ CHỮA QUẦNG THÂM NHANH NHẤT Ạ 
Em xin cảm ơn
P/s : e đang ở tuổi dậy thì ạ 
#tips</t>
  </si>
  <si>
    <t>2019-12-15 05:59:22</t>
  </si>
  <si>
    <t>Ng Ngoc</t>
  </si>
  <si>
    <t>100041569717089</t>
  </si>
  <si>
    <t>#đepchanhsa #gochoidap
Tình trạng da mình hiện đang nổi mụn như vậy có phải bị nổi mụn nội tiết không ạ. Hiện tại mình đang dùng srm thorakau. Tẩy trang bioderma nắp hồng, kcn skin aqua nắp vàng và trị mụn hanayuky như hình ạ. Mọi ngươi cho mình hỏi nó có phải trộn không ạ. Nếu là mụn nội tiết thì mình cần uong gì và skincare như thê nào ạ. Lô chân lôg mình rất to 
#help me</t>
  </si>
  <si>
    <t>2019-08-23 10:26:58</t>
  </si>
  <si>
    <t>100006440952383</t>
  </si>
  <si>
    <t xml:space="preserve">#help #gochoidap #đepchanhsa </t>
  </si>
  <si>
    <t>#ask #son #camdat
Mong được ad duyệt bài sớm ạ.
Chào chị em. Em muốn mua son màu cam đất như hình nhờ các chị em thông thái tư vấn 😞  ưu tiên son thỏi càng tốt ạ, rổ giá thì tầm 500 đổ xuống thui ạ. Cảm ưn chị em rất nhìuu 💞💞</t>
  </si>
  <si>
    <t>2019-06-23 09:45:33</t>
  </si>
  <si>
    <t>Thanh Nga</t>
  </si>
  <si>
    <t>100005769524654</t>
  </si>
  <si>
    <t xml:space="preserve">#camdat #son #ask </t>
  </si>
  <si>
    <t>#optibactim
Đã là phụ nữ thật sự mấy vấn đề về vùng kín thật sự nhiều. Nhất là viêm âm đạo tái đi tái lại.😥😥. Đi khám cứ thuốc thuốc đặt đặt rất mệt mỏi. Mình vô tình thấy mn bảo uống men này co thể chữa dc vad. K biết co hiệu quả như quảng cáo k. Vì giá khá cao nếu uống liên tục .minh đang phân vân wa. Có ai dùng rồi hiẹu quả chia sẻ giúp mình với. Cảm ơn rất nhiều nha.😘😘. Mong ad duyệt bài e nhé.</t>
  </si>
  <si>
    <t>2019-08-16 02:23:50</t>
  </si>
  <si>
    <t>Bảo Phương</t>
  </si>
  <si>
    <t>100004497370190</t>
  </si>
  <si>
    <t xml:space="preserve">#optibactim </t>
  </si>
  <si>
    <t xml:space="preserve">
Mong các ace cho em xin review sp huxley với da em là da dầu ạ
Thanks all ❤️</t>
  </si>
  <si>
    <t>2019-08-10 08:19:05</t>
  </si>
  <si>
    <t>Quỳnh Bảo</t>
  </si>
  <si>
    <t>100008134366147</t>
  </si>
  <si>
    <t>Mong ad duyệt bài cho em 😭
Mọi người ơi đây là tóc rụng của em sau 1 lần chải đầu. Lần nào cũng rụng nhiều vô kể như này, vơ đc cả nắm luôn. Thuốc chống rụng tóc em đã uống qua nhưng không ăn thua lắm
Tình trạng này kéo dài gần 2 năm rồi :( mọi người có đầu gội nào chống rụng tóc tốt không ạ? Hiện tại em dùng Dove.
Dầu gội Kasa của Nhật có OK không ạ?</t>
  </si>
  <si>
    <t>2019-11-07 11:30:09</t>
  </si>
  <si>
    <t>100010734372468</t>
  </si>
  <si>
    <t>Mọi người ơi em buồn khổ quá ạ :((( mặt e mụn giờ thâm nhiều quá ạ. Da e thuộc da dầu mà dạo gần đây trời lạnh nên nó có hơi khô với bong tróc da một ít. Cho e xin tips trị thâm mụn với ạ. Hiện tại e chỉ skincare đơn giản thôi ạ. Trị mụn ở da liễu hết rồi vẫn bị lại. Trước e có xài thuốc bắc ạ! 
Những sản phẩm hiện tại e đang dùng: 
Tẩy trang Loreal xanh dương nhạt
Srm Laroche da dầu
Ttbc Rose xanh dương
Toner Simple
Lotion Hada labo cho da dầu
Yoosun rau má
Eucerin Pro acne day whitening SPF 30
Xịt khoáng Bio Essence</t>
  </si>
  <si>
    <t>2019-12-06 07:36:44</t>
  </si>
  <si>
    <t>Đặng Thị Ngọc Bích</t>
  </si>
  <si>
    <t>100009063238206</t>
  </si>
  <si>
    <t>Cho e xin vài loại kem chấm mụn hiệu quả với mọi người ơi. Da e đã nhạy cảm, hỗn hợp dầu mụn nên rất ngại sử dụng nhiều loại Mỹ phẩm. 
E chỉ skin care đơn giản là srm + serum cấp ẩm. 
Những ngày bình thường 1 2 nốt mụn k đáng kể nhưng cứ đến giai đoạn gần kì kinh là trên mặt lại mọc lên như được mùa. 😭😭 
E muốn tham khảo vài loại kem chấm mụn hiệu quả, mong mn giúp e. 😢😢
#trimun</t>
  </si>
  <si>
    <t>2019-12-12 08:56:09</t>
  </si>
  <si>
    <t>Lạc Nhiên</t>
  </si>
  <si>
    <t>100026877514940</t>
  </si>
  <si>
    <t>Chào mọi người mình là thành viên mới của nhóm, Nhờ mọi người giúp mình với ạ. Mình năm nay 28t từ nhỏ tới giờ mình k dùng sữa rửa mặt hay kem dưỡng da gì cả. Mùa hè vừa rồi mình có dùng kem chống nắng và sữa rửa mặt      khoảng 1 tuần thì bị mụn ẩn,mụn đậu đen ở hai bên má mình nặn thì nó bị sẹo đỏ và thâm đen mọi ng cho mình ý kiến và nên dùng gì đây ạ! da mình là da nhờn ạ mong mọi ng chỉ giúp mình với ạ</t>
  </si>
  <si>
    <t>2019-12-07 12:41:23</t>
  </si>
  <si>
    <t>Nguyễn Xuân</t>
  </si>
  <si>
    <t>100022465481876</t>
  </si>
  <si>
    <t>#Ask  #kemdưỡngtrắngdànhchophụnữ40ttrởlên
Hi vọng được ad duyệt bài :&lt;
Chào cả nhà. Mẹ mình năm nay 43t, mình định tặng mẹ hộp kem dưỡng trắng vì mẹ thích dùng gì da căng mọng và trắng mà cứ đi nghe người khác xúi kem trộn :(( 
Mọi người cho mình hỏi kem này có hiệu quả ko ạ? Hay giới thiệu cho mình thêm ít sản phẩm dành cho mẹ cũng đc ạ. (Giá bình dân tầm 500k đổ lại là đc 😂)
Cảm ơn ad và mọi người</t>
  </si>
  <si>
    <t>2019-08-20 04:42:30</t>
  </si>
  <si>
    <t>100028150511823</t>
  </si>
  <si>
    <t xml:space="preserve">#kemdưỡngtrắngdànhchophụnữ40ttrởlên  #Ask </t>
  </si>
  <si>
    <t>#collagentrangda #collagenshoyo
   Mọi người cho em hỏi có ai đã dùng cllagen này chưa ạ 
   Con em được 6 tháng rùi thì em uống được chưa.
   Và uống sáng hay tối thì hiệu quả nhất ạ
  Vào nhóm tìm bài mà không thấy review cllagen này hic 
   Cảm ơn ad đã duyệt bày</t>
  </si>
  <si>
    <t>2019-11-28 23:55:20</t>
  </si>
  <si>
    <t>Hoàng Khánh Ngọc</t>
  </si>
  <si>
    <t>100040637903678</t>
  </si>
  <si>
    <t xml:space="preserve">#collagenshoyo #collagentrangda </t>
  </si>
  <si>
    <t xml:space="preserve">
#phukhoa
Chào mng. Hôm nay em tự nhiên phát hiện mình có khí hư màu vàng dạng lỏng có mùi hôi tanh (nó ra cũng khá nhiều ạ). Không biết nó bị vậy thì bình thường hay không ạ vì em không bị ngứa hay đau rát gì hết. Em chưa qhtd
Văn phong em hơi lủng củng, mong mng thông cảm :(((
Mong ad duyệt bài nhanh :((( hiện tại em cảm thấy hoang mang quá</t>
  </si>
  <si>
    <t>2019-12-22 10:33:14</t>
  </si>
  <si>
    <t xml:space="preserve">#phukhoa </t>
  </si>
  <si>
    <t>#ask #răngkhôn 
Chào mọi người!
Cho mình hỏi ở đây có ai đã từng nhổ răng khôn ở BV quân Y 175 (Gò Vấp,HCM) chưa ạ? Có thể cho mình xin chút review được không?
Mình có bảo hiểm ở BV này và lại gần nhà tiện đường đi, nhưng lại có chút lo về độ an toàn. Lướt các bài đăng cũ thấy mọi người đều khuyên nhau nhổ ở BV RHM cho an toàn, nhưng nhìn bảng giá thì túi tiền người người sinh viên lại đau quá cơ =(((((( 
Xin mọi người cho ý kiến ạ. 
(Ảnh sưu tầm)</t>
  </si>
  <si>
    <t>2019-09-27 00:00:22</t>
  </si>
  <si>
    <t>Thất Tịch</t>
  </si>
  <si>
    <t>100015671259170</t>
  </si>
  <si>
    <t xml:space="preserve">#răngkhôn #ask </t>
  </si>
  <si>
    <t>Mặt em thuộc da dầu , mụn và thâm ai có cách nào không ạ chỉ em với ạ , gần tết rồi mà thế này 😥</t>
  </si>
  <si>
    <t>2019-11-23 10:26:54</t>
  </si>
  <si>
    <t>Lê Thị Thúy Nga</t>
  </si>
  <si>
    <t>100023443667031</t>
  </si>
  <si>
    <t xml:space="preserve">
Mấy chị ơi,da em da dầu nên trị mụn hết 1 thời gian nó lại vẫn lên + thêm việc đi làm bị dị ứng bụi trong cty nên k thể theo nguyên tắc hết mụn mới làm trắng da.
Mấy chị tư vấn giúp e xem e nên sd sp gì cho nâng tông da mặt và trị mụn đón Tết ạ.
Em xin cảm ơn</t>
  </si>
  <si>
    <t>2019-11-21 15:03:10</t>
  </si>
  <si>
    <t>E rầu da mặt em quá chị em oi. Em liên tục bị mụn từ 7 nam nay mặc dù skin care kĩ mỗi buổi tối. Uống đủ loại thuốc cấp nước cho da rồi đi spa các kiểu . Nói chung đủ trò mà mặt em vẫn mụn ẩn dưới quanh cằm là rất nhiều. Ai giúp em với ạ 😞 em stress lắm, con gái có cái mặt thui. 
Mặt e k xài mỹ phẩm. Mỗi buổi tối chỉ tẩy trang, sửa sửa mặt và nc hoa hồng thôi ạ. Da mặt e là da dầu, dầu đến mức sáng ngủ dậy là ướt cả mặt như rửa mặt í. 
Em tha thiết mấy chị giúp em với ạ</t>
  </si>
  <si>
    <t>2019-10-25 15:34:50</t>
  </si>
  <si>
    <t>Nguyễn Gia Linh</t>
  </si>
  <si>
    <t>100008540671414</t>
  </si>
  <si>
    <t>#ask #mun
Mong ad duyệt bài giúp em ạ
Mn tư vấn giúp em với 
Da em giờ gần như hết mụn 90% rồi(còn ít mụn ẩn ở trán thoi ạ) mà còn rất nhiều thâm,em cũng cảm nhận thấy lcl ở 2 bên má cạnh mũi ngày càng to sao á, ở trong nhà thì không thấy rõ, nhung ra ngoài đường là nhận thấy ngay (e cũng có tàn nhang nhg k đáng kể) 
Em đang dùng serum melano và toner CC luôn ạ 
Mong mn có thể tư vấn cho em sp trị lcl vs thâm mụn nữa ạ 
Em cảm ơnn ạ</t>
  </si>
  <si>
    <t>2019-11-25 09:11:19</t>
  </si>
  <si>
    <t>100009574024952</t>
  </si>
  <si>
    <t xml:space="preserve">#mun #ask </t>
  </si>
  <si>
    <t xml:space="preserve">#tangcan
Hi mọi người. Mình gầy tong teo cũng chục năm nay rồi. Ăn cũng đầy đủ không bỏ bữa, ít ăn vặt ít ăn ngọt thôi. Lúc nhỏ béo nên không phải do cơ địa nhé. Có ai từng tăng cân thành công không, chỉ mình với. Cảm ơn mọi người nhiều. 
</t>
  </si>
  <si>
    <t>2019-12-01 02:57:29</t>
  </si>
  <si>
    <t>Ng Quyên Quyên</t>
  </si>
  <si>
    <t>100022886768839</t>
  </si>
  <si>
    <t xml:space="preserve">
#goccưuchua
Môi e hiện giờ bị khô, lớp da khô như bị nẻ vậy ạ. Đau và ngứa lắm ạ. E mong các c tư vấn cho e ạ</t>
  </si>
  <si>
    <t>2019-11-12 05:42:57</t>
  </si>
  <si>
    <t>100012834974723</t>
  </si>
  <si>
    <t xml:space="preserve">#goccưuchua </t>
  </si>
  <si>
    <t xml:space="preserve">
#mụn_áp_xe
Mọi người có bí kíp để trị mụn này không ạ😭😭😭nó sưng vùng xung quanh mụn...khi nặn thì ra máu, mủ...và nó đau thấu xương luôn ạ😵😵</t>
  </si>
  <si>
    <t>2019-12-05 09:24:37</t>
  </si>
  <si>
    <t>Hà Đăng Hoàng</t>
  </si>
  <si>
    <t>100040483411512</t>
  </si>
  <si>
    <t xml:space="preserve">#mụn_áp_xe </t>
  </si>
  <si>
    <t>#ask #rungtoc
Dạ các chị đẹp ơi cho em hỏi các chị đã và đang dùng sản phẩm nào trị rụng tóc mà oke không ạ? Tóc em xưa giờ rụng nhiều lắm, mà ko hiểu sao dạo gần đây rụng kinh khủng khiếp, em thấy rujg nhiều mới đi cắt ngắn, cắt rồi mà về còn rụng ghê khủng khiếp hơn, riết tóc e còn nhúm như đuôi bò ý T.T đã zị còn bị hói, buộc tóc lên thấy hói với đuôi tóc nhìn thấy thảm luôn T.T
MẤY CHỊ CÍU EM ZỚI Ạ HUHU</t>
  </si>
  <si>
    <t>2019-11-06 11:24:26</t>
  </si>
  <si>
    <t>Nguyên Cat</t>
  </si>
  <si>
    <t>100008154786388</t>
  </si>
  <si>
    <t xml:space="preserve">#rungtoc #ask </t>
  </si>
  <si>
    <t>#uonmicollagen
Em đang phân vân có nên đi uốn mi collagen hay không vì mi của em cũng gọi là đủ dùng nhưng hơi bị cụp nên mắt trông bé hơn. Nối mi thì em sợ k hợp( vì em đeo kính ) và khi gỡ dễ rụng mi. Em muốn hỏi 1 vài điều khi uốn mi :
1. Uốn thì mi sẽ giữ được trong bao lâu ạ ?
2. Có rụng mi từa lưa như nối mi không ạ ?
3. Có được làm liên tục không ạ ? 
Mong các chị giúp đỡ em !!!! Em xin cảm ơn 😍
Edit : Mi của em đây ạ. Dày vừa đủ dùng nhg nó không cong ấy an 🤦🏻‍♀️ cứ bấm mi đc chắc đúng 2 phút là như ban đầu luôn nên nản lắm ạ 😞 ( ảnh 2 )</t>
  </si>
  <si>
    <t>2019-10-19 09:54:02</t>
  </si>
  <si>
    <t>Huyền</t>
  </si>
  <si>
    <t>100009591198508</t>
  </si>
  <si>
    <t xml:space="preserve">#uonmicollagen </t>
  </si>
  <si>
    <t>Mây chi cho em hỏi lăn kim da tróc đueoecj 10 ngay rui mà mặt vẫn đỏ dần thâm lại thì lam sao cho hết ạ... ai biét chỉ e với em cảm ơn ạ</t>
  </si>
  <si>
    <t>2019-12-06 15:25:53</t>
  </si>
  <si>
    <t>Kim Bella</t>
  </si>
  <si>
    <t>100009996544032</t>
  </si>
  <si>
    <t>Các chị cứu em với ạ.Em nghĩ chắc là do bị bắt nắng 😭😭.Có cách nào để chữa không ạ?
#help #batnang</t>
  </si>
  <si>
    <t>2019-12-09 08:23:11</t>
  </si>
  <si>
    <t>Hàn Mẫn Hy</t>
  </si>
  <si>
    <t>100009213122303</t>
  </si>
  <si>
    <t xml:space="preserve">#batnang #help </t>
  </si>
  <si>
    <t>Em mong được ad duyệt bài! 
Mọi người ơi, môi em hay bị khô, ai cũng nói môi em mét mét tái tái như Miến thịt bò :v lại còn như môi chì , rồi bự nữa. 
Môi này có phải bị thâm không mọi người
Duỡng hoặc đi  khữ thâm môi thì ok không mnguoi. Ai từng bị cho em xin ý kiến voi ạ. ❤</t>
  </si>
  <si>
    <t>2019-12-06 07:25:50</t>
  </si>
  <si>
    <t>Cao Thị Kim Ngân</t>
  </si>
  <si>
    <t>100011868247949</t>
  </si>
  <si>
    <t>#ngứa#bongda#add_duyệt_bài_giúp
#Cầu _cứu😭😭😭
Có chị nào bị như e không ạ em đã bị 4 tháng rồi cấp ẩm đủ kiểu mà không hết. Ngưa ,rát bong da . Em nghĩ mình bị viên da tiết bã. Giờ không biết làm sao cho hết . Các chị thông thái có ai bị như em chỉ em với!</t>
  </si>
  <si>
    <t>2019-12-16 13:11:25</t>
  </si>
  <si>
    <t>Loan Le</t>
  </si>
  <si>
    <t>100022771304951</t>
  </si>
  <si>
    <t xml:space="preserve">#Cầu #add_duyệt_bài_giúp #bongda #ngứa </t>
  </si>
  <si>
    <t>Vừa có chị gái đăng bài pr mộc thảo mai trong nhóm mình mà xoá nhanh như 1 cơn gió, nay t đi lạc vào gờ rúp nhà Mai Thuý t đọc t cười ỉ.a. 
Còn nhiều bài mị dân lắm đọc đ” xuể, giờ t hiểu cảm giác của mấy bà gr mình hay đọc bài của bọn trộn khuấy để giải trí rồi :)))</t>
  </si>
  <si>
    <t>2019-11-22 08:42:45</t>
  </si>
  <si>
    <t>#chanmay 
Thật sự nhìn tấm hình này e phì cười :)) chân mày em không đều nhau , tay e ko khéo còn hay run run nên khi kẻ chân mày chỉ biết kẻ theo đường có sẵn thì nó lại lệch mất  (mắt có người kẻ giúp nên đỡ fail hì hì) . Các chị em có tips nào giúp cho lông mày mọc đều nhau hay cách nào khác ko ạ ? 
Em cảm ơn ạ</t>
  </si>
  <si>
    <t>2019-12-09 14:47:25</t>
  </si>
  <si>
    <t>Bích Hà</t>
  </si>
  <si>
    <t>100004069400649</t>
  </si>
  <si>
    <t xml:space="preserve">#chanmay </t>
  </si>
  <si>
    <t>#help 
Hi guys! Năm nay em vừa chuyển sang cấp 3, sau lần thi chuyển cấp mệt mỏi (ngủ không đủ giấc, ăn uống không đều độ) từ 1 đứa xưa đến h không có mụn bỗng chốc lại trở thành “nạn nhân của mụn”. Nhưng chưa dừng lại ở đó, sau mùa thi (tức là hè) đó mới là đỉnh điểm thảm hoạ của cuộc đời em. Vì là con trai nên em không quan tâm lắm nghĩ rằng chắc là do dậy thì nên mới thế, vào năm học mới lại bth trở lại. Hạ cứ trôi, mụn trên mặt em càng lúc càng nhiều và em biết mình phải làm gì thì đã quá muộn, mụn bọc, mụn trứng cá, mụn viêm,.. đua nhau khoe sắc trên mặt em. Em có nhiều lời khuyên từ bạn bè xung quanh, em đi cắt tóc gọn gàng ( vì tóc rất bẩn sẽ làm ảnh hưởng đến da ), em học cách skincare, xài thuốc trị mụn,... Và da nó còn nặng hơn lúc đầu. Em thật sự rất tự ti khi ra đường khi mặt mài ai cũng sáng sủa, sạch sẽ còn em thì không, em có thói quen nch không dám nhìn thẳng mặt đối phương từ bao h cũng k bt nữa ☺️ Em vào gr này vừa tối qua vì có người bảo em, hi vọng nhận được lời khuyên chân thành từ các ac, cảm ơn ạ!! 
P/s: Và sau đây là bộ ảnh quá trình da mặt của em</t>
  </si>
  <si>
    <t>2019-08-24 11:52:08</t>
  </si>
  <si>
    <t>Mấy chị giúp em với ạ, gần tết rồi mà mặt em vẫn thế này đây😞. Da
 em thuộc da dầu, nhạy cảm và lcl to. Hiện tại em đang dùng tẩy trang bio màu xanh, srm keracnyl, toner meishoku, đắp mặt đất sét kiehl's và xịt khoáng bioderma ạ..
em cảm ơn.
#skincare</t>
  </si>
  <si>
    <t>2019-12-03 15:28:36</t>
  </si>
  <si>
    <t>100014765348702</t>
  </si>
  <si>
    <t xml:space="preserve">Dạ em chào mọi người !!! Chả là bạn em bị mụn đang bắt đầu con đường skin care xong có hỏi ý kiến em, bạn em là da dầu mụn nhạy cảm nên em có khuyên bạn mua nguyên bộ simple là srm, tẩy trang, toner vì em nghe cái này dịu nhẹ dành cho da nhạy cảm và kcn innisfree triple care ... Với niềm tin hy vọng mãnh liệt là bạn có thể hết mụn để ăn tết. Nhưng sự thật không như mơ là sau một tuần bạn dùng thử thì bị lên mụn mủ ngay trán, em sợ do kcn của bạn bị bí da nên khuyên bạn ngưng dùng chỉ sài các bước còn lại thôi, sau hai tuần thì bạn bảo hai bên má mọc mụn rất nhiều, ửng đỏ lên .Em không biết là bạn bị breakout hay thế nào ... Em có hỏi bạn là đã từng đi da liễu chưa, bạn kêu đi rồi nhưng k bớt. Em muốn hỏi mọi người là nên giải quyết khuôn mặt của bạn như thế nào ạ? Em xin cảm ơn </t>
  </si>
  <si>
    <t>2019-11-26 07:59:52</t>
  </si>
  <si>
    <t>Phuoeng Mỹỹ</t>
  </si>
  <si>
    <t>100013175823934</t>
  </si>
  <si>
    <t>#cầntưvấn #thâmnám
Mọi người ơi cho em hỏi nhóm mình có ai dùng dầu gấc để trị mụn, thâm với nám chưa ạ, em thấy có nhiều người dùng dầu gấc để massage giúp da hồng hào hơn, mịn với cả lỗ chân lông se lại, mụn cũng giảm đi ấy ạ, mong sẽ nhận được sự tư vấn của mọi người ạ, em cảm ơn nhiều ạ.</t>
  </si>
  <si>
    <t>2019-12-21 08:53:38</t>
  </si>
  <si>
    <t>Bảo An</t>
  </si>
  <si>
    <t>100015101371415</t>
  </si>
  <si>
    <t xml:space="preserve">#thâmnám #cầntưvấn </t>
  </si>
  <si>
    <t>Mn ơi, da hỗn hợp ( khô mùa đông và dầu mùa hè ) thì nên dùng kem chống nắng và kem dưỡng ẩm loại gì ạ ? ☹ Hiện tại da e đang bị thâm khá nhiều và vẫn còn 1 chút mụn ở trán và cằm. E mới tập skincare nên chưa rõ nhiều loại mĩ phẩm. Mn giúp e vs 
#goctuvan</t>
  </si>
  <si>
    <t>2019-11-30 02:15:30</t>
  </si>
  <si>
    <t>Mộc Nhiên</t>
  </si>
  <si>
    <t>100042506746087</t>
  </si>
  <si>
    <t xml:space="preserve"> #beobung #baptayto #ask
Mọi người ơi cho em hỏi làm thế nào để giảm cân cấp tốc ạ, do em béo quá mặc áo dài cứ bị cười nên tủi thân lắm ạ. Hiện tại em 61kg, 1m70. Bụng em to và bắp tay rất thô, rất xấu, đi chubg với các bạn cứ tưởng lớn hơn chúng nó chục tuổi ấy. Hiện tại em đang uống Nutri D D Korea, hạn chế tinh bột, đường và dầu mỡ. Em định theo keto nhưng không có thời gian nấu. Mọi người giúp em với ạ 😭
(em ngoài cùng bên trái)</t>
  </si>
  <si>
    <t>2019-09-11 13:19:40</t>
  </si>
  <si>
    <t>Võ Thị Trâm Anh</t>
  </si>
  <si>
    <t>100013231083679</t>
  </si>
  <si>
    <t xml:space="preserve">#ask #baptayto #beobung  </t>
  </si>
  <si>
    <t xml:space="preserve">
#trimun
#rvmeimei
Hôm nay cuối tuần ko có kèo nên t rảnh viết bài TRỊ MỤN cho các ce đang đau đầu lo lắng vì mụn đây !
Vào vấn đề ngay lun : da t bị mụn 2 bên má như hình , mụn sưng viêm , cám , ẩn , đầu đen nchung có đủ .  Và da mình là DA HỖN HỢP DẦU nhé
- Việc đầu tiên của vấn đề trị mụn vẫn lun là Làm sạch - làm sạch - làm sạch ( cái gì quan trọng nói 3 lần 😂)
- 📍Douple - Triple cleansing : tẩy trang dầu - tẩy trang nước - srm ( dùng máy rửa mặt )
- + Tẩy trang dầu : Kiehl’s - dùng dầu tẩy trang lưu ý đặc biệt là phải nhũ hoá kỹ , t chỉ dùng dầu hnao makeup thôi
- + Tẩy trang nước : Bioderma hồng : cho da nhạy cảm dùng luôn được cho mắt môi ( ở nhà cả ngày , ko make up thì tối cung phải lau bông tẩy trang nha , ô nhiễm khói bụi dữ lắm lun ) 
- + SRM : Cataphil và STives trà xanh : da mụn thì nên dùng các sp srm ko bọt nhẹ dịu . Stives là để tẩy tbc lun . Đến bh hết mụn rồi thì t vẫn dùng y chang v 😍 Ai có điều kiện thì nên dùng máy rửa mặt nua nhé ( recomemend : Foreo Luna 2 ) 
- 📍Tẩy tbc - xông mặt : tẩy tbc có 2 loại là vật lý và hoá học , mục này sẽ nói về vật lý . Là t dùng cái srm ST. ives như đã nói ở trên . Hôm nào siêng sẽ là mặt nạ đường đen của Freeman ( bôi xong đi tắm các kiểu , rồi rửa mặt ) 1 tuần 2-3 lần .
     + Xông mặt : chanh , sả , tía tô , lá chè tươi ,... cái gì dễ mua thì sử dụng cái đó ko cần quá câu nệ đâu . Nấu nồi nc xông tầm 5-10p là được , rồi để da nghỉ 10-15p , có thể lăn đá khổ qua , diếp cá . Xay lấy nc bỏ khay đá rồi lăn á , hoặc mua bột pha , bột đó đắp mặt đc lun
📍TONER : lúc bị mụn m dùng toner Simple , sau khi hết mụn m chuyển qua Laroche posay để se khít lcl , và trị mụn đầu đen. 
+ Toner simple : nhẹ dịu , ko cồn , thích hợp cho da bị mụn
+ Toner laroche posay : toner này t thấy làm sạch tốt lắm , hnao rửa mặt mà chua sạch lau qua toner thấy bông còn vàng vàng lun á, kieu sạch từng lcl. Dùng nó lcl m nhỏ hẳn lại. Nó là toner trị mụn lun đó nhưng do m theo kiểu da mụn nên dùng gì nhẹ dịu nhất co thể nên m dùng simple trc . Đỡ mụn viêm rồi mới dùng nó.
📍SERUM : THE ORDINARY -T.O ( ngon - bổ - rẻ)
- time mới tập tành skincare t sd đủ hãng trên đời drug store đến highend . Và rút ra được mỹ phẩm k quan trọng giá tiền , hợp da là được . Và đặc biệt ko phải là kem trộn 😂
- Serum T.O ( Salicylic acid 2%) : nôm na là BHA đó , em này là tẩy tbc hoá học nè , trị mụn nè , se khít lcl , loại bỏ bã nhờn ,... 
- Serum T.O ( Niacinamide 10% - ZinC 2%) : nôm na là vitamin B3 và Kẽm : điều tiết bã nhờn, làm dịu nốt mụn , cải thiện hàng rào bảo vệ da ,chống viêm , kháng khuẩn , đều màu da ,... 
- Serum T.O ( Alpha arbutin 2% +HA ) : lọ này là làm trắng và cấp nước vì sử dụng BHA sẽ là da hơi khô . Bạn nào k muốn làm trắng co thể đổi lọ B5+HA 
❗️Lưu ý : ko dùng BHA và Nia chung . 1 tuần m chỉ dùng BHA 2-3 lần : toner - bha- HA- kem dưỡng 
Còn bàn ngày và các tối còn lại : toner- Nia- HA- kem dưỡng . 
📍KEM DƯỠNG : LAROCHER POSAY K+
M chọn nó là vì nó chống oxy hoá , kiểm soát nhờn , trị đầu đen . Time sử dụng nó và cái toner ở trên thi thấy lcl nhỏ lại thiệt .
Bh hết mụn thì m chuyển qua kem dưỡng cua nhật de làm trắng rồi
📍 CHẤM MỤN : LAROCHER POSAY DOU+
Cai này dùng chấm lên cái cục mụn viêm á nó hơi rát rát nhưng xẹp thiệt . Mà luc m bị mụn nặn vẫn phải đi nặn mụn nha . Sau này hết mụn lâu lâu nổi thi m hay chấm . Chứ lúc mà bị viêm vẫn phai ra spa nặn 🙁
📍 NẶN MỤN : M đa số lúc đó là viêm với mụn ẩn nên m phải đi spa lấy nhân mụn . Và mình khuyên là nên ra spa uy tín nặn nha. Đợt m nặn o nhà nên mới bị viêm á . Ra spa nặn hình như đâu 3-4 lần mới het cục viêm đó ( cục bự ngay má o dưới hình á , nặn xong về nó lên lại vì chua hết dc chân mụn á , lăn ống tre ra nguyên cục máu viêm 🥺) tuần nào cũng đi lấy nhân mun. Bh thì 2-3 tuan đi 1 lần lấy mun ẩn và cám vì do cơ địa với mụn cám thật sự rất khó trị , giảm phần nào đó thôi . Lâu lâu vẫn phải đi tổng vệ sinh làm sạch tụi nó 😶
📍 KEM CHỐNG NẮNG : KOSE MILK
 Dưỡng da cở nào mà ko dùng chống nắng là như ko hết nha , đổ sông đổ biển hốt lại ko đc đó . Kose vẫn có cồn 1 chút xíu á , bạn nào cực kì dị ứng với cồn thì nên cân nhắc , còn lại ok het nha . M xài chai t2 lun rồi , bôi thấm nhanh , ko bết rít, còn hơi bóng nhẹ trên da nữa nhu gái Hàn á . 
📍MASK : mặt nạ thiên nhiên : bột nghệ , khổ qua , diếp cá , trà xanh : lúc bị mụn m siêng pha đắp lắm , trộn sữa chua , sữa tươi k đường rồi đắp , ko thì pha nc lọc. Hôm nào siêng m pha với Saffron
Mask giấy : lúc bị mụn hạn chế đắp , mấy cục mụn nó ăn chứ da hem có ăn được nhiêu hết á. Hết mụn tha hồ đắp để cấp ẩm
Mask đất sét Kiehls : nên dùng ẻm này nha , kiểu lấy đi bã nhờn á . Bh da m hết mụn to , mà đầu đen lau lau van còn , m tự nặn đầu đen ở mũi xong bôi mask lên , xong da mũi láng o sạch lắm nha , rửa xong nhớ lai toner cho lcl khít lại .
📍 À còn 1 thứ thần thánh m muốn giới thiệu PG COLLAGEN của Nhật ( sẽ kèm hình o dưới)
Cái này lành tính lắm , nặn mun xong bôi lên để cho da mau lành , lăn kim xong cung dùng dc , dùng nó làm kem dưỡng time bị mụn dc lun nha . 
À thêm 1 thứ nữa là serum HA của nhật lun , trộn nó vô serum nào dùng cũng dc , k thì bôi lun lên mặt cũng dc để cấp nước cho da nha
📍ROUTINE : 
☀️Sáng : lau tẩy trang - srm- toner - serum ( Nia+HA) - kem dưỡng - kcn
🌙Đêm : douple-triple cleansing - toner - serum - kem dưỡng . 
Đêm thì có thể xông mặt , đắp mask tuỳ thích xong skincare nha. 
Nhiều bạn chắc sẽ thắc mắc sao sáng lau tẩy trang chi , để lấy đi những thứ mà tối qua m bôi no k hấp thụ hết còn lại trên bề mặt và như đã nói VN ô nhiễm lắm ở trong phòng v chứ sáng lau ra cái bóng vẫn nâu nâu 🥴
♥️ Cơ bản là các bước như vậy á mn . Viết xong khs nãy giờ m viết đc dài vậy lun 😱Vì m viết cụ thể từng thứ nên dài và chắc sẽ lủng củng Mong mn chịu khó đọc nếu co chỗ nào lằng- bà- xì ko hiểu thì cmt hỏi tui tl cho nha . viết nhiều den nổi máy no lag lun 😂
Chúc các chế mau het mụn mau đẹp 
P/s : có chú thích từng hình</t>
  </si>
  <si>
    <t>2019-05-04 14:44:31</t>
  </si>
  <si>
    <t xml:space="preserve">#rvmeimei #trimun </t>
  </si>
  <si>
    <t xml:space="preserve">
#help
Chị em cho hỏi bị mụn mông với thâm mông nên sài gì cho hết ạ . Mông thâm như đít nồi luôn . Cho xin ảnh sản phẩm luôn nha chị em. Cám ơn bóp đít.</t>
  </si>
  <si>
    <t>2019-06-22 08:01:18</t>
  </si>
  <si>
    <t xml:space="preserve">
#ask
Có chị em nào đã bắn laser nốt ruồi ở Pasteur chưa ạ? Em định đến đó bắn laser vài nốt ruồi nhỏ trên mặt mà còn phân vân ạ. Nhờ mọi người tư vấn giúp em, em cảm ơn ạ &lt;3</t>
  </si>
  <si>
    <t>2019-05-25 15:51:41</t>
  </si>
  <si>
    <t>100012984933249</t>
  </si>
  <si>
    <t>#makeup #skincare #ask
Hôm nay rãnh rỗi nên muốn chụp choẹt khoe góc make up và skincare của mị gầy dựng lại sau 1 năm. Lúc bầu bí sanh đẻ là cho hết tất tần tật và sau khi cai sữa mẹ cho bé thì mới bắt đầu skincare và makeup lại. ( skincare là e mới biết đây thôi chứ hồi trc trc khi bầu bí e chỉ dùng srm chứ k xài gì thêm luôn). E k rành skincare vs makeup lắm nên chỉ sử dụng những món basic thôi ạ. E rất mê son nên đang sưu tập lại 😅
Da e ngày trước mặt cực nhiều mụn bọc ở trán. Sau này biết skincare thì hết hoàn toàn rồi. 
Ai biết có gì hay ho để xài chỉ e thêm với. Hiện e bị mụn đầu đầu đen ở mũi, vùng da giữa 2 chân mày lỗ chân lông to do hồi xưa bị mụn ở vùng đấy liên tục và mắt thâm như gấu trúc.  E da hh dầu</t>
  </si>
  <si>
    <t>2019-08-14 05:10:01</t>
  </si>
  <si>
    <t>Uyên Võ</t>
  </si>
  <si>
    <t>100002217117080</t>
  </si>
  <si>
    <t xml:space="preserve">#ask #skincare #makeup </t>
  </si>
  <si>
    <t xml:space="preserve">Chào mọi người ạ , đây là da của em hiện tại , tuy là đỡ mụn so với trước kia nhưng vẫn còn để lại thâm😢em mong mng giúp e tìm những sp trị thâm phù hợp với da em hiện tại ạ.Da e thuộc da dầu , sẵn mng có cách nào làm nhỏ lcl chỉ em với ạ . Em cảm ơn❤ 
#tritham </t>
  </si>
  <si>
    <t>2019-11-26 10:34:47</t>
  </si>
  <si>
    <t>Lưu Đặng Thanh Trúc</t>
  </si>
  <si>
    <t>100034444631144</t>
  </si>
  <si>
    <t xml:space="preserve"> #tritham </t>
  </si>
  <si>
    <t>#Đepchanhxa  #help 😭 
E dùng toner kiềm dầu của kiehl’s  xong tới serum C . 
Lọ red peel thì tuần em dùng có hai lần thôi ạ . 
Mà chả hiểu sao dùng cái  sr C kia xong mặt cứ bóng nhẫy lên ấy 😭😭  ce dùng rồi cho em   Ít Review với</t>
  </si>
  <si>
    <t>2019-10-07 07:29:08</t>
  </si>
  <si>
    <t>Hồngg Thuỷ</t>
  </si>
  <si>
    <t>100008323335228</t>
  </si>
  <si>
    <t xml:space="preserve">#help #Đepchanhxa </t>
  </si>
  <si>
    <t xml:space="preserve"> #khômôi #mậtong
Mùa đông đến rồi mùa đông đến rồi
Em nghĩ gruop sắp tới sẽ có nhiều bạn đăng hỏi tips về vấn đề khô môi hôm nay em xin chia sẻ cách dưỡng môi không bị khô và cải thiện được màu sắc của môi tình cờ em học được tips dưỡng môi này và cũg đã trải nghiệm bằng nguyên liệu trong bếp không nói dài dòng nữa
Nguyên liệu 
Mật ong
Màng bọc thực phẩm
Sao khi vệ sinh môi xong mọi người thoa 1 lớp mật ong lên môi dùng bọc thực phẩm bọc lại cỡ 5 10p sao đó gỡ ra không cần rửa lại và đi ngủ luôn mọi người sẽ thấy ngay công dụng của nó sao khi gỡ ra môi sẽ hồng hào lên và khong còn tình trạng bong chóc nữa 
Hi vọng sẽ giúp được mọi người mãi xinh qua mùa lạnh này</t>
  </si>
  <si>
    <t>2019-12-06 13:57:53</t>
  </si>
  <si>
    <t xml:space="preserve">#mậtong #khômôi  </t>
  </si>
  <si>
    <t xml:space="preserve">
#toctem
Xin chào mn. E là cái con bé mới 1-2 tháng trước có hỏi mặt to tròn có để được tóc tém k ?? Thì hôm nay nhờ mn tư vấn cho động lực để e cắt thì đã có thành quả này. E cảm ơn mn rất nhiều. Và ai đang có những suy nghĩ phân vân về tóc tém cho mặt bánh bao thì e nghĩ mn nên thử trải nghiệm lấy 1 lần.</t>
  </si>
  <si>
    <t>2019-10-07 23:24:13</t>
  </si>
  <si>
    <t xml:space="preserve">#toctem </t>
  </si>
  <si>
    <t xml:space="preserve">
#helpme
😔 DA MẶT BỊ LÊN MAO MẠCH 😞😞 
Có ai bị lên mao mạch chỗ quai hàm xong lan ra đến má như em không ạ ?? Các chị ai có loại kem nào dùng đỡ chỉ cho e với ạ 😭😭 cho e xin chút reveiw và kinh nghiệm chăm sóc da khi da bị vậy với 
Em cảm ơn ạ</t>
  </si>
  <si>
    <t>2019-08-01 04:34:05</t>
  </si>
  <si>
    <t>Bảo Mai</t>
  </si>
  <si>
    <t>100009426893779</t>
  </si>
  <si>
    <t xml:space="preserve">#helpme  </t>
  </si>
  <si>
    <t>Lúc đầu e ngứa nên gãi thì nó bị bong da sau đó nổi 1 mụt nhỏ trên đầu có cái j đó màu vàng. r từ từ nó bị lỡ ra. và h nó thành như hình í 😭 nó lỗ lỗ nhìn ghê lắm luôn😭😭😭😭
lúc nào chỗ đó nó cũng ướt ướt và chảy cái dịch hay là j đó í ạ. trong hình là e bôi thuốc tím. tại lúc e bôi thì kiểu nó sẽ khô lại chỗ đó đc phần nào thôi chứ k giảm ạ😭😭😭
🙏🏻🙏🏻🙏🏻mng ơi cho e hỏi e bị j với ạ và có thuốc nào bôi hết k ạ?</t>
  </si>
  <si>
    <t>2019-12-16 02:16:44</t>
  </si>
  <si>
    <t>100024453500817</t>
  </si>
  <si>
    <t>Co chị nào sử dụng bộ mỹ phẩm Hoàng cung này chưa ạ? Cho em xin ít review đang định mua mà thấy hoang mang quá</t>
  </si>
  <si>
    <t>2019-10-28 16:24:24</t>
  </si>
  <si>
    <t>Đặng Duyên</t>
  </si>
  <si>
    <t>100004320275815</t>
  </si>
  <si>
    <t xml:space="preserve">
#Trimun
#Differin
E stress quá mn ạ 😭😭😭
Có ai đang dùng differin ko ạ,, nghe nói trị mụn ẩn tốt nên e mua về dùng thử nhưng cảm thấy da ra dầu nhiều hơn , da ngứa và lên mụn rất nhiều 😭
Giờ e có nên đi lấy nhân mụn rồi tiếp tục dùng k ạ, chứ nó cứ sần sần đầy mặt e chịu ko nỗi :(((
Mong ad duyệt bài giúp em !!!</t>
  </si>
  <si>
    <t>2019-10-19 08:10:18</t>
  </si>
  <si>
    <t>Bích Thảo</t>
  </si>
  <si>
    <t>100006965567633</t>
  </si>
  <si>
    <t xml:space="preserve">#Differin #Trimun </t>
  </si>
  <si>
    <t>Tết tới rồi. Sắm cặp chân mài ăn tết đi chị em.
Nguồn: thôn nữ</t>
  </si>
  <si>
    <t>2019-11-26 13:44:16</t>
  </si>
  <si>
    <t>_tuvanmypham
Mọi người ơi, ai cho em xin review về cái thuốc bắc Bà Lão này với
Con em của em mới 17 tuổi, mụn nhưng không quá nhiều. Nó dùng 3 ngày mặt đỏ sưng lên, em bảo nó ngưng liền thì nó bảo sưng lên rồi lột da ra là đẹp vì bạn nó đã dùng và da mặt rất đẹp ( da trắng hồng luôn). Thực sự, em đang rất lo lắng cho nó mà không ngăn được.</t>
  </si>
  <si>
    <t>2019-08-11 15:50:24</t>
  </si>
  <si>
    <t>Nguyễn T. Tuyết Nhung</t>
  </si>
  <si>
    <t>100009833103589</t>
  </si>
  <si>
    <t xml:space="preserve">_tuvanmypham </t>
  </si>
  <si>
    <t>#trịmụn
M.n ơi cho m hỏi tí. M 26t.Da mình thuộc da dầu. Mặt mình bị rất nhiều mụn. Mụn đầu đen, mụn cám, mụn ẩn là nhiều nhất. Sáng dậy da mặt mình là cả 1 chảo dầu. Không biết dùng gì cho bớt đc mụn v ạ. Hiện tại m đang dùng tt loeta vs sem senka thôi. Chưa biết dùng sp nào trị mụn tốt mà giá bình dân xíu k ạ. E cảm ơn .
Mong ad duyệt bài</t>
  </si>
  <si>
    <t>2019-12-04 08:46:19</t>
  </si>
  <si>
    <t>Anty May</t>
  </si>
  <si>
    <t>100013992013527</t>
  </si>
  <si>
    <t>Các c đẹp cho e xin tuýp những sản phẩm make up của hàn cho da nhạy cảm + dầu với ạ ❤️ e mới tập tành make up ạ , sp nào kiềm dầu tốt tốt với ạ</t>
  </si>
  <si>
    <t>2019-12-07 23:42:31</t>
  </si>
  <si>
    <t>Pon Max</t>
  </si>
  <si>
    <t>100005650387034</t>
  </si>
  <si>
    <t xml:space="preserve">
#skincare
#danhạycảm  #nổimụn 
Lúc trước e có đăng 1 bài hỏi về các bước skincare cho da sau khi dính đồ trộn . Sau qua trình các c e tư vấn e cũng đã đổi 1 vài sản phẩm trong chu trình skincare của e, nhưng k hiểu làm sao bây giờ mặt e lại có triệu chứng nổi mụn li ti. Bây giờ e đang hoang mang quá mọi người ạ , không biết e sai chỗ nào luôn. 
Chu trình của e cũng theo thứ tự : Tẩy trang L'Oréal 👉🏻Srm hadalabo 👉🏻 Toner Simple 👉🏻 Serum Klairs👉🏻Kem dưỡng trắng Hadalabo 👉🏻Dưỡng ẩm Innisfree 👉🏻Kcn sunplay. 
Buổi sáng thì e dùng chống nắng nhưng bỏ tẩy trang . Tối thì e tẩy trang. 1 tuần e tẩy tế bào chết 2 lần. 
Bây giờ mặt e có triệu chứng mụn li ti nên e dừng từ bước serum.. E chỉ tẩy trang , sữa rửa mặt rồi toner thôi ạ. Em nên thay đổi những gì trong quá trình này đây ạ.</t>
  </si>
  <si>
    <t>2019-10-28 03:20:32</t>
  </si>
  <si>
    <t>Nguyễn Thị Ngọc Thẩm</t>
  </si>
  <si>
    <t>100005797364629</t>
  </si>
  <si>
    <t xml:space="preserve">#nổimụn #danhạycảm #skincare </t>
  </si>
  <si>
    <t>#goccaukinhnghiem #zonathankinh
Xin Chào mọi người , mong được mọi người giúp đỡ ạ , mình đã vật vờ với căn bệnh zona thần kinh này suốt gần một tháng nay nhưng k có tiến triển tốt
Đi bác sĩ da liễu- uống thuốc ko sót ngày nào , bôi thuốc xanh milian và rửa thuốc tím sát trùng đen thui hết cả người , về mặt thẩm mĩ thì khỏi nói , cả tháng nay ko thể ra đường trong bộ dạng bình thường .Cứ tưởng có thể kiên trì và cố gắng đến khi nó hết hẳn .Nhưng đến hôm nay sau khi thấy cứ chỗ cũ vừa đỡ được 1 tí nó lại mọc thêm nhiều mảng ở chỗ khác gây thêm đau đớn ngứa rát làm mình như phát điên .Mình rất sợ nó kéo quá dài thời gian , thực sự ảnh hưởng đến cuộc sống của mình . Mỗi lần có 1 vùng da mới  đang bình thường tự dưng có triệu chứng ửng đỏ là mình thêm 1 lần tuyệt vọng :((( Chị em nào có thông tin của bác sĩ uy tín có hiệu quả tại TPHCM hay mẹo chữa trị xin hãy chỉ lại giúp mình với ạ ....Ở đây có ai có kinh nghiệm không ạ :((((( *gào thét trong vô vọng huhuhuhu*
Xin Cảm ơn mng</t>
  </si>
  <si>
    <t>2019-08-12 11:52:16</t>
  </si>
  <si>
    <t>书怡</t>
  </si>
  <si>
    <t>100005875118754</t>
  </si>
  <si>
    <t xml:space="preserve">#zonathankinh #goccaukinhnghiem </t>
  </si>
  <si>
    <t>#tangcan
Ai gầy mà tăng cân thành công cho em xin cách tăng cân với ạ 😢😢 Em gầy kinh niên, 25t chưa đc 40kg. Ai cũng quở, ai cũng bảo sao gầy thế, lười ăn lắm à,... Mà có ai hiểu là em ăn nhiều nhưng không thể tăng cânnnnn 😢😢</t>
  </si>
  <si>
    <t>2019-11-30 12:38:25</t>
  </si>
  <si>
    <t>100003248925400</t>
  </si>
  <si>
    <t>#Đepchanhxa
#help mụn
Mọi ng tư vấn cho em vài sp trị thâm vs mụn nha em cảm ơn mọi ng :&lt;,
Em vẫn đang trong độ tuổi dậy thì ạ, em có skincare hàng ngày.</t>
  </si>
  <si>
    <t>2019-12-18 08:41:50</t>
  </si>
  <si>
    <t>Ly Hoàng</t>
  </si>
  <si>
    <t>100025466314509</t>
  </si>
  <si>
    <t>M.n cho em hỏi tí ạ 
Em năm nay 21t chưa lập gia đình mà kinh nguyệt không đều ý nhìu khi chậm 2,3 tháng hoặc tận 5tháng .Em có đi khám thì bs bảo không sao rồi chích thuốc đều kinh , nhưng qua 1 tháng thì nó vẫn bị chậm như trước . Có cách nào để kinh nguyệt em bình thường không ạ vs chậm vậy có phải bệnh gì ko chứ em lo quá 😔😔</t>
  </si>
  <si>
    <t>2019-11-11 12:38:54</t>
  </si>
  <si>
    <t>Ngọc Như</t>
  </si>
  <si>
    <t>100014684287697</t>
  </si>
  <si>
    <t>Cho e hỏi đây là mụn j ạ 
Bây h phải chữa ntn ạ</t>
  </si>
  <si>
    <t>2019-12-23 14:20:34</t>
  </si>
  <si>
    <t>Tiến Lê</t>
  </si>
  <si>
    <t>100023841391300</t>
  </si>
  <si>
    <t>#review #vaseline 
Mình viết bài review này không biết có đc duyệt không vì sản phẩm này quá quen thuộc với mọi người rồi. Nhưng vì trước giờ cơ địa mình da hầu như không bong tróc, trừ khi tiếp xúc với hoá chất nhiều, và da môi cũng vậy. 
Thời gian này mình đang trị mụn viêm nên phải uống iso, dù mới uống 2 tuần thôi nhưng da mình khô khốc, môi thì nứt chảy máu luôn. Hình 1 mọi ng thấy môi dưới mình có 2 đốm đỏ, vì hình này mình chụp cho bạn mình xem qua mes nên k rõ lắm, ở ngoài nhìn như kiểu bị phồng rộp lên ý dù mình k chà xát gì hết, rồi nó chảy máu ở vân môi. Lúc này mình mới hoảng mới bđầu dùng vaseline cho môi. Sau 1 tuần dùng liên tục ban ngày lẫn ban đêm, thậm chí có khi ra đường k cần điệu đà lắm thì mình k thoa son mà thoa vaseline luôn, lúc ấy chụp lại thì như hình 2, mình thật sự ngạc nhiên luôn ý. Hình 3 là mình vừa chụp sáng nay lúc mới ngủ dậy vì thấy môi mềm quá nên chụp lại review cho mọi người.
À lúc mình thoa môi còn dính tay mình thoa lên lông mi thì thấy mi có dài và dày lên chút (dù chỉ là chút ít còn dính lại trên ngón tay). Mình xin phép dùng app xoá bớt mấy cái mụn quanh mỏ để mọi ng xem thuận mắt tí :v nhưng mình k chỉnh môi gì đâu nhé mọi ng. Cám ơn mọi ng đã đọc bài</t>
  </si>
  <si>
    <t>2019-11-13 13:28:04</t>
  </si>
  <si>
    <t xml:space="preserve">#vaseline #review </t>
  </si>
  <si>
    <t>#ask #helpme #daulung 
‼️GÓC CHỊ EM 👩🏻 
Mình có một vài chia sẻ về ngày Đèn Đỏ cần mn giúp đỡ :((( 
Rất nhiều bài viết trên các Group , Page , Youtube , blabla ,... đưa ra những tips hữu ích cho việc đau bụng vào ngày dâu mỗi tháng . Nhưng rất ít người chia sẻ về chuyện ĐAU LƯNG ạ !! 
Không biết có nhiều người giống mình không !! Đến kỳ , mình rất ít khi bị đau bụng . Mà bị Đau Lưng 🙂 . Thực sự là nó kinh khủng vlllll 
Nhất là 2 ngày đầu , lưng đau , nhức , mỏi hết nói nổi . Nằm ngồi đi đứng đều không thoải mái 😢 
Các tiền bối giúp mình vớiiiiii 🙏🏻</t>
  </si>
  <si>
    <t>2019-09-13 05:08:54</t>
  </si>
  <si>
    <t>Ha Chau Nguyen</t>
  </si>
  <si>
    <t>100014146632571</t>
  </si>
  <si>
    <t xml:space="preserve">#daulung #helpme #ask </t>
  </si>
  <si>
    <t xml:space="preserve">
#help
Xin chào anh chị lại là em đây con bé 15t rưỡi. 
hiện giờ là trên cơ thể em chỗ nào e  cũng tự ti sẵn gom lại hỏi hết trong bài này luôn ạ. Hiện là em đang lo ngày về những vấn đề này này đây ạ. 
1. Da đen 
2.Thâm đầu gối, khuỷu tay 
3. Lông nhiều 
Cho em xin tips trị với ạ 😢
Em cảm ơn anh chị trước luôn</t>
  </si>
  <si>
    <t>2019-09-15 12:29:14</t>
  </si>
  <si>
    <t>100028822266067</t>
  </si>
  <si>
    <t xml:space="preserve">
#serum 
Em đang tìm loại serum cho da xỉn màu , ko đều màu da . em đang phân vân mấy hãng dưới đây . ai dùng rồi cho em xin re view</t>
  </si>
  <si>
    <t>2019-08-05 04:34:59</t>
  </si>
  <si>
    <t>Trần Thị Nhung</t>
  </si>
  <si>
    <t>100004448057478</t>
  </si>
  <si>
    <t>#help #skincare #larocheposay
Chào mn, xin mn tư vấn giúp đỡ với ạ. Da mình dầu nhạy cảm vì trước khi biết đến group Đẹp Chanh Sả thì hồi tháng 3 có dùng thuốc bắc để trị mụn. Sau đó tháng 7 trở đi là mụn hết dần và chỉ lên những mụn con con thì skincare đơn giản làm sạch và chấm mụn ducray là sau đó hết mụn. 
Lọ chấm mụn ducray và srm cetaphil vừa hết nên mình có chuyển sang dùng của Larocheposay thì bị lên mụn, dùng chấm mụn duo+ thì châm chích da. Hiện tại đang bị mụn sưng và đỏ, mn tư vấn giúp mình các sp mình dùng đã ổn chưa, có nên dừng srm LRP và duo+ không, cần phải điều chỉnh hay có tips nào trị mụn hiệu quả không ạ?</t>
  </si>
  <si>
    <t>2019-11-18 23:56:52</t>
  </si>
  <si>
    <t>100012115179189</t>
  </si>
  <si>
    <t xml:space="preserve">#larocheposay #skincare #help </t>
  </si>
  <si>
    <t>Mong ad duyệt bài giúp em với ạ . 
Hôm trước em có đi trị thâm môi về .
Xong tự dưng bị nổi bọng nước li ti . E bôi thuốc theo hiệu thuốc thì nó khô lại . Sau đó nó cứ bị lở ra những chỗ khác bên cạnh . 
Mọi người giúp em với . Huhu .</t>
  </si>
  <si>
    <t>2019-12-25 04:11:00</t>
  </si>
  <si>
    <t>Nhungg Kelly</t>
  </si>
  <si>
    <t>100007358678814</t>
  </si>
  <si>
    <t>Cho e hỏi em phải làm sao để hết đây ạ huhu</t>
  </si>
  <si>
    <t>2019-12-19 05:14:03</t>
  </si>
  <si>
    <t>Ha Trin</t>
  </si>
  <si>
    <t>100044934339117</t>
  </si>
  <si>
    <t>Có bạn nào dùng lòng đỏ trứng gà ngâm mật ong giúp tăng cân chưa cho mình xin ít review với ạ! ☺️
#tangcan</t>
  </si>
  <si>
    <t>2019-12-15 09:29:06</t>
  </si>
  <si>
    <t>Tú Linh</t>
  </si>
  <si>
    <t>100021031068829</t>
  </si>
  <si>
    <t xml:space="preserve">
#toc
Cho e hỏi làm tóc trước tết bao lâu thì ok ạ.  Em tính uôna trước rồi nhuộm sau. Với tóc em mỏng, ít làm như hình được k ạ</t>
  </si>
  <si>
    <t>2019-11-30 02:14:38</t>
  </si>
  <si>
    <t>100008778484339</t>
  </si>
  <si>
    <t>#ask 
Em 17 tuổi, da em cực nhiều dầu, lỗ chân lông to và mụn to ở hai bên má. Lúc trước trán em cũng mụn cám sần hết cả lên. Hiện tại em uống iso kết hợp với vài loại thuốc mát gan thải độc và đi nặn mụn tầm 2 lần/tháng thì da em không đổ dầu nữa, mụn trán cũng sạch luôn, mỗi tội hai bên má không cải thiện vết thâm được huhu. Mọi người tư vấn giúp em với.
Các sản phẩm em đang dùng
- Combo 3 món của Caryophy gồm srm, toner, serum: chuyên cho da mụn nên cá nhân em thấy dòng này dịu nhẹ nhưng làm sạch ok
- Tẩy trang Derladie (Lúc trước em dùng của Laroche posay nhưng thấy không hợp như em này): da mụn, nhạy cảm dùng em này cũng ổn nha, có điều dùng xong dù rửa lại bằng srm thì da vẫn hơi khô, nhưng thoa toner lên sẽ ổn.
- Dưỡng ẩm b5 của Laroche posay: bạn nào da dầu thì nên bôi một lớp thật mỏng không sẽ bí da nhé
- Kem chống nắng Laroche posay: em dùng em này thấy hình như có cả ẩm nữa, không bết rít nhưng thấm hơn lâu
- Chấm mụn Duo+: này em dùng cho mấy mẹ mụn bự, vừa bôi lên sẽ hơi châm chích, cơ mà gom cồi nhanh cực kì. Em khuyên cái này chỉ nên chấm lên nốt mụn thôi nhé.
- Serum Klairs: cái này em mới dùng nên chưa biết hiệu quả ổn không, tối dùng sáng hôm sau thấy da có căng một tí (lúc trước dùng em caryophy chỉ trị mụn nên homg thích như em này 😽). Với nồng độ C thấp nên em liều dùng thử với mong ước cái bản mặt sáng và mờ thâm nhanh hơn, thích hợp cho các bạn lần đầu thử sản phẩm chứ vitamin C mà sợ kích ứng.
- Body, mắt, môi thì em vẫn chưa tìm được chân lý của mình 😭
Các anh chị cho em ít lời khuyên. Để em lấy giấy bút ghi lại :)). Em cám ơn nhiều ạ ❤️</t>
  </si>
  <si>
    <t>2019-11-29 14:02:58</t>
  </si>
  <si>
    <t>Mọi người cho mình hỏi mình da hỗn hợp dầu, dễ kích ứng. Mà gần đây mình hay bị mụn và rất lâu hết thâm, thâm mình thì nó kiểu dần phai như vết tàn nhang giống trong hình vậy. Mọi người cho mình hỏi làm cách nào để hết hẳn vậy ạ, loại nào không có thành phần vitamin C ấy ạ (vì trước mình có dùng qua nhiều loại dưỡng của nhiều hãng có vitamin C dù nồng độ thấp hay cao vẫn bị kích ứng). Với cả mình muốn da mặt sáng tý nữa để đi chơi tết :)).
Thêm nữa mình muốn hỏi là 2 bên cánh mũi mình bị đỏ, lúc còn đi học thì đỏ ít, càng ngày vết đỏ càng to hơn :((, có cách nào khắc phục không ạ. 
Quy trình dưỡng da của mình:
Srm Eucerin
Kem chống nắng Anessa
Serum Timeless B5
Tẩy trang Bioderma Hồng
Toner Simple.
Mình xin cám ơn các bạn nhiều lắm, mong admin duyệt bài giúp mình ạ.</t>
  </si>
  <si>
    <t>2019-11-25 23:32:01</t>
  </si>
  <si>
    <t>Lý Kiệt</t>
  </si>
  <si>
    <t>100012564103911</t>
  </si>
  <si>
    <t>#help #ask
Tình hình là em mới đi làm tóc về và nó đ giốg hình tí nào chị em ạ. Em bảo người ta là làm xoăn sóng, giờ tỉa layer xong ép cụp luôn già vãi. Huhu e đang muốn đi sửa lại mà k biết nên sửa như thế nào. Cut hết đi thì lại ngắn quá mặt e k hợp. Các chị cho e xin lời khuyên với</t>
  </si>
  <si>
    <t>2019-09-07 08:28:57</t>
  </si>
  <si>
    <t>Tuyet Nguyen</t>
  </si>
  <si>
    <t>100034177481996</t>
  </si>
  <si>
    <t>#ask  #tuvan 
Chào mọi người, em năm nay học lớp 11, bình thường thì sáng em chỉ rửa mặt bằng sửa rữa mặt (kết hợp với máy rửa mặt), em không dùng kem chống nắng vì chưa tìm được loại phù hợp. Nhưng đến trưa, em rửa mặt bằng nước thường rồi lau mặt bằng bông tẩy trang thì em thấy bông tẩy trang vẫn bị dơ ạ. Vậy cho em hỏi trưa mình có thể tẩy trang với rửa mặt bằng sửa rửa mặt luôn được k ạ. Em cám ơn ❤</t>
  </si>
  <si>
    <t>2019-11-28 05:35:22</t>
  </si>
  <si>
    <t>Hạ An</t>
  </si>
  <si>
    <t>100023208834020</t>
  </si>
  <si>
    <t>#Thâm #Da_sạm
 Tết gần đến rồi nhưng e vẫn chưa biết gì về cách chăm sóc da hiệu quả . Da e hiện tại rất nhạy cảm vì trước đây có sd qua kem trộn . Các chị em trong group có thể chỉ cho em làm sao để cải thiện làm da và trị đc sẹo thâm ko ạ . Hiện tại e chỉ đang xông mặt và đắp mặt nạ nghệ , ngoài ra ko dùng sản phẩm nào khác ạ.</t>
  </si>
  <si>
    <t>2019-12-23 16:14:49</t>
  </si>
  <si>
    <t>Hoa Hướng Dương</t>
  </si>
  <si>
    <t>100042471164811</t>
  </si>
  <si>
    <t xml:space="preserve">#Da_sạm #Thâm </t>
  </si>
  <si>
    <t>Mọi người ơi, da em là da dầu, cũng có kha khá mụn, mụn ẩn và thâm mụn ấy ạ, thì mọi người có loại mask dành cho da dầu mụn nào tốt không review cho em với ạ ;;-;;</t>
  </si>
  <si>
    <t>2019-11-20 14:54:09</t>
  </si>
  <si>
    <t>100014187540199</t>
  </si>
  <si>
    <t>Duyệt bài giúp em 😭 #tuvan 
Chuyện là tóc em rụng với ít tóc lắm em có tìm hiểu và nghe nói mọc tóc nhanh lắm mà em phân vân, loại 1 là viên uống 2 là viên kẹo dẻo em không biết nên dùng loại nào, có bị nỗi mụn không. mấy chị đã sữ dụng qua cho em ít ý kiến với ạ, em cám ơn 💖</t>
  </si>
  <si>
    <t>2019-07-29 05:01:09</t>
  </si>
  <si>
    <t>Yến Phi Huỳnh</t>
  </si>
  <si>
    <t>100017807252458</t>
  </si>
  <si>
    <t>Các chị cho e hỏi với ạ.môi e phun lại lần 2 đc 4 ngày bông ra rồi. Nhưng giờ nó bị chảy mũ vàng trên môi nhiều lắm ạ. E hoang mang quá. Các chị ai biết chia sẻ kinh ngiệm chữa trị dùm e với đc k ạ. E chân thành cảm ơn 💋💋💋</t>
  </si>
  <si>
    <t>2019-12-06 01:23:10</t>
  </si>
  <si>
    <t>100042393440654</t>
  </si>
  <si>
    <t>#tưvấn
E vào nhóm đã lâu cũng theo dõi tất cả các bài nhưng e vẫn k hiểu về mỹ phẩm mấy
E da hỗn hợp,dầu về mùa hè,mùa đông lại khô 2 bên má..thi thoảng vẫn nổi mấy cái mụn và thâm rất lâu.. da e lại k đều màu..
Mọi ng chỉ e các bước chăm sóc da và dùng mỹ phẩm nào ạ với ạ. Hiện tại e chỉ dùg mỗi srm và thi thoảng có đắp tinh bột nghệ với sữa chua thôi ạ..
Mong add duyệt bài giúp e</t>
  </si>
  <si>
    <t>2019-12-04 08:41:52</t>
  </si>
  <si>
    <t>100029153773468</t>
  </si>
  <si>
    <t xml:space="preserve">#tưvấn </t>
  </si>
  <si>
    <t>Mọi người ơi cho em hỏi chân em từ ngày ngã xe bong ra được 1th rồi thì nó cứ thâm thế này ạ. Em có dùng qua mấy tuýt thuốc sẹo rồi mà k đỡ được chút nào. Mọi người có cách nào hiệu quả chỉ giúp em với😭😭 .Em cảm ơn ạ</t>
  </si>
  <si>
    <t>2019-12-24 13:19:11</t>
  </si>
  <si>
    <t>Hương Ngọc Thanh Nguyễn</t>
  </si>
  <si>
    <t>100007904590817</t>
  </si>
  <si>
    <t>Đây là da em trước và sau khi nặn , em dùng tẩy trang simple và bộ của Top gồm srm , toner , serum b3 và b4 , mask neem và mask lush tỏi , kem gom cồi SOS , dùng khoảng 1 tháng nhưng kh đỡ ạ
Đi spa mấy chị bảo dừng để dùng bộ sản phẩm của bên chị ,
Mấy chị tư vấn giùm em giờ em nên dùng gì ạ ? Chứ thế này em tự ti với khổ lắm ạ :((
Đây là các sp chị spa khuyên em dùng</t>
  </si>
  <si>
    <t>2019-12-24 07:27:58</t>
  </si>
  <si>
    <t>100035788175816</t>
  </si>
  <si>
    <t>M.n ơi. Trước em có dưỡng da bằng vitamin e.
Giờ lông mặt với lông phần ria mép lên nhiều dài với đen quá.
M.n có cách nào cho lông nó mọc ít với đỡ đen không ạ. Huhu
Lông mày với lông mi không có nhưng ria mép lại dài. 😭😭😭</t>
  </si>
  <si>
    <t>2019-12-24 13:18:29</t>
  </si>
  <si>
    <t>#thammun 
Ai cho em xin tuýp trị thâm mụn nhanh hết với , mặt em hết mụn rồi mà còn mụn đầu đen , em nặn nên nó bị thâm như này đây ạ 😢
Mong ad duyệt hộ em , tks ad ❤️</t>
  </si>
  <si>
    <t>2019-12-22 05:13:26</t>
  </si>
  <si>
    <t>#ask #tips #khoda
Chào mọi người, mùa đông đã đến và em chuẩn bị phải đối mặt với việc da bị khô và nẻ (cảm giác cực kỳ khó chịu và bứt rứt).
Nên em muốn hỏi mọi người có cách nào giữ ẩm da (nhất là mặt và môi) vào mùa đông tốt không ạ? Với cả cho em xin vài loại kem dưỡng da cấp ẩm tốt vào mùa đông ạ.</t>
  </si>
  <si>
    <t>2019-10-30 13:58:35</t>
  </si>
  <si>
    <t>Hà Sùng</t>
  </si>
  <si>
    <t>100004827194163</t>
  </si>
  <si>
    <t xml:space="preserve">#khoda #tips #ask </t>
  </si>
  <si>
    <t>#xinreview 
Không biết trong group mình có chị em nào xài qua loại này chưa nhỉ. Riêng em xài thì thấy khá ổn. Đầu tiên là mùi thơm cực thích. Với cả tóc em hay rụng nhiều, xài em này cũng đỡ hơn tí. Trộm vía dạo này em hay cột tóc, cầm búi tóc lên em bất ngờ thực sự ấy, cảm thấy tóc nhiều lên hẳn luôn. Nhưng em vẫn đang muốn tóc nhanh dài + dày do tóc em mỏng lắm, với cho tóc mọc nhiều nữa. Em định chuyển qua gội bưởi của Thorakao nhưng vẫn đang phân vân</t>
  </si>
  <si>
    <t>2019-09-15 09:09:00</t>
  </si>
  <si>
    <t>Va Ni</t>
  </si>
  <si>
    <t>100038230129972</t>
  </si>
  <si>
    <t>Ad duyệt bài cho em với ạ :&lt;&lt;
Mọi ng ơi chuyện là hôm trước em có chơi liều nhuộm nguyên cái đầu màu xám khói, giờ về nó không ưng ý với em và em hối hận quá ạ. Dù biết hối hận cũng đã muộn vì tóc đã bị tẩy và không còn phục hồi được. Giờ em chỉ mong trở lại màu đen thôi ạ, em muốn nhuộm đen lại ạ. Cho em hỏi màu đen nhuộm lên rồi có phai ra màu cũ không ạ? Còn chuyện phần tóc nhuộm đen không thể nhuộm lại được thì em chấp nhận ạ. Em chỉ sợ nhuộm đen rồi nó lại phai ra rồi lại thành cái màu khác mà nó tởm quá chắc em xỉu quá mn :&lt;&lt; cho em xin ý kiến với ạ, cảm ơn mn nhiều lắm ạ :&lt;&lt;</t>
  </si>
  <si>
    <t>2019-11-30 12:39:37</t>
  </si>
  <si>
    <t>Trà Mộc</t>
  </si>
  <si>
    <t>100035291190635</t>
  </si>
  <si>
    <t>Tết tới nơi rồi mà da dẻ chán quá ce ơi.  
Đen thui tối sậm màu k sáng j cả dù đã dùng rất nhiều mỹ phẩm dưỡng da mà vẫn k thể trắng lên 1 xí sáng sáng lên 1 xí. K mụn mà Cứ vàng vàng tái tái xanh xanh k hấp dẫn j cả.  
Ai có cách nào bày em với ce ơi.  😕😕😕😕😕</t>
  </si>
  <si>
    <t>2019-12-08 00:42:01</t>
  </si>
  <si>
    <t>Hoa Hồng</t>
  </si>
  <si>
    <t>100022045141471</t>
  </si>
  <si>
    <t>#matdai #hairstyle #ask #help
mọi người oiiiiii tình hình là em đang để tóc gần giống hình 1, mặt em cũng dài như vậy luôn. tóc em cực kì dày và em thấy khá nặng đầu và đang muốn cắt ngắn như Bích Phương hoặc Hani nhưng sợ không hợp
mặt em dài và nhỏ, bạn bè bảo cắt ngắn sẽ làm mặt dài hơn nên em phân vân không biết nên cắt ngắn hay để ngang lưng. 
mọi người cho em ít lời khuyên nên làm kiểu tóc như nào với ạ! em cảm ơn</t>
  </si>
  <si>
    <t>2019-09-06 14:04:23</t>
  </si>
  <si>
    <t>Kim Tuyen</t>
  </si>
  <si>
    <t>100027780693203</t>
  </si>
  <si>
    <t xml:space="preserve">#help #ask #hairstyle #matdai </t>
  </si>
  <si>
    <t>Da em thuộc loại da dầu, 2 bên má có tàn nhang từ bé, có dùng mấy kem làm mờ tàn nhang nhưng ko hiệu quả. Mọi người biết kem gì làm mờ tàn nhang chỉ em với.</t>
  </si>
  <si>
    <t>2019-11-23 12:20:32</t>
  </si>
  <si>
    <t>Gladys Võ</t>
  </si>
  <si>
    <t>100041595795595</t>
  </si>
  <si>
    <t>#ask #diung
Có ai có cách trị dị ứng nghiêng về thiên nhiên giúp mình với. Cách đây 2 tháng mình đã tiêm 6 mũi dị ứng nhưng chỉ giảm ngứa 1 nửa thôi.  Đã uống rất nhiều thuốc rồi. Cũng uống giải độc gan,  lá tía tô,  rau má.  Ngưng dùng sữa tắm,  nhưng chỉ cần trở lạnh hoặc tiếp xúc vật lạ là lại ngứa khắp người,  đặc biệt là chân và cổ. Nhìn như bị giời leo bò vào.  Mỗi lần ngứa khoảng 1-3h xong lại tự hết.  Ngày nào cũng bị 1-2 lần.  Thật sự bất lực lắm ạ.  Mấy năm trước mình chỉ tiêm 1-2 mũi thuốc là hết bệnh.  
Năm nay bị gần như cả năm kiểu sống chung với lũ ý. 
Mong mọi người giúp đỡ ạ</t>
  </si>
  <si>
    <t>2019-11-29 09:57:27</t>
  </si>
  <si>
    <t>Nguyễn Bình</t>
  </si>
  <si>
    <t>100004535040789</t>
  </si>
  <si>
    <t xml:space="preserve">#diung #ask </t>
  </si>
  <si>
    <t>[ EM CẢM ƠN AD DUYỆT BÀI Ạ] 
Các chị ơi em hỏi câu này ko biết có ngớ ngẩn ko nhưng mà nếu mặt đang bị thâm sau mụn thì có thể ăn trứng và bò thường xuyên ko? 😰😰 em là con nghiện phở bò gần như sáng nào cũng có thể ăn được ấy. Nhưng vừa xong đợt trị mụn giờ mặt em đang còn vết thâm. 
Em ăn nhiều thịt bò thì sẽ nhanh sản sinh colagen hay là sẽ bị thâm mụn hơn nhỉ ? 🤔🤔 Tại em cũng đang tập gym mà chế độ tập thì thịt bò cũng quan trọng nữa ( em tập tăng cân) . Với cả chị nào có serum trị thâm thần thánh ko có thể share cho em với ko ạaaa
Tiện đây em xin chân thành cảm tạ Iso đã cho em 1 làn da mới. Em cũng ko nghĩ đời em lại có thể có ngày ko còn cái mụn nào (kể cả mụn ẩn) trên mặt như lúc này. Amen trộm vía 1 tỷ lầnnnnnnn</t>
  </si>
  <si>
    <t>2019-12-13 02:51:17</t>
  </si>
  <si>
    <t>Orchids Ng</t>
  </si>
  <si>
    <t>100002932678855</t>
  </si>
  <si>
    <t>#ask #duongmi
Lông mi em nó nghèo nàn quá mn ơi e thử dùng cái Eveline dùng mãi chẳng thấy dài. Nghĩ ngĩ sao đi nối mi cho đẹp ai ngờ rụng luôn lông mi thật. Trước đã ít giờ còn k có luôn, mn có cách nào để lông mi em đỡ bị mồ côi k ạ 😭 😭😭
Ảnh minh hoạ.</t>
  </si>
  <si>
    <t>2019-09-17 14:35:47</t>
  </si>
  <si>
    <t>Hoa Anh Túc</t>
  </si>
  <si>
    <t>100041346765203</t>
  </si>
  <si>
    <t xml:space="preserve">#duongmi #ask </t>
  </si>
  <si>
    <t>Đây là da tay của em khi tắm xong và khi sờ vào nước, cứ đến mùa này là da e bị vậy. Cả ngươi luôn ạ, ai biết bị sao mách e cách chữa vs ạ, nó cứ bị dát dát vs đỏ 1 lúc xong hết, khi hết sờ vào da cứ sần sần ý ạ. Giúp e vs ạ. E cảm ạ ❤️😀</t>
  </si>
  <si>
    <t>2019-12-06 14:53:05</t>
  </si>
  <si>
    <t>Ml Vân Nhi</t>
  </si>
  <si>
    <t>100010082987016</t>
  </si>
  <si>
    <t>#ask Các bạn cho mình hỏi các sản phẩm trên Tiki có đúng chính hãng k ạ?</t>
  </si>
  <si>
    <t>2019-12-01 19:21:17</t>
  </si>
  <si>
    <t>Thanh Hà</t>
  </si>
  <si>
    <t>100003224619349</t>
  </si>
  <si>
    <t>#ask 
#chamsoctoc 
Chào mọi người,  cho e hỏi đây là kiểu uốn gì ạ,  kiểu xoăn nhẹ nhẹ.  Em cũng thử uốn nhưng mà xoăn nhìn ghê lắm chứ k đc như này.</t>
  </si>
  <si>
    <t>2019-09-02 09:14:45</t>
  </si>
  <si>
    <t>Huyền Vy Nguyễn</t>
  </si>
  <si>
    <t>100005024206667</t>
  </si>
  <si>
    <t xml:space="preserve"> #chamsoctoc #ask </t>
  </si>
  <si>
    <t>#peach
#review
Mọi người cho em xin review về loại kem này với ạ. Thấy hot rần rần mà ko biết chất lượng ra sao
Edit 1 : Hên quá hỏi gr mình chứ hok thì toang =)))</t>
  </si>
  <si>
    <t>2019-09-20 06:27:14</t>
  </si>
  <si>
    <t>HeoSua Nhóc</t>
  </si>
  <si>
    <t>100011021707563</t>
  </si>
  <si>
    <t xml:space="preserve">#review #peach </t>
  </si>
  <si>
    <t>#đepchanhsa #mask #ask
1.Các chị chinh đẹp ơi cho em xin review về các loại mask trong hình được không ạ ..
Em là da hhtd có mụn ẩn và bị thâm do bàn tay hư hỏng cứ thích quào móc ...
Thích đắp mask lắm luôn á ..
2.Em toàn dùng naruko tràm trà với BNBG xanh lá ...muốn tìm thêm loại mask giá bình dân đắp thư giản mn có thể cho em xin thêm vài loại cho da mụn với</t>
  </si>
  <si>
    <t>2019-11-30 11:27:34</t>
  </si>
  <si>
    <t>100027595154933</t>
  </si>
  <si>
    <t xml:space="preserve">#ask #mask #đepchanhsa </t>
  </si>
  <si>
    <t>Chào mọi người mình mới vào nhóm, mình là nam da dầu nhà làm nông nghiệp nên tiếp xúc nhiều bụi, mình mới mua loại sữa rửa mặt này dùng ai xài rồi cho xin ít đánh giá dc ko? Tốt xấu ra sao? ngày rửa bao nhiêu lần là phù hợp? Xin cảm ơn!
#ask</t>
  </si>
  <si>
    <t>2019-12-02 08:52:50</t>
  </si>
  <si>
    <t>Phong Trần</t>
  </si>
  <si>
    <t>100005860056434</t>
  </si>
  <si>
    <t>Mn cho e hỏi làm cách nào để trị mụn thịt dư ở cỗ với mặt ko vậy mn 😰😰</t>
  </si>
  <si>
    <t>2019-12-04 10:25:26</t>
  </si>
  <si>
    <t>Diệu Hiền</t>
  </si>
  <si>
    <t>100006972637379</t>
  </si>
  <si>
    <t>Mấy chị ơi...có cách nào để tóc ko xoăn và mềm mượt ko ạk? Tóc e ngộ cái là e ko uốn hay làm gì mà nó cũng xoăn tít lên,e ko định đi duỗi vì duỗi thẳng lại nhìn giả giả sao ák. E thấy mn ai mà ko uốn thì tóc tự nhiên đều thẳng mượt,ko biết sao e lại bị vậy,tóc cứ xoăn xoăn ,e cắt đi bao nhiêu lần nó ra cũng vậy,phần trên thì ko sao nhưng phần ngọn cứ như uốn mà uốn lỗi ák,mỗi cọng quay một nơi chẳng đâu vô đâu cả😂 e post ko phải khoe hay gì vì tóc e thật sự sơ và rối,nên mong các chị tư vấn chứ đừng ném đá e ạk😢
#ask
#hair</t>
  </si>
  <si>
    <t>2019-12-22 22:09:37</t>
  </si>
  <si>
    <t>100007451283264</t>
  </si>
  <si>
    <t xml:space="preserve">#hair #ask </t>
  </si>
  <si>
    <t>#Help trước kia em bị mụn ẩn rất nhiều 2 bên má , đã dùng nhiều sp như retin A , bha để đẩy mụn nhưng đẩy hết đợt này đến đợt khác mãi không hết .. vì em làm cv cần ngoại hình nữa nên liều em đi spa làm liệu trình trị mụn 
nghe nói là lăn kim nano . Sau khi lăn kín thì đưa cho em 1 lọ men gạo về bôi . Em lăn cũng 3 lần rồi 😔 , mới biết đến nhóm mình vài ngày thôi qua tìm hiểu thì em mới biết là đồ trộn 
Mn cho em lời khuyên với ạ 😔😔
Em cảm ơn</t>
  </si>
  <si>
    <t>2019-12-13 16:34:39</t>
  </si>
  <si>
    <t>Loan Thanh</t>
  </si>
  <si>
    <t>100044500460168</t>
  </si>
  <si>
    <t>Các chị em ơi cứu em với ạ!!! Da e đang bị tình trạng khô vậy. Vốn dĩ da em là da khô, mà tới mùa đông thì nó đúng nghĩa y như mặt đất khô hạn luôn ấy :(( Em khổ tâm quá, dưỡng đủ kiểu mà da vẫn không ăn thua. Các chị tưởng tượng em thoa kem dưỡng ẩm mà da một đằng, kem một nẻo không thấm tháp gì luôn. E mới 25t thôi mà cảm giác da đang lão hóa rất nhanh. Mỗi khi thời tiết thay đổi da bong tróc, mốc meo nhìn như zombie thật sự.
Hôm trước e có đọc một bài của chị Emmie Hoàng về da khô thì chị có bảo da khô nên dùng dầu để dưỡng. Các chị em có thể cho em xin một vài sp dưỡng da giá cả phải chăng không ạ? Em cảm ơn ạ.
#dauduong #dakho</t>
  </si>
  <si>
    <t>2019-12-16 09:26:52</t>
  </si>
  <si>
    <t>100025204652588</t>
  </si>
  <si>
    <t xml:space="preserve">#dakho #dauduong </t>
  </si>
  <si>
    <t>Da e mùa đông thì khô bòng trắng y như gàu có mụn ẩn nua ạ mùa hè mụn đầu đen oy sợi bã nhờn lcl to ngủ dậy là ăn 1 chảo dầu luôn.da e có phải da khô k ạ.có đốm tàn nhag nữa ạ e nên Skincer như thế nào ạ. E cảm ơn
#dakho</t>
  </si>
  <si>
    <t>2019-12-14 12:24:53</t>
  </si>
  <si>
    <t>Nguyễn Ngọc Khánh Ngân</t>
  </si>
  <si>
    <t>100009331270904</t>
  </si>
  <si>
    <t>Chị em trong hội cho em hỏi có ai đi truyền trắng hoặc tiêm trắng chưa ạ? Em muốn đi làm cái đó nhưng không biết có tác dụng thật sự hay không. Chị em cho em xin lời khuyên với. Em cám ơn nhiều</t>
  </si>
  <si>
    <t>2019-12-04 08:38:29</t>
  </si>
  <si>
    <t>100009280462452</t>
  </si>
  <si>
    <t>#matdai #deokinh
Mong ad duyệt bài vì vã lắm r
E trong nhóm cug dc 1 tgian r mà chưa thấy bài veef mắt dại nên hnay mới dám thổ lộ ạ
E đeo kính cug đã dc 15 năm r😵. Tình trạng hiện tại là mắt như cá chết, dại khủng khiếp, như mắt giả luôn. 😓 có cái cửa sổ tâm hồn mà nhìn như mất hồn nên buồn dã man. 
Mọi người ai coa kinh nghiệm cho mắt hết dại chỉ giúp e vs ạ.
Thank you mn ạ😘😘😘😘😘</t>
  </si>
  <si>
    <t>2019-05-08 11:53:27</t>
  </si>
  <si>
    <t>Một Thơ Mẩu</t>
  </si>
  <si>
    <t>100004692581298</t>
  </si>
  <si>
    <t xml:space="preserve">#deokinh #matdai </t>
  </si>
  <si>
    <t xml:space="preserve">xin chào các anh chị trong nhóm. hôm nay em hỏi về vấn đề tế nhị nên em xin đc sử dụng nick ảo.
em năm nay 18t từ năm 16t hơi thở em bắt đầu có mùi hôi và đến hôm nay là rất khó chịu mặc dù em đã THỞ BẰNG MŨI và hôi miệng mặc dù em đã vệ sinh răng miệng rất kĩ.
khi đi khám thì em bị chuẩn đoán là viêm xoang đã đi chữa thuốc tây thuốc ta mà mùi hôi vẫn không thuyên giảm
Em cảm thấy càng ngày càng tồ tệ 
anh chị trong nhóm cho em lời khuyên với ạ
em xin cảm ơn .
</t>
  </si>
  <si>
    <t>2019-12-04 13:38:15</t>
  </si>
  <si>
    <t>Quynh Nhu</t>
  </si>
  <si>
    <t>100044236155377</t>
  </si>
  <si>
    <t>_hoidap.
Các chị thông thái cho em xin ít review về mặt nạ ngủ này ạ. Da em là da hỗn hợp thiên dầu ạ.</t>
  </si>
  <si>
    <t>2019-11-13 09:06:30</t>
  </si>
  <si>
    <t>Phương Nhung</t>
  </si>
  <si>
    <t>100028413541526</t>
  </si>
  <si>
    <t xml:space="preserve">_hoidap </t>
  </si>
  <si>
    <t>Em chào mọi người, e tính mua timeless b5 để phục hồi da. Da em nhiều mụn đã đi chữa da liễu. Da nhiều dầu
Thì nên xài loại nào và mua ở đâu thì chất lượng ạ? 
E cám ơn. E ở HCM ạ
#timelessb5 #dadầu</t>
  </si>
  <si>
    <t>2019-06-23 12:14:27</t>
  </si>
  <si>
    <t>100006930303563</t>
  </si>
  <si>
    <t xml:space="preserve">#dadầu #timelessb5 </t>
  </si>
  <si>
    <t>Ad duyệt giúp em với. 
Mọi người ơi review cho em vài loại nc hoa với ạ 😁 em đang tìm đổi loại nước hoa khác, e đang dùng mùi marine của Bvlgari (ảnh dưới ạ). E cần tìm 2 loại, 1 loại hương trầm (2-3 tầng là mùi gỗ và nc hoa nam cũng đc ạ). 1 loại còn lại kiểu sexy đi "dẩy đầm" đêm 🤭🤭. Cả 2 loại đừng quá gắt và thơm dai 1 tý ạ. Em cảm ơn.
 #Perfume</t>
  </si>
  <si>
    <t>2019-10-12 01:05:29</t>
  </si>
  <si>
    <t>Trương Ngọc Ánh</t>
  </si>
  <si>
    <t>100018519191349</t>
  </si>
  <si>
    <t xml:space="preserve">#Perfume  </t>
  </si>
  <si>
    <t>#ask #hoidap #tannhang #tritannhang
Chào mọi người, đây là tình trạng da mặt của mình hiện tại. Mình có một vấn đề k nghiêm trọng lắm, nhưng rất ngứa mắt là mặt bị tàn nhang khá nhiều. Thời gian khoảng 2 tháng trước mình có đi chấm tàn nhang và thay đổi routine dưỡng da của mình, tuy nhiên k thấy có hiệu quả mấy.
Hiện tại thì mình dùng kcn biore nhãn xanh, tẩy trang, sữa rửa mặt và toner đều của hada labo, có dùng thêm serum HA và kem dưỡng b5 của Zakka. Sau 2 tháng thì da mình cũng thấy ổn hơn, nhg giờ mình muốn tìm thêm 1 sản phẩm để làm mờ tàn nhang nữa mà không biết nên xài loại nào thì ổn với an toàn. Mọi người cho mình xin ít thôg tin với ạ. Với mình dùng cái đó thì có phải thay đổi gì trong routine k, hoặc thêm bớt gì k nữa. Mình cảm ơn nhiều!</t>
  </si>
  <si>
    <t>2019-11-19 11:01:59</t>
  </si>
  <si>
    <t>Thi Xuân Vũ</t>
  </si>
  <si>
    <t>100001712828899</t>
  </si>
  <si>
    <t xml:space="preserve">#tritannhang #tannhang #hoidap #ask </t>
  </si>
  <si>
    <t xml:space="preserve">Chào mọi người em tham gia nhóm cũng đc 1 thời gian rồi. Năm nay em 17t và em bị mũi tẹt :(( phải gọi là siêu tẹt ấy. Năm em lớp 11 bạn em nói mũi em như mũi bò em mới ngớ người ra. Lúc đầu em có hơi tự ti về mũi vì mình nhìn trong gương cảm giác nản kinh khủng vì ai cũng có mũi cao và ít nhất k tẹt và hếch lên như em :(( nó còn to nữa. Nhìn như quả cả chua ấy. Nhờ ac trong gr chỉ em cách giúp quả cà chua này bé lại với có chút sống mũi với ạ :(( chứ lần nào tự sướng em cũng dư khổ nhất là có đi gặp người quen cũng hơi ngại 😅😅 emđã thử vuốt đủ thứ mà ko có tác dụng. Em cảm ơn ạ
</t>
  </si>
  <si>
    <t>2019-12-09 00:51:37</t>
  </si>
  <si>
    <t>Thảo Quỳnh</t>
  </si>
  <si>
    <t>100039663664722</t>
  </si>
  <si>
    <t>Năm nay em học 11 nên em xin xưng em cho lịch sự ạ.
Mọi người cho em xin cách làm hết mụn ẩn với ạ.
Tự dưng hơn 2m nay mụn nổi quá trời trong khi  em không xài gì luôn...
Em cũng k ăn cay, đồ nóng...
Em mới mua chai acness( srm) .
Mà h bạn em nói em phải đi trị nhìn gần ghê quá.... nên mong mn chỉ em cách trị nếu có thuốc gì hay sp gì mn hãy rv cho em giá hs thôi ạ. Em cảm ơn 
Mong ad duyệt giúp ạ
#trimunan</t>
  </si>
  <si>
    <t>2019-11-21 15:08:29</t>
  </si>
  <si>
    <t>Kiều Trinh</t>
  </si>
  <si>
    <t>100015832751339</t>
  </si>
  <si>
    <t xml:space="preserve">#trimunan </t>
  </si>
  <si>
    <t xml:space="preserve">
#tư_vấn_làm_tóc
Chào mn ạ.  Mặt e nay hơi tròn + da ngăm đen.  Thêm vài em mụn trên mặt. Dự là tết sắp đến e có í định đi làm tóc.  Mà ko pk làm kiểu gì cho nó hợp với khuôn mặt của e.  Liệu mẫu tóc bên dưới có hợp với e ko ạ.  
Mong mọi ng tư vấn kiểu tóc giúp e với ạ.  😭😭
Mong ad duyệt bài giúp e với ạ.  😍</t>
  </si>
  <si>
    <t>2019-11-29 12:49:33</t>
  </si>
  <si>
    <t>100007386391401</t>
  </si>
  <si>
    <t xml:space="preserve">#tư_vấn_làm_tóc </t>
  </si>
  <si>
    <t>#ASK 
📷     Không hiểu sao mỗi lúc sáng ngủ dậy thì thấy mặt em ko đỏ như  trong hình, rửa mặt xong 1 cái là lại có những lấm tấm vết đỏ ( không phải  mụn ). Da em thuộc loại da dầu, ngày 2 lần rửa Teen Derm Gel và bôi Teen     Derm K đều đặn mà vẫn lên mụn và sau khi rửa mặt tầm 1 2 tiếng sau là lại  rất nhiều dầu, nhờn nhờn . Các bác tư vấn giúp em xem da dầu thì nên  dùng sữa rửa mặt loại dược nào kiềm dầu tốt nhất, tốt hơn cả Teen Derm Gel     ạ , với cả làm sao để mặt em nó không lấm chấm vết đỏ nữa. , em không  biết nguyên do làm sao mà nó lại bị đỏ, bị từ mấy năm rồi trị thâm bôi nghệ các kiểu mà ko hết đỏ, da thì sần sùi đầy sẹo rỗ, thỉnh thoảng còn bị mụn bọc.</t>
  </si>
  <si>
    <t>2019-11-19 05:46:17</t>
  </si>
  <si>
    <t>Gia Bao</t>
  </si>
  <si>
    <t>100039136531114</t>
  </si>
  <si>
    <t xml:space="preserve">#ASK </t>
  </si>
  <si>
    <t>Gần tết rồi mà mặt em còn nhiều thâm quá .ai đã trị thâm khỏi thì giúp em với ạ .em đang tìm serum đặc trị thâm nhanh ,mọi người biết sản phẩm gì có tác dụng nhanh k ạ .em đã dùng redC r nhưng k có tác dụng</t>
  </si>
  <si>
    <t>2019-12-12 12:40:50</t>
  </si>
  <si>
    <t>Vi Hoang</t>
  </si>
  <si>
    <t>100044776350850</t>
  </si>
  <si>
    <t xml:space="preserve">Anh chị nào có thuốc trị xẹo kiểu này không ạ? Em bị mẩn ngứa giờ nó để lại thâm như này. Di da liễu ngt cho thuốc mà e bôi k hết :(((
</t>
  </si>
  <si>
    <t>2019-11-23 12:19:58</t>
  </si>
  <si>
    <t>Mai Anhh</t>
  </si>
  <si>
    <t>100010502318376</t>
  </si>
  <si>
    <t>#tuvan #bongmat
Mn tư vấn giúp e có cách nào hay thuốc gì trị thâm mắt với bọng mắt k ạ. Hồi trước e k có mà từ khi lên đại học thì nó thâm và bọng càng to ạ😭. Nhìn xấu kinh khủng. Tình trạng như  video dưới đây nha.😢</t>
  </si>
  <si>
    <t>2019-11-21 00:54:05</t>
  </si>
  <si>
    <t>Nguyễn Ngọc Huyền</t>
  </si>
  <si>
    <t>100007694318620</t>
  </si>
  <si>
    <t xml:space="preserve">#bongmat #tuvan </t>
  </si>
  <si>
    <t>Chào mọi người, mình từ SG chuyển ra HN sống. Thời tiết hiện tại dao động từ 12-23 độ, có lúc rét. Trời hanh, khô, độ ẩm khá thấp từ 30-68% thôi. 
Da mình là da dầu và lỗ chân lông khá to, vào mùa này thì thấy trắng, da hồng hào, đẹp hơn mùa hè, nhưng lạnh quá thì lại bị bong da nhẹ và khô.
Mọi người có ai biết sản phẩm nào dưỡng ẩm tốt cho da + các bước chăm sóc da, dưỡng da phù hợp thời tiết này không ạ.
Cảm ơn ạ!</t>
  </si>
  <si>
    <t>2019-12-14 00:26:14</t>
  </si>
  <si>
    <t>Bảo Nhi</t>
  </si>
  <si>
    <t>100002417403083</t>
  </si>
  <si>
    <t>Chào cả nhà ạ. 
Mình đang muốn tẩy tế bào chết cho body, nhưng mà chưa từng dùng qua loại tẩy tế bào nào cả ạ. 
Mn có thể tư vấn cho e xin một vài loại nào tẩy tế bào chết cho body kh ạ!?
E cảm ơn!</t>
  </si>
  <si>
    <t>2019-11-04 14:53:52</t>
  </si>
  <si>
    <t>Diễm Kiều</t>
  </si>
  <si>
    <t>100009760537406</t>
  </si>
  <si>
    <t>Các chị xem giúp em với ạ. E mới cắt ngày hôm qua và hôm nay nó sưng to và đỏ quá ạ
Các ce có kinh nghiệm xem giúp em đườn chỉ khâu thế này ok k ạ? Mắt sưng quá mà ngày mai em vẫn phải đi làm huhu</t>
  </si>
  <si>
    <t>2019-12-01 14:05:48</t>
  </si>
  <si>
    <t>Hạo Trung</t>
  </si>
  <si>
    <t>100038999807589</t>
  </si>
  <si>
    <t>Chào mọi người ,em là nam. Hiện tại em bị hôi ở vùng nách mỗi khi tập thể dục hay vận động mạnh ,mồ hôi ra thật sự không nhiều nhưng mùi ở chỗ đó khá nồng và khó chịu. Mọi người có bí quyết chữa hôi nách vĩnh viễn hoặc có sữa tắm hoặc sản phẩm hỗ trợ giúp khỏi hoàn toàn cho em xin với ạ , em cảm ơn.</t>
  </si>
  <si>
    <t>2019-11-28 13:43:25</t>
  </si>
  <si>
    <t>Quân Hoang</t>
  </si>
  <si>
    <t>100043033643924</t>
  </si>
  <si>
    <t>#ask #munan #nanmun
Theo mn có nên nặn mụn ẩn k ạ e đang phân vân quá ạ</t>
  </si>
  <si>
    <t>2019-12-18 13:45:39</t>
  </si>
  <si>
    <t>Nguyễn Thùy Linh</t>
  </si>
  <si>
    <t>100024459191531</t>
  </si>
  <si>
    <t xml:space="preserve">#nanmun #munan #ask </t>
  </si>
  <si>
    <t>#duongda
Mình 27 tuổi thì nên dùng dòng sản phẩm nào để skincare vậy mọi người? Nếu dùng loại chống lão hoá thì nên dùng của những hãng nào vậy ạ? Da mình mụn nhỏ li ti k đáng kể, chỉ có cái là hay đổ dầu ở vùng mũi trán cằm. Nhưng cũng khá là sạm khô
Vùng mắt thì mình định dùng loại kem mắt meishoku của nhật thì có ok k ạ
Có loại thuốc hà thủ ô nào ok trị tóc bạc k ạ cho mình xin ảnh với. Mình chỉ uống thuốc thôi chứ k nấu nước uống được do k có time nhiều. Vì vậy mọi ng chỉ giúp mình thuốc hà thủ ô nào ok nhe
Thnks ad đã duyệt bài</t>
  </si>
  <si>
    <t>2019-07-09 01:10:17</t>
  </si>
  <si>
    <t>Anni Nguyen</t>
  </si>
  <si>
    <t>100033872055309</t>
  </si>
  <si>
    <t xml:space="preserve">#duongda </t>
  </si>
  <si>
    <t xml:space="preserve">Mọi người ơi cho e hỏi có ai đi chỉnh răng cửa lệch chưa ạ
1 răng cửa của em mọc lấn ra ngoài với răng sát bên trông rất xấu huhu
Em nên đi niềng hay bọc răng sứ ạ
#help </t>
  </si>
  <si>
    <t>2019-11-28 05:54:20</t>
  </si>
  <si>
    <t>Nhật Linh</t>
  </si>
  <si>
    <t>100042445395879</t>
  </si>
  <si>
    <t>Có b nào biết màu son này màu j k ạ</t>
  </si>
  <si>
    <t>2019-12-08 00:46:50</t>
  </si>
  <si>
    <t>ThanhThuy Pham</t>
  </si>
  <si>
    <t>100011248390881</t>
  </si>
  <si>
    <t>#Ask #Damặt
Cho em hỏi chưa đủ 18 tuổi có nên cạo lông mặt không ạ ?</t>
  </si>
  <si>
    <t>2019-12-16 13:11:04</t>
  </si>
  <si>
    <t>An Hạ</t>
  </si>
  <si>
    <t>100016687093475</t>
  </si>
  <si>
    <t xml:space="preserve">#Damặt #Ask </t>
  </si>
  <si>
    <t>Chào mọi người! Em ko hiểu sao mấy ngày nay tóc lại lên nhiều vảy gàu bám da đầu như vậy? Liệu em có bị nấm ko ạ? Mn cho em xin lời khuyên với!!!
#trigau</t>
  </si>
  <si>
    <t>2019-12-03 04:31:16</t>
  </si>
  <si>
    <t>100041295780142</t>
  </si>
  <si>
    <t xml:space="preserve">#trigau </t>
  </si>
  <si>
    <t>Mng ch em hỏi mấy nốt này là nốt gì ạ tự nhiên hnay tắm xong vô soi chân nẻ mà thấy mất nốt này mng cho em hỏi đây là nốt gì và cách chữa được khong ạ camon trc ạ 🤦‍♀️😳😪</t>
  </si>
  <si>
    <t>2019-12-06 15:24:28</t>
  </si>
  <si>
    <t>M.n ơi cho e hỏi có cách nào trị nào đồi mồi trên tay k ạ</t>
  </si>
  <si>
    <t>2019-12-18 13:45:45</t>
  </si>
  <si>
    <t>Nguyen Hana</t>
  </si>
  <si>
    <t>100041051371737</t>
  </si>
  <si>
    <t>Bén quá bén 
#Funny 
Cre : St</t>
  </si>
  <si>
    <t>2019-12-02 06:04:35</t>
  </si>
  <si>
    <t>Nga Minh</t>
  </si>
  <si>
    <t>100010246659966</t>
  </si>
  <si>
    <t>#mun
Chuyện là mỗi lần sắp tới ngày dâu rụng thì mặt em tả tơi mn ạ. Buồn lắm. Mặt cứ được được dăm hôm thì bắt đầu lên mụn mùa dâu, dâu đi qua thì đợi mụn xẹp rồi xử thâm cũng mất dăm nửa tháng các bn ạ.Không biết mọi người ở đây như thế nào nhỉ? Có bạn nào có cách gì cải thiện k ạ chứ mình rầu quá luôn 😭 da mình nhạy cảm ạ
Những sản phẩm hiện tại mình dg sd 
- tẩy trang garnier hồng của Nga
- hada labo trắng ( nội địa Nhật )
- toner mamonde cúc la mã
- serum bergamo 24k
- kem 5in1 đỏ Aqua label
- tẩy tbc huxley
- mask đất sét kiehl’s ( mới sd 1l )
- kcn skin aqua nắp xanh dương
Cảm ơn mn ạ</t>
  </si>
  <si>
    <t>2019-10-02 06:16:47</t>
  </si>
  <si>
    <t>Khoa Lê</t>
  </si>
  <si>
    <t>100031863124766</t>
  </si>
  <si>
    <t>Các c cho e xin tip trị thâm do ngã xe với ạ,  mặt e bị nặng hơn nhưng k dám chụp lên ạ.  
e nghe bảo nên dùng ngệ tươi trị sẹo,  k biết có tốt k? 
Mong add duyệt bài ạ.  Cảm ơn cả nhà nhiều! 
. 
#triseo</t>
  </si>
  <si>
    <t>2019-12-13 09:37:03</t>
  </si>
  <si>
    <t xml:space="preserve">#triseo  </t>
  </si>
  <si>
    <t>Mọi người ơi đây là da mặt của e hiện tại. Và e có hai câu hỏi mong ai biết chỉ em với. 
1 da e bị mụn như hình và tàn nhan, ai biết sản phẩm nào trị này k ạ?? 
2. Da e là da đen. Và e muốn dươngc ăn tết. Không biết có sản phẩm nào có thể kích trắng lên được k ạ. Hay ai biết các bươac dưỡng và sản phẩm nào dưỡng trắng chỉ e với ạ.</t>
  </si>
  <si>
    <t>2019-12-03 13:22:55</t>
  </si>
  <si>
    <t>Ngọc Võ</t>
  </si>
  <si>
    <t>100005756173500</t>
  </si>
  <si>
    <t>#help
Các chị ơi cứu em :((((
Em bị rụng tóc 1 vài năm nay rồi và giờ nó như thế này đây 😞 Đã thử đủ thứ, đi khám cũng có, điều trị các thứ nhưng không có tiến triển!
Các chị nhìn tóc em thế này có xót xa không chứ em xót lắm, mặc cảm vô cùng. Đi làm tóc mà nhân viên cứ bảo ơ tóc chị mỏng thế, ra đường mọi người cũng tò mò bảo ơ con này bị hói à. 
Em thực sự stress nặng về vấn đề này luôn 😞 
Mặc dù em biết em càng stress thì tóc càng rụng, nhưng ai gặp cũng chê em ít tóc, thực sự em mặc cảm lắm luôn!
Nên hôm nay em mạn phép hỏi các chị ở trong nhóm, có ai đã trong tình trạng như em: tóc rụng nhiều năm ít mọc lại (gần như không mọc) mà đã chữa khỏi rồi, có thể cho em xin ít kinh nghiệm không ạ?
Em mới ngoài 20, chưa chồng con gì ạ.
Em cảm ơn các chị &lt;3</t>
  </si>
  <si>
    <t>2019-11-29 00:25:42</t>
  </si>
  <si>
    <t>Nguyễn Cô Yến</t>
  </si>
  <si>
    <t>100026735631005</t>
  </si>
  <si>
    <t>Các chị ơi e trai e bị như này là bị gì à.nhìn mà xót e quá
Mong ad duyệt bài</t>
  </si>
  <si>
    <t>2019-12-24 04:43:51</t>
  </si>
  <si>
    <t>Trần RuByy</t>
  </si>
  <si>
    <t>100038923683489</t>
  </si>
  <si>
    <t>- chào mọi người e là tv mới đây ạ . 
-Mọi người cho em hỏi là có ai điều trị cắt sẹo ở bệnh viện 108 ( chi nhánh sài gòn ) chưa ạ . 
-Cắt xong không bị chùng kéo da hay sẹo thẩm mỹ được như quảng cáo kg ạ . 
-E khá lo lắng vì sẹo e khá to và còn ở trước ngực ạ . 
Mong ad duyệt bài ạ . Thanks. 
#dieutriseoloi</t>
  </si>
  <si>
    <t>2019-12-22 12:53:17</t>
  </si>
  <si>
    <t>Huỳnh Ngân</t>
  </si>
  <si>
    <t>100005482815910</t>
  </si>
  <si>
    <t xml:space="preserve">#dieutriseoloi </t>
  </si>
  <si>
    <t>#ask
Chào Anh/ Chị cà Các bạn. Em có một vấn đề rất mong được mọi người tư vấn. 
Da em hiện tại đang bị thâm và rỗ nhẹ, em định đi phòng khám để điều trị, vì thâm và rỗ đã 4 năm rồi, da em mỗi khi lên mụn thì để lại thâm rất lâu. Khoảng một tháng trước da mặt em nổi mụn lại, học hỏi kinh nghiệm trong hội thì em đã giảm mụn, cũng có dùng serum của TO và vitaminC redC, nhưng khổ nổi là thâm lâu năm của em không hết. Mọi người có biết chỗ nào ở SG trị thâm và rỗ oke chỉ em với ạ. À, có ai từng trị ở Dr Huy ( Trương Ngọc Huy), O2Skin, Dr Scar thì em xin review với. :( thật sự em rất hoang mang không biết nên điều trị ở đâu, mỗi lần điều trị là một khoản tiền không nhỏ đối với em nên em thật sự không biết phải lựa chọn như thế nào. 
Em mong nhận được phản hồi từ mọi người. 
Em cảm ơn nhiều ạ.</t>
  </si>
  <si>
    <t>2019-09-30 01:56:42</t>
  </si>
  <si>
    <t>Trịnh Huyền Trang</t>
  </si>
  <si>
    <t>100004163880993</t>
  </si>
  <si>
    <t>Lần đầu tiên đăng bài ạ.
Mình muốn hỏi mọi người về mỹ phẩm nội địa Trung ( nhất là đồ make up ạ).
Không biết mọi người cảm thấy thế nào ( người chưa sử dụng).
Và trải nghiệm của mọi người sau khi sử dụng ạ.
-&gt; ảnh trên taobao</t>
  </si>
  <si>
    <t>2019-11-23 10:22:13</t>
  </si>
  <si>
    <t>100010132500083</t>
  </si>
  <si>
    <t>nỗi khổ của em đay mn ạ .
cứ vào mùa này là đau ko chịu nỗi e ko biết dùng gì để khỏi á . cứ đụng vào nc vs nc rửa chén hay xà phòng là càng ghê hơn . cứ như bị đức tay đau ko chịu nỗi . bạn nao biết thuốc gì bôi cho đỡ ko giúp em với . ban đem nên nhìn hơi ghê</t>
  </si>
  <si>
    <t>2019-11-23 15:55:36</t>
  </si>
  <si>
    <t>100011135205215</t>
  </si>
  <si>
    <t>#kemtron 
Đây là bài bóc phốt của 1 bạn trong 1 hội. 254 cái bình luận vào chửi bạn đăng bài. Và tất cả các bạn chửi đấy đều bán kem trộn. Ở 1 nơi nào đó kem trộn đang hoành hành kinh khủng lắm mọi người ạ</t>
  </si>
  <si>
    <t>2019-10-19 12:38:46</t>
  </si>
  <si>
    <t>100033776473278</t>
  </si>
  <si>
    <t>#Funny 
“Ánh sáng chân lý chiếu rọi qua tim “ 
Team trán cao vào điểm danh nào 🤗</t>
  </si>
  <si>
    <t>2019-07-02 01:11:30</t>
  </si>
  <si>
    <t>Tu Lee</t>
  </si>
  <si>
    <t>100034694823356</t>
  </si>
  <si>
    <t>#ask #tìm_sản_phẩm_cho_da_tàn_nhang 
Có bạn nào bị tàn nhang (ko phải bẩm sinh) mà dùng 1 sản phẩm nào hết hay bớt ko ạ? 
Da mình lúc ko biết skincare (và đương nhiên luôn là ko biết đến vụ kcn) nên đến sau này biết chăm da để ý lại thì thấy lốm đốm tàn nhang phía gò má, đến nay cũng 2-3 năm. Vì lúc biết thì có e bé nên hình như vì thế mà nó trổ nhiều hơn. 
Hiện tại mình sắp sinh, nên đang có dự định sau sinh sẽ đi bắn tàn nhang (cũng xin review phần này luôn ạ!?) hoặc tìm 1 sản phẩm vừa điều trị tàn nhang vừa chống lão hoá luôn! 
Có bạn nào da tàn nhang và giờ hết (dùng kem hay bất kì 1 cách thức nào hết cũng đc) giúp mình chia sẻ trong phần cmt nhé! Cám ơn mọi người ạ!</t>
  </si>
  <si>
    <t>2019-08-26 09:42:54</t>
  </si>
  <si>
    <t>Lý Yến Nõn</t>
  </si>
  <si>
    <t>100009204052467</t>
  </si>
  <si>
    <t xml:space="preserve">#tìm_sản_phẩm_cho_da_tàn_nhang #ask </t>
  </si>
  <si>
    <t>#help
Em bị mụn ẩn trên trán, rất nhiều như trong ảnh, bị 2,3 năm rooif ko hết. Ngoài ra e dạo gần đây e còn mụn bọc, mụn mủ cằm và 2 bên má nhaat là má phải, e ngứa tay nên nặn giờ nó bị thâm còn có dấu hiệu mọc lan ra, lcl cũng to nữa, mỗi lần nhìn vào gương e stress cực kì. Hiện tại e chỉ dùng srm và nước hoa hồng
Các chị có thể tư vấn giúp e skincare như thế nào cho đúng và dùng sp nào tốt cho da ko ạ. Da e là da dầu. E mới là sv năm nhất nên ko có nhiều điều kiện nên e nhờ các chị tư vấn sp phù hợp với sinh viên thôi ạ
E chưa biết skincare ntn cho đúng nên e rất mong các chị chỉ dẫn ạ, chứ e stress lắm rồi ạ 😢😢😢
Ảnh e lấy từ 1 chị bên gr khác, nhưng tình trạng của e y hệt ntn ạ</t>
  </si>
  <si>
    <t>2019-09-21 06:00:35</t>
  </si>
  <si>
    <t>Mi Lô</t>
  </si>
  <si>
    <t>100022427411859</t>
  </si>
  <si>
    <t>Cảm ơn ad đã duyệt bài
M chuẩn bị bước sang t30. Da m dạo gần đây có dấu hiệu lão hóa như ảnh. Mn có sp ngăn ngừa lão hóa ? Và kem dưỡng trắng cấp ẩm nào dùng ổn k ah. ( da m hơi khô. Ít khuyết điểm.) m dùng kcn + phấn nước ohui rất ok. Che phủ được hết chỗ lcl to của m. Tiện đây có phấn nước nào lâu xuống tone k mn. Cảm ơn mn</t>
  </si>
  <si>
    <t>2019-12-07 13:19:01</t>
  </si>
  <si>
    <t>Oliver Duyên</t>
  </si>
  <si>
    <t>100004102564831</t>
  </si>
  <si>
    <t>#Gocnhotuvan
mn cho e hỏi với. e phun môi tính đến hnay là 1 tháng 4 ngày rồi mà vẫn cứ thâm thâm như này, e lo quá. với cả họ phun bị to hơn khuôn môi gốc của em, e có hỏi thì họ bảo 2 tháng quay lại họ phun lại hạ viền và thu hẹp khuôn môi bằng cách phun vàng chanh vào sẽ bình thường. Liệu có thu hẹp lại khuôn môi cũ và môi e có lên màu nữa k hay cứ thâm thâm như này nếu không dặm lại ạ. em lo qá. Biết như này e chẳng đi phun môi lg ạ huhu. 
E xin hỏi thêm là 31/12 này e cưới chồng thì mấy ngày đó e phải dùng son đậm thì có ảnh hưởng kinh khủng k ạ. Lúc đó môi e dc tầm 1 tháng rưỡi r ạ huhu</t>
  </si>
  <si>
    <t>2019-12-20 09:35:10</t>
  </si>
  <si>
    <t>Cưm Hi</t>
  </si>
  <si>
    <t>100005753345086</t>
  </si>
  <si>
    <t xml:space="preserve">#Gocnhotuvan </t>
  </si>
  <si>
    <t>Mặt em đang nổi rất nhiều mụn.
Mn có thể cho em biết là mụn dì với sài sản phẩm nào là phù hợp(da em là da dầu)</t>
  </si>
  <si>
    <t>2019-12-10 00:36:25</t>
  </si>
  <si>
    <t>Sơn Thị Cẩm Tú</t>
  </si>
  <si>
    <t>100014852744768</t>
  </si>
  <si>
    <t>Em chào mn. Em bị thâm 2 bên mép môi từ bé, trong group mình có ai bị vậy không ạ và làm thế nào để hết ạ? Chứ đánh son lên xong bên mép vẫn thâm thâm em tự ti lắm ạ. Bình thường thì lại như bị chóc mép ấy
Thêm nữa là cằm em như này là lệch hay gì ạ? Lâu lâu mới để ý khuôn mặt mà thấy như này em tự ti quá
Mong ad duyệt bài giúp em. Em cảm ơn ạ</t>
  </si>
  <si>
    <t>2019-12-01 12:54:00</t>
  </si>
  <si>
    <t>LỦiii LỚp TrưỞng</t>
  </si>
  <si>
    <t>100012203203932</t>
  </si>
  <si>
    <t>#ask 
Mọi người cho em xin cách trị mụn ruồi thịt . Mẹ em đang có thai ,không hiểu sao ở cổ lại mọc rất nhiều mụn ruồi thịt ,nó mọc nhiều to và đen lắm ạ .kb có ai bị giống mẹ em không ạ ,cho e xin kinh nghiệm trị vs ạ</t>
  </si>
  <si>
    <t>2019-12-24 14:51:14</t>
  </si>
  <si>
    <t xml:space="preserve">
#triseo
Em vừa mới đi bóc tách đáy sẹo và laser CO2 với huyết thanh giàu tiểu cầu (máu tự thân).
Vì tính chất công việc nên giờ giấc đi làm của em khá trễ. Sáng từ 9h hoặc 11h em mới đi làm. Ngày mai em có thể dùng kem chống nắng liền được ko ạ?. Em dùng kcn Cell Fushion C Toning Sunscreen 100 ạ. Làm gì để da mau phục hồi ạ?
Mong chị em cho em xin ít review</t>
  </si>
  <si>
    <t>2019-11-18 12:01:00</t>
  </si>
  <si>
    <t>Nguyễn Ngọc Nga</t>
  </si>
  <si>
    <t>100006706416158</t>
  </si>
  <si>
    <t>#đẹp_chanh_sả     #Rượu_thuốc_Bà_Lão
Em bị nhiễm corticoid do dùng rượu thuốc Bà Lão  cách hơn 1 năm
Em đã chữa trị tại spa tốn kém rất nhiều tiền trong vòng 1 năm nay và em nản thật sự rồi
Anh chị có thể review về cách làm khoẻ da và thải corticoid cho em với ạ
Em cám ơn! 
Hiện tại em dùng sữa rửa mặt cerave, xông mặt chanh sả 1 tuần 1 lần, đắp mặt nạ bột diếp cá/trà xanh 3 lần 1 tuần. Em ko bôi thuốc gì cả
Em cám ơn</t>
  </si>
  <si>
    <t>2019-07-11 10:18:01</t>
  </si>
  <si>
    <t>Hà Hà</t>
  </si>
  <si>
    <t>100033576861133</t>
  </si>
  <si>
    <t xml:space="preserve">#Rượu_thuốc_Bà_Lão #đẹp_chanh_sả </t>
  </si>
  <si>
    <t>Cứu ..da mặt chị em vừa khô vừa có mụn ẩn nổi lên ..ai có bí quyết chữa trị giúp e với 😭😭</t>
  </si>
  <si>
    <t>2019-11-22 07:32:58</t>
  </si>
  <si>
    <t>Trần Thị Bích Tuyền</t>
  </si>
  <si>
    <t>100004684774416</t>
  </si>
  <si>
    <t>#rungtoc #help
Các chị ơi giúp em với 😭😭 Sau 3 năm nhuộm tẩy uốn các thứ h tóc em bị rụng tóc khủng khiếp, 2 năm qua em dùng dầu dược liệu thái dương mà tóc khô vs mọc k nhiều, lượng tóc rụng tăng mỗi ngày vs gần đây em dùng thuốc xịt tóc + dầu gội Thu Hương, phía trước mọc được phía trán mà phần trên đỉnh vẫn hói thế này ạ.... Em có lấy vỏ bưởi bẻ ra r xịt nước vào da đầu, uống hà thủ ô, gội bồ kết 1 thời gian mà vẫn k mọc được..... Nhờ các chị chỉ em với, hay em gội bồ kết sai cách 😭😭 thấy nhiều người bảo gội bồ kết tóc đen vs mọc nhanh cực...
Em cảm ơn ạ. 😭</t>
  </si>
  <si>
    <t>2019-06-07 03:36:41</t>
  </si>
  <si>
    <t>Minh Thu</t>
  </si>
  <si>
    <t>100025465214413</t>
  </si>
  <si>
    <t xml:space="preserve">#help #rungtoc </t>
  </si>
  <si>
    <t xml:space="preserve"> #góchỏi 
Các ce ơi. Da e là da dầu trước giờ lcl ở 2 má và trán hơi to 1 chút. Mụn thì đến tháng có 1 vài chú . Htrc nghe qc ngon ngọt Btox peel xong da sẽ đẹp lcl thu nhỏ, da sáng lên. Hí hửng đi làm. Sau làm lúc lau đi thì thấy trắng mịn thật sự cũng vui vui . Ai ngờ đó là cú lừa 😭😭😭 sau Btox spa cho về nhà bôi tế bào gốc, vì đẹp chấp nhận nghe lời dặn vã càng nhiều tê bào gốc thì sau bong da càng đẹp. Oke vã cho 4 lọ trong vòng 1 tuần. Cuối cùng đến ngày t6 da bắt đầu bong... bong từng mảng . Vde bắt đầu từ đó chỗ bong trước trắng hơn chỗ bong sau. Sau ngày t8 da bong hết da mặt loang lổ màu chỗ trắng chỗ sạm đen. Đến spa ktra da c chủ và nv nói chưa bong hết về chịu khó tẩy da chết, vệ sinh da sạch bôi tbg ra đg bôi chống nắng. Lại cun cút đi về nhưng ko ngày n càng tồi tệ sang ngỳ t9 da lên 1 lũ MỤN LI TI . Lại nt hỏi r qa spa ktra rồi đc trả lời tại mình vệ sinh da ko sạch. Từ trc đến giờ e vẫn vệ sinh da như thế bây giờ cũng vậy chỉ là thay vì bôi serum e bôi tế bào gốc. Và kết quả da đên bây giờ là đc 1 tháng ngày càng nặng 😞 
E chỉ muốn lũ Mụn này biến mất . Mn cho e xin ít kinh nghiệm và loại sp đẩy nhân mụn các thứ cac thứ để hết vs ak 😞 da e da dầu hỗn hợp hơi khô chút. Da mẫn cảm và rất dễ dị ứng. Hiện tại e đang dùng Tẩy trang - srm - toner của innisfree
 Kem chống nắng cell fusion C 
Xịt khoáng của nuskin NaPCA
Em cảm ơn mn ạ. Văn e n ko được tốt cho lắm mong mn thông cảm ạ. Tks all</t>
  </si>
  <si>
    <t>2019-09-11 05:17:46</t>
  </si>
  <si>
    <t>Jeny Nguyễn</t>
  </si>
  <si>
    <t>100033420997780</t>
  </si>
  <si>
    <t xml:space="preserve">#góchỏi  </t>
  </si>
  <si>
    <t>#ask#rượuthuốc#kemtrộn#phụchồida
Chào mọi người trong group. Em năm nay 21 tuổi, chưa bao giờ skincare, nay được giới thiệu vào group mong mọi người giúp đỡ ạ
E thuộc da hhtd, đã từng sài rượu thuốc và kem trộn, mấy ac có thể chỉ e một số loại mĩ phẩm skincare trị mụn và phục hồi da k ạ? E cảm ơn nhìu
Tha thiết mong ad duyệt ạ 😭</t>
  </si>
  <si>
    <t>2019-10-26 05:28:30</t>
  </si>
  <si>
    <t>100042507735989</t>
  </si>
  <si>
    <t xml:space="preserve"> #phụchồida #kemtrộn #rượuthuốc #ask </t>
  </si>
  <si>
    <t>Chuyện là em mới mua em mặt nạ ngủ này trên Coco show . Nhưng dường như chả có tác dụng gì cả , sáng dậy mặt em vẫn ra dầu , không biết có phải fake không hay da em không hợp . Mùi thì có lúc em thấy thơm , có lúc thấy hắc quá , phải đặt gần mũi mới thấy mùi . Mọi người xem hộ em ạ , em cảm ơn 
Tại em thấy ng ta bảo gel là dành cho da dầu , sáng dậy mặt ráo . Cảm ơn mọi ng ạ , em yên tâm hơn rồi</t>
  </si>
  <si>
    <t>2019-11-21 07:43:00</t>
  </si>
  <si>
    <t>Biu Biu Eri</t>
  </si>
  <si>
    <t>100014706646273</t>
  </si>
  <si>
    <t>Em đăng lầm thứ N rồi vẫn chưa đc duyệt bài 
Mn ơi cho em hỏi hiện em đang sử dụng những sản phẩm này có ổn cho da hh thiên khô của em không ạ.  
    Mn cho em xin ít ý kiến với ạ
Em cảm ơn</t>
  </si>
  <si>
    <t>2019-12-03 09:37:35</t>
  </si>
  <si>
    <t>100014610135818</t>
  </si>
  <si>
    <t xml:space="preserve">
#mun
Có ai bị mụn giống e ko ạ.Mụn to mà ko có đầu,xong nó chai cứng lun.
Mụn e đa số đỏ đỏ rồi thâm lun chứ ko có đầu nên ko nặn đc.Da thì dầu kinh khủng,đợt này thức khuya nhìu nên nổi thêm nhìu mụn li ti.
E dùng 
Tt byphase (đang tính đổi sang loreal)
Srm innisfree
Toner mamonde (diếp cá)
Serum Dr.Ag+
Chấm mụn Tea tree
Trị thâm Hiruscar
Chị e ai mụn kiểu vầy mà chữa or dùng gì hết chỉ giúp e vs ạ
E cảm ơn mn 😍😍</t>
  </si>
  <si>
    <t>2019-11-29 13:56:03</t>
  </si>
  <si>
    <t>Lê Trần Lộc Nhung</t>
  </si>
  <si>
    <t>100041988079271</t>
  </si>
  <si>
    <t>Mong ad duyệt dùm em 
Hiện tai em 22 tuổi lúc trưoc thì tóc em vẫn bình thường cho tới khi em có đi sinh nhật và xài keo xịt và gel để vuốt tóc ,em có kiểm tra lại thì keo xịt đã hết tháng 4 tháng, và em có ăn chay 1 tháng thì em không biết là nguyên nhân nào mà trán bên trái của em nó bị rụng tóc quá trời (ảnh như hình) ,... mong anh chị giúp em cách để tóc em mọc lại bình thường với ạ giờ thì thiếu tóc chỗ đó em tự ti lắm.</t>
  </si>
  <si>
    <t>2019-12-06 07:42:16</t>
  </si>
  <si>
    <t>Trần Dũng</t>
  </si>
  <si>
    <t>100044434952335</t>
  </si>
  <si>
    <t>Nhờ admin duyệt giúp em 
Anh chị đẹp group ơi giúp em với . 
Có ai biết mặt em bị gì không ạ ? Em k dùng mỹ phẩm hay gì hết , từ lúc bị đến giờ e có đi khám da liễu rồi thì bác sĩ bảo là bị viêm nan lông . Nhưng em có uống thuốc và bôi thuốc thì nó lặn đc ít bữa thì bị lại . Bị cả năm nay rồi ạ . Ở ngoài nhìn còn kinh hơn trong nhìn nữa , em thì xưa giờ k dùng mỹ phẩm hay gì hết mặt nhỏ lớn cũng k có mụn luôn mà tự nhiên giờ qua tuổi dậy thì rồi cái bị vậy . Nhiều khi em ngủ dậy nó còn rứm máu mà không có mủ nha . 
Có ai có cách hay bác sĩ da liễu nào tốt chỉ giúp em với ạ . Em cám ơn ạ</t>
  </si>
  <si>
    <t>2019-11-30 00:43:10</t>
  </si>
  <si>
    <t>Minh Tâm</t>
  </si>
  <si>
    <t>100008298540008</t>
  </si>
  <si>
    <t>Mọi ng chở e hỏi e bị bỏng hơn 1 tháng này rồi ,k may để lại vết thâm sẹo như vậy coạ mất đuocej k? Có thuốc j bôi mất đc k ạ,</t>
  </si>
  <si>
    <t>2019-12-01 14:05:03</t>
  </si>
  <si>
    <t>Meo Con</t>
  </si>
  <si>
    <t>100004885140078</t>
  </si>
  <si>
    <t>#ask #hair #nhuomtaytoc
Các chế cho em hỏi màu này màu gì vậy ạ ? 
Em đang tia mấy màu kiểu này quá, mà rén tẩy tóc vì tóc em yếu. Các chị rv cho em xin mấy màu tây tây nhưng k phải tẩy dc k ạ 🙆‍♀️</t>
  </si>
  <si>
    <t>2019-11-14 22:39:43</t>
  </si>
  <si>
    <t>Ng T. Lan Anh</t>
  </si>
  <si>
    <t>100034466410571</t>
  </si>
  <si>
    <t xml:space="preserve">#nhuomtaytoc #hair #ask </t>
  </si>
  <si>
    <t>tha thiết xin tip kem trị mụn 😭😭 gần tới tết rồi nên muốn mặt đỡ hơn</t>
  </si>
  <si>
    <t>2019-12-02 11:16:27</t>
  </si>
  <si>
    <t>Kim Phương</t>
  </si>
  <si>
    <t>100014735866730</t>
  </si>
  <si>
    <t xml:space="preserve"> #kemtron #bocphot 
Dạo chơi lotte 1 vòng e ghé vào thử medicare xem có gì hay và oh wow có cả CENLIA hot 1 thời 🤣🤣🤣 kem theo sakura gì ấy nữa mà kb loại gì mà mắc thế tận 1 triệu mấy :))) này có tính là nhà thuốc bán kem trộn k ạ nhiều khi cũng k tin tưởng đc nhà thuốc lắm mấy chị nhỉ</t>
  </si>
  <si>
    <t>2019-06-16 14:07:47</t>
  </si>
  <si>
    <t>Hoàng Hà Thương</t>
  </si>
  <si>
    <t>100006641670542</t>
  </si>
  <si>
    <t xml:space="preserve">#bocphot #kemtron  </t>
  </si>
  <si>
    <t>#uonmi
Em chào mn ạ!!! Chuyện là lông mi của em khá là dài nhưng nó lại thẳng và rất là cứng 😅 mn có thể cho em ít cách để uốn mi cong mà ko bị gãy được ko ạ !!! Em cảm ơn mn ạ ❣️❣️❣️ ( mong ad duyệt bài em )</t>
  </si>
  <si>
    <t>2019-08-23 00:04:47</t>
  </si>
  <si>
    <t>Trần Thu Phương</t>
  </si>
  <si>
    <t>100008061827803</t>
  </si>
  <si>
    <t xml:space="preserve">#uonmi </t>
  </si>
  <si>
    <t>Da e mới bị nhiễm coticoid gần đây và đi khám thì bác sĩ bảo là bị viên nang lông tuyến bã và thực sự rất nghiêm trong nhưng hình dưới. Ko bt ce nào đã từng bị và vượt qua cho e xin bí quyết và cách thức vs ạ.Em cảm ơn #coticoid #kemtron</t>
  </si>
  <si>
    <t>2019-12-09 00:51:25</t>
  </si>
  <si>
    <t>Hải Yếnn</t>
  </si>
  <si>
    <t>100011355660494</t>
  </si>
  <si>
    <t xml:space="preserve">#kemtron #coticoid </t>
  </si>
  <si>
    <t>Em đi chấm tàn nhang sau khi tróc mài thì mấy chỗ chấm bị thâm đỏ lên mà vẫn không hết tàn nhang,bây giờ nhìn còn thảm hơn hồi chưa chấm nữa ạ, mọi người có sản phẩm gì giới thiệu em với ạ 😭</t>
  </si>
  <si>
    <t>2019-12-01 03:00:45</t>
  </si>
  <si>
    <t>Đường Ca</t>
  </si>
  <si>
    <t>100029763967817</t>
  </si>
  <si>
    <t xml:space="preserve">Alo mọi người, da em da dầu nhạy cảm mụn ẩn mụn viêm nhiều ở má cũng mấy tháng rồi mà tại hời hợt vui thì mua chai lọ skincare linh tinh không thì thôi nên tình trạng da mụn cứ lặn rồi mọc, r để lại mấy nốt thâm nhưng còn ẩn nhân mụn ở dưới í. 
Trước đó có dùng qua tẩy trang biodema, toner dickinson, mamonde hoa cúc, bộ aha bha 30days, redpeel, bộ hiruscar, vân vân mây mây nhưng hình như đều ko hợp =)) 1 tháng trở lại đây, em không bôi trát thứ gì lên mặt hết, chỉ xài tẩy trang, srm senka, mask hymalaya với mua foreo mini 3 . Hết rồi. À e ít dùng kcn, lâu lâu dùng thì kiểu mặc dù tẩy trang rồi nhưng mà tối về rửa mặt tự dưng tróc một đống lớp gì vón thành cục giống giống lúc mà mình ở dơ mấy ngày tắm kì ra đất vậy, @@ vì sao vậy ạ ?
 À nghe bảo dou đẩy mụn ẩn nên e mới mua, nhưng cũng thấy nửa vời lắm tại có bạn bảo hết mụn, có bạn bảo xài bị breakout ? 😨 ai có kinh nghiệm cho e lời khuyên gì đó được không? Với cả chỉ tẩy trang, rửa mặt, rồi xài dou r đi ngủ khỏi cần toner kem dưỡng có đc ko ạ ? 
À, một việc nữa, nghe bảo niềng răng thì không nên đi nặn mụn hả mn? Hôm bữa đọc bạn nào cmt dạo bảo lúc nặn mấy cái mụn xung quanh gần mồm mép, ngta đè mạnh vào mấy chỗ có xương răng yếu (vì đang niềng mà)thì đau không chịu được 😨 e chưa đi nặn mụn bao h nên ko biết. 
Tks mn &lt;3 
#HELP #ASK #tri_mun </t>
  </si>
  <si>
    <t>2019-12-13 08:36:04</t>
  </si>
  <si>
    <t>Cẩm Hồng</t>
  </si>
  <si>
    <t>100010001707877</t>
  </si>
  <si>
    <t xml:space="preserve">#tri_mun #ASK #HELP </t>
  </si>
  <si>
    <t>Trời lạnh như này khổ quá mấy chị ạ 😞 môi nó cứ khô tứa máu thế này :((( 
Mấy chị có cách gì bày em với 😔😔😔</t>
  </si>
  <si>
    <t>2019-12-13 12:02:20</t>
  </si>
  <si>
    <t>100001378526910</t>
  </si>
  <si>
    <t>Mọi người ơi tư vấn giúp mình với ạ, vì trong group nhiều người quen nên mình dùng nick em mình. 
• Da mình vừa khô, vừa tàn nhan, thâm mụn, lỗ chân lông to, sẹo rỗ do mụn ý, không biết nên chăm sóc da như thế nào, sử dụng sản phẩm skincare nào thì đỡ hơn ạ. 
• Đặc biệt mình bị mụn trên mũi và 2 bên cánh mũi ( mụn đầu trắng và đầu đen mà dùng nhíp gấp mụn gấp lên được ý ạ ), da ở 2 cánh mũi khô bong tróc mình phải lấy gấp mụn gấp ra, mặc dù mình có đi lấy mụn nhưng về nhà 1 ngày sau là chúng nó lại lũ lượt mọc lên nữa, mụn này làm cho 2 bên cánh mũi mình luôn ngứa và rất khó chịu, mọi người biết cách gì để trị triệt để không ạ, cả mụn cám dưới cằm cũng khó chịu lắm luôn ý ạ. 
• Hiện mình có đi lấy mụn ở spa 10 ngày 1 lần, rửa mặt bằng xà phòng thiên nhiên nghệ gì đó mà chị ở spa đưa cho mình, xong mình sử dụng dung dịch dưỡng ẩm của hada labo sau khi rửa mặt thôi ạ. Vì mình không biết nên sử dụng sản phẩm gì để skincare nên tạm thời chỉ sử dụng 2 sản phẩm đó, xong giờ da vừa khô vừa ngứa khó chịu quá luôn nên lên đây hỏi mong được mọi người review ạ. 
* Ảnh trên là mình đã chỉnh màu thấp xuống tí để mọi người thấy được những chỗ khuyết điểm trên da mình, ảnh cuối là ảnh da mình khi chưa chỉnh màu xuống nhưng nhìn ở ngoài nó rất là xấu luôn 😢</t>
  </si>
  <si>
    <t>2019-12-04 13:33:53</t>
  </si>
  <si>
    <t>Bình Mai</t>
  </si>
  <si>
    <t>100042648530433</t>
  </si>
  <si>
    <t xml:space="preserve">Mọi người ơi giúp e với ạ.  
Tình hình hiện tại là da e như vầy luôn ạ. Em đã từng dính rượu thuốc và kem trộn.  Xài đủ mọi thứ. Sau đó nhờ skincare nên da e có đở hơn và đang chờ lên nhân mụn để đi nặn. Sau đó đọc và nghe mn rw về tinh dầu hoa anh thảo nên liều mua về uống. 
Tháng trước da e còn đở nhưng sau khi e uống tinh dầu hoa anh thảo dc hơn 40v nên bây giờ da e nó đỏ hết 2 bên má. 
Mong ad duyệt bài giúp e ạ.  E cảm ơn. 
</t>
  </si>
  <si>
    <t>2019-10-31 13:52:29</t>
  </si>
  <si>
    <t>100042805750611</t>
  </si>
  <si>
    <t>Nối tóc đẹp thì có đẹp mà đau quá.
M mới nối hôm qua mà đau quá.
Ai nối tóc rồi thì cho m hỏi, vài ngày nữa có hết đau ko? Chứ nằm ko được lun. Đau ghê lun. Đụng vô là đau.</t>
  </si>
  <si>
    <t>2019-11-24 13:59:44</t>
  </si>
  <si>
    <t>Mymy Phan</t>
  </si>
  <si>
    <t>100003331497852</t>
  </si>
  <si>
    <t>#ask #tẩytrang 
Cho em xin review 1 số loại nước tẩy trang cho da dầu với ạ, em từng dùng bioderma với laroche mà thấy ko hợp nên tính đổi sang loại khác, em cảm ơn ạ. Ai có từng sử dụng 2 loại như ảnh rồi thì càng tốt ạ.</t>
  </si>
  <si>
    <t>2019-08-07 05:52:38</t>
  </si>
  <si>
    <t>阮清新</t>
  </si>
  <si>
    <t>100039664281038</t>
  </si>
  <si>
    <t xml:space="preserve">#tẩytrang #ask </t>
  </si>
  <si>
    <t>Helpp em các chị ơii, em muốn để mái dày nhưng da đầu em đổ nhiều dầu quá, em gội đầu chỉ khoảng tối hôm trước đến trưa hôm sau sờ đã thấy bết dính rồi ạ @@ các chị cho em xin review mấy loại dầu gội trị dầu đc không ạ</t>
  </si>
  <si>
    <t>2019-11-27 06:37:10</t>
  </si>
  <si>
    <t>Nguyễn Thanh Thư</t>
  </si>
  <si>
    <t>100019303804228</t>
  </si>
  <si>
    <t>Chào m.n #gochoidap .
Trc đây mh có từng dùng rượu thuốc , r kem trộn dạng trị mụn ấy tại hồi ấy bị dị ứng thuốc nhuộm tóc gê lắm ,bức bí quá mới dùng ..công nhận sd 1 tg da đẹp hẳn nhug bù vào đó là da yếu sd gì cũng k hợp ,ngưng thì bị mụn lại vật lộn 1 tg da dần phục hồi thì lcl ở bên má to ra mụn ẩn thì nhiều nhug n k đẩy lên ,nhìn vào khó chịu lắm ,có ai bị lcl kiểu đen đen k ? Hồi đấy e ngu e cạo mặt r duy trì tới bây giờ  muốn ngưng cao thì mặt cứ hơi tối lai..da e không phải đen lắm nhug mad do ảnh hưởng kem trộn nên n hay bị ửng đỏ hoặc chấm đỏ mỗi khi e đi nắng . 
Nhug sản phẩm e dùng để phục hồi lại da cug đơn giản .
-tẩy trang senka .
- toner simple
-ddd ẩm Hadalabo xài khá êm sáng thấy da có sáng lên .
-kem dưỡng sâm hq .
- tee tree oil .
-kcn skin aqua .
Khá lèo tèo cốt đủ ẩm thôi ..dạo này mụn ẩn lên khá nhiều và vài vết thâm mụn nua chc cug do e hay thức khuya e muốn hỏi m.n loại máy rửa mặt nào tốt và có loại kem trị mụn nào  kết cấu mỏng trị thâm luôn nua ạ .
E chưa biết sd loại serum nào dịu nhẹ kiểu hỗ trợ trị mụn luôn ấy ạ 
da e hỗn hợp thiên khô khá nhạy cảm .chỉ hơi đổ dầu ở vùng chữ T . 
Add duyệt dùm e</t>
  </si>
  <si>
    <t>2019-11-12 14:10:15</t>
  </si>
  <si>
    <t>Nguyễn Ngọc Ánh</t>
  </si>
  <si>
    <t>100016621148944</t>
  </si>
  <si>
    <t>#help #mụn mong ad duyệt bài dùm em ạ.
Mọi ng ơi. Mình cứ bị mụn ntn. Cứ hết lại mọc, thi hoảng có đầu trắng mình ngứa tay quá nặn luôn. Bây giờ nó thâm lại chứ. 
Giờ mh chỉ sd ntt loreal và toner mamonde và srm innis thôi. Mọi người có cách gì chỉ giúp mh với. Khổ tâm quá mn ạ.</t>
  </si>
  <si>
    <t>2019-12-26 00:25:32</t>
  </si>
  <si>
    <t>Hùng Quỳnh</t>
  </si>
  <si>
    <t>100040528841552</t>
  </si>
  <si>
    <t xml:space="preserve">#mụn #help </t>
  </si>
  <si>
    <t>#đepchanhsa #ask  #Review
Tóc em bị sơ mỗi chổ này. Do đây là phần đoạn mối của tóc mới ra và tóc kéo của em
Nhìn trông nó xù xu ra nhìn ghê kinh khủng
Các chị review dùm em vài loại sẻum dưỡng tóc với ạ 😭😭
Mong ad duyệt ạ</t>
  </si>
  <si>
    <t>2019-08-20 02:29:15</t>
  </si>
  <si>
    <t>Quỳnh Nguyên Nguyễn</t>
  </si>
  <si>
    <t>100009027294891</t>
  </si>
  <si>
    <t xml:space="preserve">#Review #ask #đepchanhsa </t>
  </si>
  <si>
    <t>Chào mọi người.Mình thật sự k biet skincare là j hết.Da mình nó sạm màu tí và mình thuộc dạng da hỗn hợp thiên dầu.Mình cug k dám sài kem trắng da j cả sợ dính corticode ạ😭.  Mng cho mình xin cách làm da sáng tự nhiên dc k.mình cug đắp nạ từ thiên nhiên nhưng k thấy cải thiện cho lắm.cảm ơn mng đã quan tâm bài viết của mình.
   Mình con gái đã k dc đẹp r . da mặt lại hơi đen nữa thì k còn j đau lòng hơn.mất nhìu cơ hội trong đời lắm ạ.đi làm người ta chỉ nhìn cái mặt tiền trước tiên thôi ạ😢</t>
  </si>
  <si>
    <t>2019-11-15 03:03:09</t>
  </si>
  <si>
    <t>Tú Khanh</t>
  </si>
  <si>
    <t>100037066903897</t>
  </si>
  <si>
    <t>#hair #chiase #toctay 
Mong ad duyệt bài cho em
Sau hơn 1 năm chơi tóc tẩy, có lẽ e đã có kha khá kinh nghiệm để chia sẻ với những ai có ý định tẩy tóc hoặc muốn tẩy tóc. Điều đầu tiên khi xác định tẩy tóc đó là bản thân bạn sẽ phải đánh đổi rất nhiều, k chỉ là tiền bạc mà là cả thời gian và mái tóc của mình nữa đó (muốn nuôi lại p mất đến 2 năm). 3 năm trc e tẩy tóc lần đầu tiên, lần đó e tẩy ở nhà, nhuộm cx ở nhà luôn. Và kết quả tóc có hỏng da đầu k? K hề. Tóc có lên đúng màu k? Có nhé. Và cuối cùng tóc có hỏng k? Hỏng ạ. Nói cách khác là nát bét 😢 sau vài tuần tóc em phai vàng, màu vàng bẩn thỉu thực sự và sợi tóc nào cũng chẻ ngọn cả, cứ cắt được 1 tuần lại chẻ, tóc gẫy liên tục kể cả khi e cắt ngắn đến cằm. Sau đó em quyết định nhuộm đen và nuôi tóc lại từ đầu. Sau 2 năm nuôi và cắt hết phần tóc tẩy, em có gặp 1 cú sốc tinh thần khá lớn nên lại có ý định tẩy tóc để thay đổi hoàn toàn ngoại hình hiện tại. Nhưng để tránh việc bị hỏng tóc như lần trước e đã ra salon tóc để tẩy 😂 Ở bức ảnh đầu tiên e nhuộm màu khói base xanh dương, tóc em cụp kp là do sấy tạo kiểu hay là tóc đâu ạ. Hoàn toàn là tóc sấy khô sau khi nhuộm thôi. Nh người nghĩ tẩy tóc là tóc sẽ thẳng tưng và em cx nghĩ vậy. Thế nên trước khi tẩy tóc e đã đi uốn, uốn cho xoăn hơi tít 1 xíu để lúc tẩy tóc duỗi bớt ra nhưng vẫn còn nếp. Nhưng khoảng tgian giữa lúc uốn và tẩy cách nhau tầm 1 tháng nhé 😂 chứ uốn xong mà tẩy luôn thì lại đi cả bộ tóc luôn chứ chẳng còn 😢 sau đó em tẩy 3 lần rồi nhuộm. Để giảm mức độ hư tổn thì trong quá trình tẩy em cũng được tư vấn nên sử dụng sản phẩm phục hồi để tóc chắc hơn và đỡ hư tổn hơn. Vì trước đó em nhuộm đen nên quá trình tẩy rất lâu để xử lí hết được màu đen khỏi tóc nhưng vẫn k hết được triệt để nên tóc k đều màu lắm, dễ bị xỉn và bay màu nhanh nữa. Tuy nhiên để khắc phục vấn đề đó em cx sử dụng luôn dầu gội dành riêng cho tóc tẩy để khử bớt sắc vàng trong tóc. Từ lần đầu tiên đó em cũng tiếp tục quá trình tẩy + phục hồi + nhuộm 4, 5 lần nữa để nhuộm gần hết 7 sắc cầu vồng 😂 tóc em tẩy nh nhưng k hề bị mủn hay đứt, chỉ bị khô, rất khô nhưng nếu chăm chỉ xả tóc bằng dầu hấp, sử dụng xịt dưỡng chuyên dụng cho tẩy tóc thì tóc vẫn bóng đẹp bt ạ. Chi phí cho lần nhuộm đầu tiên của e là 3,5tr bao gồm uốn, tẩy 3 lần, phục hồi và nhuộm. Những lần sau thì rẻ hơn vì k uốn và kp tẩy nh như lần đầu nữa. Vậy đó, tẩy tóc mà muốn đẹp thì chi phí cao, tóc thì vẫn hỏng vẫn nuôi lại từ đầu, nhưng đổi lại bạn có ngoại hình bắt mắt, nổi bật, cá tính hơn. Chính vì thế e chưa bao giờ hối hận vì đã tẩy tóc cả 😌 thêm nữa là đừng ai dại như e đi nhuộm đen tóc ạ. Tóc nhuộm đen sau này muốn thay đổi rất khó. Và khi tẩy tóc cần tìm đến những ng thợ tỉ mỉ và cẩn thận vì chỉ cần sai một li là đi luôn cả bộ tóc đấy ạ. Và điều cuối cùng là hãy để đầu bẩn khi đi tẩy tóc. Vì lúc tẩy mà đầu sạch thì xót vchg luôn ý ạ 😂</t>
  </si>
  <si>
    <t>2019-08-23 07:29:40</t>
  </si>
  <si>
    <t>100000425495014</t>
  </si>
  <si>
    <t xml:space="preserve">#toctay #chiase #hair </t>
  </si>
  <si>
    <t>#gocthacmac #peachwhippingtoneupcream
Cám ơn admin duyệt bài ạ.
Chào mng 😘
1) Lướt FB có thấy một page review kem lót Peach Whipping Tone-up Cream này, thấy cũng hay ho cả xinh xinh nên ham hố tính mua. Sau khi tìm hiểu trên GG cũng như dạo qua đọc cmt kèm hình ảnh của mấy bạn review thì thấy kiểu "ủa sai sai?!? " nên phải cmt một cái mong muốn đc giải đáp thắc mắc 😌 nhưng thay vì rép cmt của mình thì page đó xoá mất tiêu =))))) 
Hnay tìm lại mà chả thấy cơ 🤣 Thế là như nào nhỉ 🤣🤣🤣
Bạn nào dùng rồi cho mình xin review nha. Cám ơn ạ 😘
2) À nói thêm về cái page, rõ ràng ghi là REVIEW MỸ PHẨM CÓ TÂM nhưng toàn post bài nhạt nhoà xong chốt câu cuối bán mỹ phẩm rồi sale các thứ... 🙄
Chán chứ lị...😌</t>
  </si>
  <si>
    <t>2019-09-30 04:40:15</t>
  </si>
  <si>
    <t>Trân Châu</t>
  </si>
  <si>
    <t>100004188728184</t>
  </si>
  <si>
    <t xml:space="preserve">#peachwhippingtoneupcream #gocthacmac </t>
  </si>
  <si>
    <t xml:space="preserve">
Em xin chào các anh chị, năm nay em 18 tuổi nhưng đã xuất hiện nhiều vết nhăn dưới mắt. Anh, chị có thể chỉ cho em cách nào làm giảm các vết nhăn và các loại kem, serum mắt phù hợp với lứa tuổi của em. Em cảm ơn các anh chị và ad đã duyệt bài của em.</t>
  </si>
  <si>
    <t>2019-12-11 06:56:53</t>
  </si>
  <si>
    <t>Tea Tea</t>
  </si>
  <si>
    <t>100027713987248</t>
  </si>
  <si>
    <t>#nám 
Chào mọi người ạ, hồi hè em có thấy chị gái em xách tay tặng mẹ hũ kem dongsung của Hàn trị nám da, em thấy mẹ dùng rất là ổn, có trắng da và đỡ các vết nám trên hai bên má, thấy hai người khen nhiều xong còn tìm mua ở VN, em muốn hỏi mọi người là người trẻ có thể dùng không ạ? và trị tàn nhang với nám nhẹ có được không ạ? Hằng ngày em chỉ skincare đơn giản và dùng kcn thôi ạ, do dạo này em đi nắng nhiều và phát hiện tàn nhang nên muốn trị sớm,
Hũ chị em mua cho mẹ là hũ có hộp chữ trắng giống bên phải, nhưng khi em seach thì ở VN toàn hũ giống bên trái. Vậy là hai loại hay là sao vậy ạ, có ai gúp em với ạ 
Mọi người dùng Dongsung rồi thì tư vấn cho em với ạ. Cảm ơn Ad đã duyệt bài</t>
  </si>
  <si>
    <t>2019-10-02 13:17:05</t>
  </si>
  <si>
    <t>Trần Hà My</t>
  </si>
  <si>
    <t>100011427872164</t>
  </si>
  <si>
    <t xml:space="preserve">#nám </t>
  </si>
  <si>
    <t>Xin chào những người đẹp của group ❤️
#Sửa_mũi #Kang_Nam #ask #tư_vấn
Mọi người ơi !!!!!! Các anh chị đã đi sửa mũi cho em chút động lực để tham khảo được không ạ, cái mũi nó cứu cả khuôn mặt luôn ấy. 
Các anh chị từng sửa về chia sẻ cách chăm sóc, ăn uống như thế nào, có kiêng cử gì nhiều và quan trọng là có ĐAU không mọi người ơi 😂😂
Mọi người từng làm ở đâu đẹp chỉ em tham khảo với, em qua Kang Nam tư vấn thì gói 35tr và 45tr ( có sóng siêu âm ), tiền cắt mũi là 6tr riêng.
Kang Nam có tốt không mọi người 😂😂😂, em thấy nó cơ sở to thôi chứ chưa đọc tin tức gì nhiều
Cảm ơn Admin đã duyệt dùm em</t>
  </si>
  <si>
    <t>2019-08-12 11:50:10</t>
  </si>
  <si>
    <t>Hoàng Hải Đăng</t>
  </si>
  <si>
    <t>100001323345475</t>
  </si>
  <si>
    <t xml:space="preserve">#tư_vấn #ask #Kang_Nam #Sửa_mũi </t>
  </si>
  <si>
    <t xml:space="preserve">Ai đó chỉ tui cách makeup đi, mặt mộc cũng mịn mà  đánh phấn cứ giả giả lộm cộm sao í
B1, sữa dưỡng ẩm
B2, kem chống nắng
B3, cushion 
Kết quả không muốn ai nhìn thấy mình khi đi ngoài nắng vì lợn cợn phấn trên mặt
</t>
  </si>
  <si>
    <t>2019-09-02 06:27:40</t>
  </si>
  <si>
    <t>Vivi Vo</t>
  </si>
  <si>
    <t>100013019684764</t>
  </si>
  <si>
    <t xml:space="preserve">Mấy chị thông thái giúp em này với ạ. Em đang muốn sử dụng kết hợp serum ha 2%+ b5 và serum serum b3 như hình bên dưới có được không. Cảm ơn ad duyệt bài
#serumb5
#serumb3
</t>
  </si>
  <si>
    <t>2019-12-13 00:03:46</t>
  </si>
  <si>
    <t xml:space="preserve">#serumb3 #serumb5 </t>
  </si>
  <si>
    <t>#khửthâmmôi 
Chào mọi người
Chuyện là e bị thâm môi chắc là do cơ địa vì trước đây e rất ít tô son nhưng vẫn thâm như thường
Sau này thâm quá nên thường xuyên tô son hơn để cho dễ nhìn chút ạ
Thấy tình trạng đó nên mẹ khuyên e đi khử thâm nhưng thực sự e rất mê son :😭
Nên mọi người cho e hỏi khử thâm rồi mà oánh son lên thì nó có bị thâm lại kh ạ?
Với lại khử thâm xong lên màu thì nên lên màu gì ạ? Da e cũng k  trắng cũng k đen..</t>
  </si>
  <si>
    <t>2019-12-02 06:06:19</t>
  </si>
  <si>
    <t>Kelly Tú Anh</t>
  </si>
  <si>
    <t>100010345994254</t>
  </si>
  <si>
    <t xml:space="preserve">#khửthâmmôi </t>
  </si>
  <si>
    <t>Mọi ngừoi cho em hỏi ngu tý
“Mỹ phẫm sân bay” là gì ạ? Sao nó rẻ vậy? Có phải hàng auth không?
Em cảm ơn</t>
  </si>
  <si>
    <t>2019-12-15 04:30:37</t>
  </si>
  <si>
    <t xml:space="preserve">
Mọi người ơi cho em hỏi với em định mua Mặt nạ trà xanh Matcha Mud Mask Laikou mà không biết có tốt không 
Mọi người cho em ý kiến với em cảm ơn !</t>
  </si>
  <si>
    <t>2019-08-15 15:53:00</t>
  </si>
  <si>
    <t>Nhung</t>
  </si>
  <si>
    <t>100013753392022</t>
  </si>
  <si>
    <t>Môi mình mùa hè hay đông đều bị khô với tróc da môi, có bạn nào biết sản phẩm nào dưỡng mềm môi giúp môi nhanh hồng ko ạ? 
Ưu tiên sp của nhật ạ🌵</t>
  </si>
  <si>
    <t>2019-05-06 08:58:38</t>
  </si>
  <si>
    <t>Mai Hương Hương</t>
  </si>
  <si>
    <t>100007200464167</t>
  </si>
  <si>
    <t xml:space="preserve">
#vitaminE
Các c ơi, có c nào sử dụng vitamin E để dưỡng da mặt chưa ạ, e có tra google nhg kiến thức chỉ chung chung, e muốn đc nghe ý kiến của các c để biết thực tế hơn ạ. Có nên bôi để qua đêm k ạ, và dùng khi nào là an toàn nhất để k bí da lên mụn, e cảm ơn ad đã duyệt bài cho em</t>
  </si>
  <si>
    <t>2019-08-01 03:29:35</t>
  </si>
  <si>
    <t>Mãi Mãi</t>
  </si>
  <si>
    <t>100037846149556</t>
  </si>
  <si>
    <t xml:space="preserve">#vitaminE </t>
  </si>
  <si>
    <t>#fakeorauth 
#ask 
Chả là em mới mua được thỏi Bbia kem ver 5 màu 25 được người bán quảng cáo là có bạn bên Hàn gửi về cho bán. Em có mang thỏi này về (thỏi bên phải) so với thỏi đứa bạn thân đang dùng (thỏi bên trái) thì lại thấy khác nhau ở 1 vài điểm như hình em chụp, cộng với chất son của thỏi bên phải lỏng hơn và mùi nhạt hơn thỏi bên trái 1 tẹo. 
Các chị em trong group có nhiều kinh nghiệm cho em hỏi là có phải thỏi của em là fake k ạ 😓😓</t>
  </si>
  <si>
    <t>2019-08-19 10:00:52</t>
  </si>
  <si>
    <t>Hoàng Mai Chi</t>
  </si>
  <si>
    <t>100006364937454</t>
  </si>
  <si>
    <t xml:space="preserve">#ask #fakeorauth </t>
  </si>
  <si>
    <t>#ask #vong3 
Grop mình có chị em nào có kinh nghiệm về Tập Gym để có được vòng 3 căng tròn và săn chắc không ạ 🤔🤔 Tư vấn, chia sẽ giúp em với  ???
Mông em tuy có bề ngang nhưng không được vung và căng tròn.  Em muốn biết tập như thế nào để mau lên Mông và có thực phẩm nào hỗ trợ giúp mau lên cơ Mông không ạ  ?? Em muốn được 1 cặp đào căng tròn như ảnh ạ 😍
Cảm ơn ad đã duyệt 💚
Ảnh chống trôi 😝</t>
  </si>
  <si>
    <t>2019-10-09 08:19:21</t>
  </si>
  <si>
    <t xml:space="preserve">
#cachgiammodui
Em là sinh viên y năm 4, ngày đi học, tối đi bệnh viện nên gần như em không có thời gian để đến các phòng gym để tập luyện.
Em đã thử nhiều chế độ ăn khác nhau nhưng cơ địa em chỉ giảm được mở phần thân trên, dù đã giảm 5-6kg nhưng đùi thì gần như không giảm đi 1cm nào.
Em thật sự không biết phải làm sao để giảm mỡ đùi, đùi em không phải dạng săn chắc gì, thậm chí là nó nhão vì mỡ nhưng lại cực kỳ khó giảm, mọi người tư vấn giúp em với!
(Đùi em có dáng như hình luôn ạ)
P/s: Mong ad duyệt bài vì em đã đăng nhiều r nhưng vẫn chưa được duyệt.</t>
  </si>
  <si>
    <t>2019-08-18 08:53:49</t>
  </si>
  <si>
    <t xml:space="preserve">#cachgiammodui  </t>
  </si>
  <si>
    <t>Em sử dụng kem chống nắng này được 2 tuần là da nổi mụn ẩn , mụn bọc rất nhiều  lỗ chân lông to lắm m.n ạ 😭😭không biết có ai bị như em không</t>
  </si>
  <si>
    <t>2019-11-10 06:40:55</t>
  </si>
  <si>
    <t>Nguyễn Thị Quỳnh</t>
  </si>
  <si>
    <t>100021493937837</t>
  </si>
  <si>
    <t>Mặt nạ tràm trà của Naruko quen thuộc lắm rồi đúng hem các chị 
Lúc đầu em được tặng 2 miếng bản Trung dùng thử thì thấy thích quá nên lên mạng tìm tòi là mask này có bảng Trung và Đài 
Nên mua mask bảng Đài về dùng xem sao 
👉 Công dụng là kiểm soát dầu , giảm mụn sưng đỏ và làm sạch da . Mask của nó có màu đen chứ hông phải than tre nha :)) 
👉 Mask của bản Trung khi tháo ra tinh chất thấm nhanh khô nhanh và bản Đài hơi dính , thấm lâu hơn
🤗 Cảm nhận dùng khi dùng cả 2 mask nó cảm giác mát mát và sáng sớm mặt căng ra , mụn sưng đỏ cũng bớt ạ . Mùi tràm trà relax vô cùng luôn 
🤣 Mặt nạ giấy thì dùng cung cấp nước là chính nên cả hai em thì mình cảm nhận dùng y như nhau 
🌿 Bản Trung giá rẻ hơn tầm~ 20k bản Đài tầm~30k 
Khác nhau là các thành phần bản Đài nó nhiều hơn Trung thôi ạ :v nếu bạn nào kinh tế tốt thì dùng bản Đài còn mình tiếp tục dùng bản Trung :)))) Dù sao nó hàng nội địa khá nổi tiếng nên mình cũng lo :v theo lâu dài nên dùng bản Trung cho nó tiết kiệm hehe
Lần đầu chia sẻ có gì sai xót mong mọi người góp ý thêm 🤗</t>
  </si>
  <si>
    <t>2019-05-06 08:56:15</t>
  </si>
  <si>
    <t>Vân Mỹ</t>
  </si>
  <si>
    <t>100003189199166</t>
  </si>
  <si>
    <t>#góctưvấn  mọi ng cho em xin review Trị thâm mắt được ko ạ 🤢 quả ảnh cam thường của em phía dưới 👇🏻👇🏻 chụp có ánh sáng nên giảm đc 1 xíu thâm đó ạ
Em bị thâm vùng mắt đc 4,5 năm rồi. Thâm quanh vùng mắt làm có cảm giác mắt bị lộ nhiều hơn 😞 đã sử dụng tuýp kumargic của Nhật rồi vãn chưa giảm. Em nên dùng loại nào hay đắp dưỡng chất từ thiên nhiên nào ce chỉ em dùng với ạ ! Cảm ơn mn đã quan tâm 😘
Mong ad duyệt bài nạ .&lt;</t>
  </si>
  <si>
    <t>2019-08-22 02:39:31</t>
  </si>
  <si>
    <t>Phạm Trâm</t>
  </si>
  <si>
    <t>100007218874580</t>
  </si>
  <si>
    <t xml:space="preserve">#góctưvấn </t>
  </si>
  <si>
    <t xml:space="preserve">
#ask
#munan
Mng ơi cho em hỏi tuýp gel này trị mụn ẩn đc không ạ. Em thấy c em có sd loại này trị mấy loại mụn đỏ khá tốt và bây giờ hầu như hết hẳn
Huhu em cảm thấy tự ti với mặt mình lắm ạ. Tuy bên ngoài cố tỏ ra là mình ổn nhưng sâu bên trong nước mắt là biển rộng luôn á :(((( Mụn ẩn quá trời, xong lâu lâu ngứa tay lấy nặn, thế là thành thâm
Mng ai sd rồi giúp e tl câu hỏi với nha. Với cả các ac nào có sp nào trị mụn ẩn với thâm tốt thì rec cho em với nhé
E cảm ơn mng!</t>
  </si>
  <si>
    <t>2019-10-21 14:25:43</t>
  </si>
  <si>
    <t>美しい 桜</t>
  </si>
  <si>
    <t>100040432630362</t>
  </si>
  <si>
    <t xml:space="preserve">#munan #ask </t>
  </si>
  <si>
    <t>#ask #help
Các chị cho em hỏi, các chị dùng sữa dưỡng thể nào trắng da nâng tone hiệu quả ạ? Cho em xin thông tin nhé, mua hè nó vừa mới qua, đi biển vừa mới xong, giờ người như đứa châu phi, tủi thân kinh khủng😞😞😞</t>
  </si>
  <si>
    <t>2019-07-28 13:36:55</t>
  </si>
  <si>
    <t>Nguyễn Thanh Hùng</t>
  </si>
  <si>
    <t>100029209441549</t>
  </si>
  <si>
    <t>#benhphukhoa
Xin chào mọi người, em bị bệnh viêm đường tiết niệu, hay đi tiểu nhiều.
Mỗi ngày cũng hơn 15 lần, chỉ cần vừa đi vào nhà vệ sinh xong là sẽ muốn đi vào trở lại. Nói chung là cuộc đời gắn liền với cái toilet, dù em đã cố tình uống ít nước.
Em đã đi khám và chữa ở 3,4 bệnh viện, nhiều bác sĩ khác nhau, nhưng mỗi lần uống thuốc xong hết được thời gian thì bệnh tái phát. Nó thực sự ảnh hưởng rất nhiều đến cuộc sống của em. Mong mọi người đã từng trải qua bệnh này chia sẻ giúp em cách điều trị hay vệ sinh vùng kín đúng cách để em có thể tham khảo tìm cách vượt qua. 
Em thực sự rất cần sự giúp đỡ của mọi người, em khổ tâm vài năm trời rồi.</t>
  </si>
  <si>
    <t>2019-10-30 05:59:26</t>
  </si>
  <si>
    <t>Lie Princs</t>
  </si>
  <si>
    <t>100017637424741</t>
  </si>
  <si>
    <t xml:space="preserve">#benhphukhoa </t>
  </si>
  <si>
    <t xml:space="preserve">
#help
#skincare
Chào các anh chị, em hỏi ngắn thôi ạ 
Em mới đi nặn mụn hôm nay về thì chỉ nên lau mặt bằng nc muối sinh lý đúng k ạ?</t>
  </si>
  <si>
    <t>2019-12-16 03:55:25</t>
  </si>
  <si>
    <t>100034010708806</t>
  </si>
  <si>
    <t xml:space="preserve">#skincare #help </t>
  </si>
  <si>
    <t xml:space="preserve">Lại là em đây ạ, em đã ngưng vitamin c 1 thời gian rồi và thấy có đỡ mụn, em cảm ơn mọi người nhiều lắm ạ. Em chỉ chờ hết hẳn mụn rồi quay lại dùng melano để trị thâm tiếp. Bên cạnh đó em muốn hỏi mọi người là, làm sao để se khít lcl và trị rỗ ạ? 
Em định hè đi spa, nhưng không biết rỗ này thì trị bằng phương pháp gì. Mong mọi người tư vấn cho em, em cảm ơn ạ. 
#ask #sekhitlcl #trị_rỗ </t>
  </si>
  <si>
    <t>2019-12-17 13:12:37</t>
  </si>
  <si>
    <t xml:space="preserve"> #trị_rỗ #sekhitlcl #ask </t>
  </si>
  <si>
    <t>MẶC THẾ NÀO ĐỂ CHỊ EM AUTO ĐỔ?</t>
  </si>
  <si>
    <t>2019-12-03 09:10:20</t>
  </si>
  <si>
    <t>Lala Minh</t>
  </si>
  <si>
    <t>100026826335534</t>
  </si>
  <si>
    <t>Em vẫn đang là học sinh cấp 3 nên khá ngại dùng nước hoa nhưng vẫn muốn có hương thơm tự nhiên 
Các chị có thể pr cho em những loại dầu gội , sữa tắm , nước giặt mà lưu hương lâu và chất lượng với ạ 
ĐẶC BIỆT LÀ VỀ EM MAXKLEEN NÀY NHA , TẠI EM NGHE BẢO XẢ GIẶT 2 IN 1 MÀ KHÔNG BIẾT THẾ NÀO 
cảm ơn ạ</t>
  </si>
  <si>
    <t>2019-10-28 16:32:17</t>
  </si>
  <si>
    <t>Mọi người giúp em với ạ!
Em nay 19t, da dầu nhạy cảm, mùa hè cực nhiều dầu luôn ấy ạ. Trước em có bị dị ứng nên da nổi đầy mẩn đỏ ạ, từ đó đến giờ mụn ẩn nhiều, với lại 2 bên cánh mũi có mụn đầu đen nữa. Em có được nhiều người chỉ cho cách xông mặt thải độc tố và cũng có đi nặn mụn ở bv da liễu nữa ạ. Mn ai biết có sp nào tốt giới thiệu em với ạ! Với lại các bước chăm sóc da nữa. Hiện e chỉ dùng mỗi tẩy trang Garnier hồng và srm Cetaphil thôi ạ. Em cần các sản phẩm khác như serum, toner, kem dưỡng, kem chống nắng, mask, trị thâm...mn tư vấn hộ em 
 Nhờ ad duyệt bài hộ em, em cảm ơn ạ
#ask
#review
#help</t>
  </si>
  <si>
    <t>2019-11-25 00:33:27</t>
  </si>
  <si>
    <t>Hương Trà</t>
  </si>
  <si>
    <t>100036268835243</t>
  </si>
  <si>
    <t xml:space="preserve">#help #review #ask </t>
  </si>
  <si>
    <t>M.n ơi
Ai có cách gì chỉ giúp em với
Tay em không làm gì không bị va đập hay làm sao
Tự dưng bị tím sưng lên và móng tay nó lìa ra 
Giờ nó đau và nhức quá
Không biết có bị bệnh gì không ạ
Mong ad duyệt bài ạ</t>
  </si>
  <si>
    <t>2019-11-26 15:26:25</t>
  </si>
  <si>
    <t>Tũn's Bé's</t>
  </si>
  <si>
    <t>100028588131118</t>
  </si>
  <si>
    <t>Ai có thuốc gì trị lăng ben k ạ? Chứ e mua thuốc tây về bôi mà nó chỉ cầm chứ k hết! 😢</t>
  </si>
  <si>
    <t>2019-11-11 02:48:36</t>
  </si>
  <si>
    <t>#muncoc 
Xin chào mọi người, chuyện là em bắt đầu bị mụn cóc từ lúc học mẫu giáo vì dằm gỗ đâm vào ngón tay, đến giờ em 20 tuổi rồi nhưng vẫn không có cách nào chữa được. Em mất cả dấu vân tay ở ngón trỏ luôn ạ.
Mụn cóc mọc ở tay chân bạn bè em thì không gây ngứa, còn đối với em thì ngứa vô cùng 😢 em đăng bài lên nhóm đẹp chanh sả mong các anh chị có cách trị mụn cóc hiệu quả cho em xin tham khảo ạ! Em cảm ơn.</t>
  </si>
  <si>
    <t>2019-04-24 07:59:18</t>
  </si>
  <si>
    <t>Giáng Cẩm</t>
  </si>
  <si>
    <t>100011427231906</t>
  </si>
  <si>
    <t>#ask #vong1
Chuyện là e năm nay 21 nồi bánh chưng mà ngực thì như 2 con ốc (nhu hinh) chị em có bí quyết hoặc thực phẩm nào giúp tăng vòng 1 k ạ. Chia sẻ e với, ngực lép đôi khi muốn mặc áo hở tí để đi biển đi tiệc mà k được, chán thật huhu</t>
  </si>
  <si>
    <t>2019-08-05 04:23:48</t>
  </si>
  <si>
    <t>Nguyệt Cát</t>
  </si>
  <si>
    <t>100008237047411</t>
  </si>
  <si>
    <t xml:space="preserve">#vong1 #ask </t>
  </si>
  <si>
    <t xml:space="preserve"> #phunmay 
Xin chào mọi người. Em mới làm mày xong. Mọi người cho em hỏi có hợp không ạ. Và cho em xin thêm vài tips chăm sóc để mày lên nàu đẹp với. Cám ơn ad duyệt bài ạ</t>
  </si>
  <si>
    <t>2019-12-02 06:02:33</t>
  </si>
  <si>
    <t>Phan Ái Linh</t>
  </si>
  <si>
    <t>100011174524033</t>
  </si>
  <si>
    <t xml:space="preserve">#phunmay  </t>
  </si>
  <si>
    <t>#cushion #ask
Em không biết có bạn nào hỏi về cushion cho da dầu chưa, nếu chưa hoặc đã đăng lâu rồi, hi vọng ad/mod duyệt giúp e lần này!
Mọi người cho e xin review về loại cushion kiềm dầu che phủ tốt với ạ! E dùng kem nền rồi che khuyết điểm cảm thấy nặng da, bí da quá. E cũng đang tham khảo Tension, chị/bạn nào từng dùng rồi cho e hỏi cái nào okie hơn ạ?
Có chị nào dùng cushion Chanel này chưa, e mới được tặng, thấy đắt vs sợ k hợp nên chưa dám dùng.
E cảm ơn ạ!</t>
  </si>
  <si>
    <t>2019-10-07 10:02:40</t>
  </si>
  <si>
    <t>Quynh Vy Le Nguyen</t>
  </si>
  <si>
    <t>100003845574877</t>
  </si>
  <si>
    <t>#ask #hair #tocdai #thuốc
Các chị trong Group tư vấn giúp em loại thuốc nào uống ngăn rụng và dài tóc với ạ, tóc em cắt ngắn để dưỡng lại, em gội bồ kết, xịt tinh dầu bưởi được 4-5 tháng rồi mà tóc vẫn rụng nhiều quá ạ, cũng ko dài ra. Em còn xịt cả tinh dầu bưởi mà vẫn ko có tác dụng gì hết, tóc rụng sắp hói đầu luôn rồi ạ 😭😭
Mấy chị giúp em với, em cảm ơn ạ ❤️</t>
  </si>
  <si>
    <t>2019-11-14 11:52:08</t>
  </si>
  <si>
    <t xml:space="preserve">#thuốc #tocdai #hair #ask </t>
  </si>
  <si>
    <t>#cushionlemonade
Không biết là trong gr mình có dì nào đã sử dụng cushion Lemonade này chưa ạ, nếu dì nào dùng rồi thì cho mình xin ít review với ạ. 
Tiện đây cho mình hỏi luôn da mình là da hỗn hợp thì dùng loại srm nào thì ok ạ. 
Cảm ơn ad đã duyệt bài ❤</t>
  </si>
  <si>
    <t>2019-08-16 02:08:10</t>
  </si>
  <si>
    <t>Hương Anh</t>
  </si>
  <si>
    <t>100038435317708</t>
  </si>
  <si>
    <t xml:space="preserve">#cushionlemonade </t>
  </si>
  <si>
    <t>Các chị có ai bị như này không ạ. 
Trong 1 lần dụi mắt quá đà thành ra mắt e bị tụ máu, tưởng vài tuần nó tan ai dè đến giờ gần 3 năm rùi hic. 
Em đã đi khám ở bv mắt trung ương rồi mà bs lại cứ khẳng định với em là em bị nốt ruồi ở mắt. Thật sự hết cách em đăng lên cầu cứu xem có ai bị giống mắt e k ah. Biết mắt em bị sao và chữa ở đâu k ạ?
#ask
#mat
#cangiupdo</t>
  </si>
  <si>
    <t>2019-11-05 14:12:59</t>
  </si>
  <si>
    <t>Nguyễn Phạm Diễm Phúc</t>
  </si>
  <si>
    <t>100041571340650</t>
  </si>
  <si>
    <t xml:space="preserve">#cangiupdo #mat #ask </t>
  </si>
  <si>
    <t>#ask. #munan
Mụn này mụn ẩn đungs kh ạ. E mới đi nặn mà nó vẫn nổi li ti thế này. E dùng megaduo mà kh thấy td. Mn rv em loại chấm mụn ẩn nào hiệu quả với ạ sắp tết rồi 😭 da e là da hỗn hợp 
Tối em chỉ tẩy trang, rửa mặt, toner với dưỡng ẩm thôi ạ
Edit: skincare của e bây h đây ạ. Trc có dùng red peel 2 tháng xong thấy bảo megaduo đẩy mụn nhưng nhẹ nhàng hơn peel nên e chyển qua duo. H đg định peel lại ah</t>
  </si>
  <si>
    <t>2019-11-30 13:56:32</t>
  </si>
  <si>
    <t>100037627510118</t>
  </si>
  <si>
    <t>#ask
#khửmùi
#nhàở
  Các chị em xin chia sẻ kinh nghiệm về cách khử mùi nồm , ẩm trong nhà ạ.Mình thì dị ứng với mấy cái mùi xịt phòng bán trong siêu thị, p nh đồ điện tử nên cũng k dùng máy xông dc .Dù đã thử qua lau nhà bằng tinh dầu thơm nhưng cũng chỉ dc tầm 5-6 tiếng là bay hết mùi, hoặc đốt nến thơm nhưng cũng k thấy mùi thơm tẹo nào, thay ga giường thg xuyên tuần/ lần, lau dọn đồ đạc cũng cho ít dầu thơm vào lau.... nhưng cứ dc hôm trc hôm sau là vào p lại có mùi nồm, ẩm, ám ảnh thực sự😢.Mọi người có cách nào làm thơm phòng hiệu quả k ạ?</t>
  </si>
  <si>
    <t>2019-12-25 04:08:34</t>
  </si>
  <si>
    <t>Nguyễn Thừa Ngân</t>
  </si>
  <si>
    <t>100004337191052</t>
  </si>
  <si>
    <t xml:space="preserve">#nhàở #khửmùi #ask </t>
  </si>
  <si>
    <t>chào mọi người ạ! mong ad sẽ duyệt bài giúp mình! Chị gái e năm nay 35 tuổi thôi nhưng tình hình là tóc bạc cực kì nhiều, nhiều hơn cả tóc đen, chị e có đi nhuộm tóc lại nhưng đc thời gian tầm 1 tuần là thuốc trôi hết tóc cũng lại bạc như cũ.Mấy loại dầu gội gội là đen chị e cũng có gội nhưng sau khi gội xong thì y như cũ không thấy đen gì hết☹️!
Chị e có ra hẳn các salon lớn để nhuộm nhưng đc tầm nửa tháng là màu cũng tụt hết tóc lại bạc như cũ!Họ tư vấn là do tóc chị e từ nhỏ đến lớn không uốn , duỗi  gì hết nên tóc không ăn màu bảo c e phải tẩy tóc thì mới nhuộm đen đc! Chị gái e thì lại sợ tẩy tóc hư hết tóc,với e nghĩ họ nói thế ko biết đúng không?
E tha thiết mong các bạn trong nhóm biết loại thuốc nhuộm hoặc dầu gội nào chỉ cho e với ạ! Hoặc bạn nào có kinh nghiệm về tóc thì cho e hỏi salon tóc nói vậy có đúng ko ạ! chị e 35 mà đầu bạc y như hình minh hoạ e đăng dưới đây ạ!nhìn chị già đi cả chục tuổi e rất xót xa, đến nay chị e cũng chưa có người yêu nữa ạ!😭</t>
  </si>
  <si>
    <t>2019-12-16 05:57:33</t>
  </si>
  <si>
    <t>Va Lak</t>
  </si>
  <si>
    <t>100012375603006</t>
  </si>
  <si>
    <t>Em cần tìm 1 loại serum phục hồi b5 dành cho da rất nhạy cảm. Ai từng xài loại nào ok thì chỉ em với,em cảm ơn ạ.</t>
  </si>
  <si>
    <t>2019-10-30 14:48:50</t>
  </si>
  <si>
    <t>#help 
Mọi người ơi da em bị như vầy thì nên sử dụng những loại sản phẩm dì vậy. Em chỉ mới 15 tuổi   rửa srm naruko tràm trà và xài onetoday ạ.</t>
  </si>
  <si>
    <t>2019-11-02 15:26:36</t>
  </si>
  <si>
    <t>Bé Bắp</t>
  </si>
  <si>
    <t>100026118977546</t>
  </si>
  <si>
    <t>Tóc mình thuộc tóc tơ, mỏng , hơi yếu thì có hợp và làm được kiểu này không ạ?
Sẵn tiện cho mình hỏi cách trị mụn ẩn cho da hỗn hợp thiên dầu((</t>
  </si>
  <si>
    <t>2019-12-21 05:14:35</t>
  </si>
  <si>
    <t>Sở Mặc</t>
  </si>
  <si>
    <t>100024505128362</t>
  </si>
  <si>
    <t>Ad duyệt hộ em!! Huhu lưng của anh em bị nổi mấy cái mẩn đỏ như này bây giờ lan lên trên phía trước ngực luôn ạ!! 😭😭</t>
  </si>
  <si>
    <t>2019-12-04 23:40:21</t>
  </si>
  <si>
    <t>Võ Thị Ngọc Anh</t>
  </si>
  <si>
    <t>100011699979283</t>
  </si>
  <si>
    <t>Mọi người cho em hỏi em làm môi về đc 3 ngày rồi thấy phía trong lòng môi nhìn như vậy có phải bị bầm tím ko ạ? Và hiện tượng như vậy có sao ko?nhờ mọi người tư vấn giúp,em cám ơn ạ!</t>
  </si>
  <si>
    <t>2019-12-04 07:35:13</t>
  </si>
  <si>
    <t>小楊</t>
  </si>
  <si>
    <t>100012528791904</t>
  </si>
  <si>
    <t>#ask
Mấy chị thông thái biết collagen nào giá cả ok mà hiệu quả ko ạ ,chỉ giúp e với
Dạo này thấy da lão hoá sớm thấy hoang mang quá 😞</t>
  </si>
  <si>
    <t>2019-08-04 10:56:27</t>
  </si>
  <si>
    <t>Nu Nu</t>
  </si>
  <si>
    <t>100025669088767</t>
  </si>
  <si>
    <t>#ask 
M.n ơi. E bị khó ngủ. Mà ko biết nên dùng thuốc hay thực phẩm chức năng nào để ngủ được sâu giấc. M.n biết chỉ e với ạ. Huhu. Ngày ngủ dc có 4-5 tiếng. Người gầy dộc đi r ạ.</t>
  </si>
  <si>
    <t>2019-11-01 05:43:29</t>
  </si>
  <si>
    <t>Ngân Tiny</t>
  </si>
  <si>
    <t>100034579303433</t>
  </si>
  <si>
    <t>Mọi người cho em hỏi là da em vào mùa đông hay bị bong tróc. Em nên làm gì để da có sức sống hơn. Mọi người có thể giúp em biết những loại mỹ phẩm dưỡng ẩm tốt không ạ.?!</t>
  </si>
  <si>
    <t>2019-12-19 23:23:13</t>
  </si>
  <si>
    <t>Cát Tường</t>
  </si>
  <si>
    <t>100040545141263</t>
  </si>
  <si>
    <t xml:space="preserve">Mn ơi , tóc e hiện tại bị khô sơ và yếu cực kỳ kiểu như đóng rơm ý ạ 😭, 
Mn có sp dưỡng tóc nào phục hồi hiệu quả , chỉ giáo e với , 
Do e uốn vs nhuộm nhiều quá 😢😢😢
</t>
  </si>
  <si>
    <t>2019-09-29 10:06:45</t>
  </si>
  <si>
    <t>Huỳnh An</t>
  </si>
  <si>
    <t>100009005322452</t>
  </si>
  <si>
    <t>Xin chào mọi người . Mình năm nay 28t . Xưa giờ mặt mình không có mụn , tự nhiên 1 năm lại đây mụn lên rất nhiều, mình không biết nguyên nhân tại sao . Do là nam nên mình không rành về mỹ phẩm và điều kiện kinh tế mình cũng yếu . Mọi người giúp mình được không ạ . Mình chỉ đang sài srm roche posay 
thôi ạ .</t>
  </si>
  <si>
    <t>2019-12-01 14:06:30</t>
  </si>
  <si>
    <t>Hung Mai</t>
  </si>
  <si>
    <t>100044014591441</t>
  </si>
  <si>
    <t>Mọi người chia sẻ bí quyết dưỡng da giúp em với ạ 
Da em là da hỗn hợp thiên dầu,chỉ cần 1b thôi là măt đã ra nhiều dầu cảm giác mặt rất nặng. Em có dùng thử serum và kem dưỡng ẩm nhưng lại lên mụn nên em không dùng nữa. Thời gian trước em cũng có đi spa trị những gói mụn và thâm cơ bản nhưng lười quá nên lại không đi nữa
Hiện tại em chỉ dùng tẩy trang bioderma+srm naruko+nc hoa hồng thayer rose+ nước thần SKII+kem mắt+dưỡng môi nhưng da lúc nào cũng trong tình trạng bị mụn và thâm để lại rất lâu.Tuần em có dùng 2l mặt nạ đất sét,em không dùng được mấy loại cấp ẩm vì lại nổi mụn và cũng có tẩy tbc.
Mn có típ gì cho em xin với ạ ❤️</t>
  </si>
  <si>
    <t>2019-12-13 12:57:02</t>
  </si>
  <si>
    <t>Trang Milo</t>
  </si>
  <si>
    <t>100034624209547</t>
  </si>
  <si>
    <t>#Tưvấn 
Mong ad duyệt bài giúp e ạ
E da dầu, đang tìm hiểu 2 gel dưỡng ẩm của Clinique &amp; Neutrogena, ai dùng rồi cho e xin review vs ạ</t>
  </si>
  <si>
    <t>2019-05-06 13:15:53</t>
  </si>
  <si>
    <t>100012308954208</t>
  </si>
  <si>
    <t xml:space="preserve">#Tưvấn </t>
  </si>
  <si>
    <t>Help me!!!
Dạo này da e tự nhiên bị tình trạng như trong ảnh. Lúc đầu chỉ là 1 mảng nhỏ bằng đầu ngón tay và càng ngày càng rộng. E chỉ nghĩ đơn giản là da khô. Nhưng nay soi gương thấy nó bắt đầu nhiều lên và có dấu hiệu lan lên thái dương và má. Hàng ngày e dùng sữa rửa mặt và nước hoa hồng. Dạo gần e có thử dùng serums và mặt nạ ngủ klairs. Chị đẹp nào biết chỉ điểm em với ạ. 
Em cảm ơn !</t>
  </si>
  <si>
    <t>2019-12-09 08:46:29</t>
  </si>
  <si>
    <t>Gấc</t>
  </si>
  <si>
    <t>100021951340997</t>
  </si>
  <si>
    <t xml:space="preserve">
#gochoidap
#giamcan
Mọi người cho em hỏi gel tan mỡ này có tác dụng không ạ, thấy cũng khá nhiều review mà không biết là có xuống thật không? 
Em bị béo bụng dưới và phần bắp tay mà khó xuống nên thấy quảng cáo cũng ham :((
Mong ad duyệt giúp em ạ❤️</t>
  </si>
  <si>
    <t>2019-06-22 12:25:22</t>
  </si>
  <si>
    <t>100026041591226</t>
  </si>
  <si>
    <t xml:space="preserve">#giamcan #gochoidap </t>
  </si>
  <si>
    <t xml:space="preserve">[ #help ]: da mình bị giãn mao mạch từ lớp 9 đến giờ, càng ngày mình càng thấy nó lan rộng ra. Có bạn nào có tips nào bí quyết gì thuyên giảm hay chữa được không chỉ mình với ạ? Mình sợ bị teo da, bị lão hoá sớm.
Tiện nếu được admin duyệt bài thì cho mình hỏi câu thứ 2 là mặt mình rất gầy, nhìn góc chụp là biết, có cách nào giúp mình có da thịt hơn hay không? Mình cao m60 nặng 54 kí.
Xin cảm ơn các chị em! 🥺
Update: mình cấy căng bóng + tiêm filler làm đầy mắt, má và rãnh cười, chút cằm và mũi, botox thon gọn hàm. Có điều mình làm filler môi không biết có tự nhiên không hay giải hả mn? 😭
</t>
  </si>
  <si>
    <t>2019-11-25 05:26:59</t>
  </si>
  <si>
    <t>Minh Trang Dao</t>
  </si>
  <si>
    <t>100024184400227</t>
  </si>
  <si>
    <t>Mình share da mình lên đây cho đỡ buồn thôi
Chứ mình đã làm hết cách: điều trị ở viện da liễu, lăn kim, lazer đục khoét tanh bành cái mặt mà vẫn thế này</t>
  </si>
  <si>
    <t>2019-11-22 07:32:27</t>
  </si>
  <si>
    <t>Hoang Thi</t>
  </si>
  <si>
    <t>100001650195771</t>
  </si>
  <si>
    <t>Cổ em bị như vậy từ nhỏ em đi da liễu trị rồi mk k hết không biết bị gì nữa mng có ai bị giống em mà trị được không ạ</t>
  </si>
  <si>
    <t>2019-12-15 04:45:25</t>
  </si>
  <si>
    <t>Nguyễn Trần Khánh Vy</t>
  </si>
  <si>
    <t>100014165791041</t>
  </si>
  <si>
    <t>Em bị dính rượu thuốc cách đây gần 2 năm và đã sử dụng trong khoảng 6 tháng ạ. Hnay đến phòng khám da liễu thì bác sĩ có đưa cho đơn thuốc này. Vì em là sinh viên nên cũng chưa có đủ tiền mua thuốc nên định sẽ mua ở ngoài thì chị tư vấn bảo là có những thuốc chỉ nhà thuốc mới có ạ. Với lại bác sĩ bảo em nên đến tái khám mỗi tuần 1 lần nhưng mà vì vấn đề kinh tế nên nếu em duy trì theo đơn thuốc này nhưng ko đến tái khám có ổn k ạ???
#ask</t>
  </si>
  <si>
    <t>2019-12-14 10:52:51</t>
  </si>
  <si>
    <t>Đào Đào</t>
  </si>
  <si>
    <t>100036509130383</t>
  </si>
  <si>
    <t>#ask #help
Em bầu tuần thứ 31 rồi ạ. trước đó thì da vẫn bình thường nhưng hnay ngủ dậy thấy da sần sùi như thế này, em không ngứa không châm chít gì nhưng không hiểu sao lại bị như thế. có mẹ bầu nào từng bị tư vấn giúp em với ạ. vì bầu bí nên e chỉ skincare đơn giản là tẩy trang và rửa mặt bằng máy thôi. tuần đắp nạ 1 đến 2 lần, sáng nay ngủ dậy thấy da mặt ntn thật sự em hơi hoảng ạ, mn cho em hỏi thêm hiện tượng này sau sinh có hết không ạ ?</t>
  </si>
  <si>
    <t>2019-12-19 14:00:16</t>
  </si>
  <si>
    <t>Ngọc Trần</t>
  </si>
  <si>
    <t>100015595663566</t>
  </si>
  <si>
    <t>#bacsidalieu 
#tpHCM
#ask
Chào mọi người!
Chuyện là mình đang muốn đi khám da liễu nhưng không biết địa chỉ nào uy tín và an toàn, nên lên đây cầu cứu mọi người. 
Trước đây mình uống thuốc cường giáp nên bị mụn tầm hơn 1 năm và giờ da mình bị thâm, hay nổi mụn mủ. Lúc uống bác sĩ bảo thuốc nóng nên nổi mụn, mà giờ hết uống rồi nó vẫn cứ lên liên tục, đã thử nhiều loại mỹ phẩm trị mụn mà vẫn không ăn thua. Mong mọi người chỉ em 1 vài bác sĩ da liễu ở HCM uy tín, em cảm ơn mọi người.</t>
  </si>
  <si>
    <t>2019-05-25 10:06:11</t>
  </si>
  <si>
    <t>100016305795642</t>
  </si>
  <si>
    <t xml:space="preserve">#ask #tpHCM #bacsidalieu </t>
  </si>
  <si>
    <t>Đây là cái da mặt e nhìn xa thì thấy ổn nhưng thật chất mụn ẩn mọc đầy khắp mặt luôn và thêm cả lỗ chân lông to.
Trước đây da không có lỗ chân lông nhiều vậy và e thuộc type da dầu, sau có một khoảng thời gian da lại khô và bong da, đánh nền lên sần sùi ạ  nên e dùng kem dưỡng ẩm buổi tối và sáng ra thì lỗ chân long to đùng, mụn mũi nữa.
.
Dùng gì để trị mụn ẩn và se lỗ chân lông lại ạ?
À với cả lông mặt nhiều cạo thường có nên k ạ?</t>
  </si>
  <si>
    <t>2019-12-04 03:35:28</t>
  </si>
  <si>
    <t xml:space="preserve"> #ask #khoqua
Cho em hỏi trong group mình có ai xài mask khổ qua rừng chưa ạ? hiệu quả đẩy mụn có rõ rệt không mọi người nhỉ? Em đang có ý định mua để đẩy mụn ẩn 😁
Edit 1: cảm ơn ad xinh đẹp đã duyệt bài của em nhé hihi😍😍
Edit 2: oiii các chị góp ý nhiệt tình và hữu ích ghê, em sẽ thử, cảm ơn 
các chị nhiều lắmmm ạ😍 iu DCS-ers quáaaa trờiiiiii
Edit 3: em lấy hình này làm hình minh hoạ thui ạ 😂 hì hì</t>
  </si>
  <si>
    <t>2019-05-31 03:40:47</t>
  </si>
  <si>
    <t>Hoài Thương</t>
  </si>
  <si>
    <t>100011220369681</t>
  </si>
  <si>
    <t xml:space="preserve">#khoqua #ask  </t>
  </si>
  <si>
    <t>#ask #gocbangai
Hôm nay ngoi lên nhờ mọi người tư vấn giúp với ạ, mình xin phép xưng mình nha.
Năm nay mình 26t, chưa có gđ. Chu kỳ kinh nguyệt hàng tháng của mình như vậy thì có phải là không đều không ạ? Trước đây mình cứ đinh ninh như vậy là đều, bởi vì mình lên mạng tìm hiểu các thứ thì họ ghi là chu kỳ trong khoảng 28-32 ngày là bt. Nhưng giờ nghĩ lại, có khi nào các tháng độ dài chu kỳ phải giống nhau nữa ko ạ? Ví dụ tháng này là 28 thì tháng sau cũng phải là 28 hoặc 29 ngày. Mình có bị đau bụng ngày đầu chu kỳ, và mình còn bị mụn dai dẳng nhiều năm rồi ko khỏi dứt. Về mức độ stress thì khoảng 1 năm gần đây mình cũng suy nghĩ lo lắng nhiều chuyện. Mấy ngày gần đây mình mới giật mình nghĩ hay là mình mất cân bằng nội tiết, có khi phải đi khám nội tiết thôi ạ. Mọi người tư vấn giúp mình nhé. À mình chưa qhtd ạ.</t>
  </si>
  <si>
    <t>2019-12-03 07:39:03</t>
  </si>
  <si>
    <t>Thu Vân</t>
  </si>
  <si>
    <t>100001660566864</t>
  </si>
  <si>
    <t xml:space="preserve">#gocbangai #ask </t>
  </si>
  <si>
    <t xml:space="preserve">
#SPA #ASK
Đây là ảnh mình chụp màn hình ở 1 cơ sở làm đẹp chuyên về tiêm filler, làm căng bóng da kiểu này. 
Thấy nhiều người làm nhưng mình thì ko tin tưởng cho lắm, thấy làm đẹp đơn giản quá.
👀👀👀👊 Nên mình đăng đây, mọi người ai biết gì về cái kĩ thuật căng bóng da thì chia sẻ với ạ, tại sao lại làm da bóng được như vậy ạ. Với ai đã làm rồi thì da có đẹp khỏe lên ko hay chỉ là tạm thời?..😶🤔. ...
Cảm ơn mn đã quan tâm 😁</t>
  </si>
  <si>
    <t>2019-10-28 05:49:55</t>
  </si>
  <si>
    <t>Đặng Thị Diệu Thu</t>
  </si>
  <si>
    <t>100009571742868</t>
  </si>
  <si>
    <t xml:space="preserve">#ASK #SPA  </t>
  </si>
  <si>
    <t>#tuvangoixa
Nhờ mọi người tư vấn loại gội xả tốt cho tóc hư tổn . Tóc em khá khô nhưng chưa ưng loại dầu gội xả nào . Loại mượt thì nhiều gầu, loại ko gầu thì lại khô tóc . Hic . Ai dùng Tigi chưa cho em xin ít review với . Many thanks</t>
  </si>
  <si>
    <t>2019-11-08 02:14:24</t>
  </si>
  <si>
    <t>Hong Nhung</t>
  </si>
  <si>
    <t>100001856613087</t>
  </si>
  <si>
    <t xml:space="preserve">#tuvangoixa </t>
  </si>
  <si>
    <t>#thaoluan #lens #fun 
Không biết ở đây có chị nào có sở thích sưu tập các lọ của kính áp tròng như em không? 😂 Lúc đầu chỉ có 1 đôi lens vì nghĩ lâu lâu đi chơi mang 1 đôi thôi là được, nhưng rồi lần đầu tiên mang thấy mắt mình đẹp long lanh nên từ đó em bị thích mua lens đủ kiểu đủ màu. Từ mấy màu hằng ngày như xám, nâu thì em còn có tím, xanh lá, xanh dương,..... Em đeo tất cả thể loại hãng từ hàn, thái, nội địa trung,.... Và mỗi lần như vậy em đều giữ lại mấy bình đựng lens vì trông nó xinh cực không thể vứt được 🤣🤣.</t>
  </si>
  <si>
    <t>2019-09-20 01:01:59</t>
  </si>
  <si>
    <t>Ngô Ngọc Bảo Hân</t>
  </si>
  <si>
    <t>100002613532984</t>
  </si>
  <si>
    <t xml:space="preserve">#fun #lens #thaoluan </t>
  </si>
  <si>
    <t xml:space="preserve"> .
Mọi người ơi.em lỡ nhuộm màu ánh tím.bây giờ e muốn hạ màu tím xuống thì nên làm như thế nào ạ.các a c cho e xin vài tip hạ màu ạ.😔😔
Help me. 
Mong ad duyệt bài🙏🙏🙏</t>
  </si>
  <si>
    <t>2019-12-22 09:30:01</t>
  </si>
  <si>
    <t>100010172346158</t>
  </si>
  <si>
    <t>các chị ơi, đã ai dùng cái này để kẻ lông mày chưa ạ
chứ e học mãi k kẻ đc buồn quá🤣</t>
  </si>
  <si>
    <t>2019-11-25 23:14:25</t>
  </si>
  <si>
    <t>Nguyễn Thảo Anh</t>
  </si>
  <si>
    <t>100002905001055</t>
  </si>
  <si>
    <t>#ask #trimunlung
Mn cho e hỏi Lưng e bị mụn ntn làm thế nào để hết đc ạ, e có tẩy tế bào chết thường xuyên , với tắm sữa tắm tây thi mà vẫn không bớt ạ 😢
Ad duyệt bài giúp e với ạ</t>
  </si>
  <si>
    <t>2019-11-05 00:52:19</t>
  </si>
  <si>
    <t>Trần TTh Tho</t>
  </si>
  <si>
    <t>100010411951111</t>
  </si>
  <si>
    <t xml:space="preserve">#trimunlung #ask </t>
  </si>
  <si>
    <t>#ask #munan 
Các chị ai dùng spham này rồi cho em hỏi với ah. em da dầu mụn ẩn và lcl to. em đang tính mua dùng thử ko biết hiệu quả tốt ạ. 
em cảm ơn</t>
  </si>
  <si>
    <t>2019-11-03 15:08:47</t>
  </si>
  <si>
    <t>Hannah Le</t>
  </si>
  <si>
    <t>100033565280044</t>
  </si>
  <si>
    <t>Mình đau đầu với mụn ẩn quá, nhất là trán và 2 bên cằm,mụn xong thâm, nản 😩 mình dùng BHA2% của Paulachoice ko xi nhê mấy, dùng serrum some by mi 30 ngày thì “toang mặt” nên sợ quá ko dám dùng.mà đã bị mụn ẩn, bôi serum gì cũng chỉ nuôi mụn chứ ko tác dụng gì với da. Có bà chị Da liễu kêu dùng RetinA 0.05% là loại mạnh hơn cả BHA nhưng chưa dám dùng, ai dùng loại nào đẩy mụn tốt chỉ mình với, con trai nên mình ko quá ycau cao, chỉ cần da ko mụn là ok rồi nhưng mỗi lần rửa mặt sờ vào cộm cộm toàn nhân mụn hay sao í nhưng sợ ko dám nặn bóp vì sợ rỗ, 
Da mình da dầu, lcl to, sẹo rỗ....😭😭😭😭
Ps: gặp ng quen trong này đừng cười nha, lần đầu đăng, dành cả thanh xuân trị mụn trị sẹo mà vẫn tang bành , khổ lắm 😭 😭</t>
  </si>
  <si>
    <t>2019-12-14 22:53:21</t>
  </si>
  <si>
    <t>Bảo Trần</t>
  </si>
  <si>
    <t>100015040023575</t>
  </si>
  <si>
    <t>#Ask  
Các chị cho em hỏi về Dr.lacir này với ạ. Mặt em có mụn được mn giới thiệu cho dùng bộ sản phẩm của Dr.lacir này. Có sửa rửa mặt nè, chống nắng, tẩy trang với toner. Em thấy giá cũng khá phù hợp, em mua chai srm này 280k. 
Mà em thấy bảo là sp của Hàn Quốc cơ mà lại sx ở VN, nên em vẫn cứ e ngại, mua trên mạng nữa em cứ lo lắng
Chị em ai đã dùng hoặc biết thì cho em xin review cả bộ sp với ạ, em mới mua 1 chai srm này trước thôi. Em cảm ơn mn</t>
  </si>
  <si>
    <t>2019-08-19 08:30:56</t>
  </si>
  <si>
    <t>Nhung Ltb</t>
  </si>
  <si>
    <t>100025430709624</t>
  </si>
  <si>
    <t xml:space="preserve"> #Ask </t>
  </si>
  <si>
    <t xml:space="preserve"> #tuvan #ask #lclto #seoro
Mọi người có thể tư vấn giúp em với. Da em là da dầu, hồi trước mọc mụn rất nhiều mà k biết cách nặn. Tự nặn nên giờ để lại sẹo rỗ khá nhiều. Cả lcl của em cũng khá to.
Mọi người có thể gthieu cho em 1 vài sản phẩm cải thiện lcl vs sẹo rỗ được k ạ. 
Cả phần da bên má trái của em hình như bị nám(?) có cách nào khắc phục k ạ? :&lt;</t>
  </si>
  <si>
    <t>2019-11-16 09:06:43</t>
  </si>
  <si>
    <t>Hạ Hạ</t>
  </si>
  <si>
    <t>100010610025265</t>
  </si>
  <si>
    <t xml:space="preserve">#seoro #lclto #ask #tuvan  </t>
  </si>
  <si>
    <t>B.ướ.m cười là có thật 😂</t>
  </si>
  <si>
    <t>2019-12-02 06:30:22</t>
  </si>
  <si>
    <t>#nhuomtoc 
Mấy chị cho em hỏi da ngăm thì nên nhuộm tóc màu gì ạ ? 😢
Trên hình có qua app . mặt em cũng nhiều khuyết điểm</t>
  </si>
  <si>
    <t>2019-12-09 03:20:03</t>
  </si>
  <si>
    <t>Tuyền Trần</t>
  </si>
  <si>
    <t>100015936872233</t>
  </si>
  <si>
    <t>các chị ơi có bài tập nào thu nhỏ bắp chân không ạ. e tập bài kiễng chân gần 1 năm.mà nó k bé chỉ tròn bắp hơn một tí. cổ chân e bé, bắp to mà đùi lại bé nhìn chân như dóng mía ấy ạ. e mượn ảnh "chị yêu" của e để minh họa cho chân e ạ</t>
  </si>
  <si>
    <t>2019-12-23 03:39:52</t>
  </si>
  <si>
    <t>Xiao Tan</t>
  </si>
  <si>
    <t>100041434624925</t>
  </si>
  <si>
    <t xml:space="preserve">Hãy giành 15 phút tập luyện mỗi ngày để luôn khỏe đẹp nha các chị em ơiii ❤️❤️❤️ SAVE vào để dùng nhé ạ ❤️❤️❤️
</t>
  </si>
  <si>
    <t>2019-12-05 15:33:17</t>
  </si>
  <si>
    <t>Em đăng bài nhiều lắm rồi mà chưa bài nào được duyệt( huhu).
Mong ad duyệt bài này để e đẹp được thỏa nguyện ạ. Chứ e vã quá rồi. Huhu
Chả là tình trạng da của e như hình. Dạo lâu nay da e nó cứ có hạt hạt, không mịn. (trước đây e không có ạ). Mong các bậc cao nhân trong làng skincare chỉ giáo giúp e làm sao để e có thể bai bai mấy cái hạt kia ạ. 
Da em da khô nhưng lại có đổ dầu ( e chả biết da gì luôn vì đi mấy chỗ soi da , chỗ thì nói e da khô , chỗ nói e da hỗn hợp, nhưng mà e thấy da e là da khô thiên dầu ạ). 
Cảm ơn ad đã duyệt bài ạ.</t>
  </si>
  <si>
    <t>2019-12-19 23:23:52</t>
  </si>
  <si>
    <t>한수진</t>
  </si>
  <si>
    <t>100010124288332</t>
  </si>
  <si>
    <t>Mn cho em hỏi. Da em thuộc hỗn hợp   . dầu vùng t và khô 2 má. Do e là học sinh c2  nên dùng tt gì ạ. E k có makeup gì cả ạ. Mọi người cho em xin ít loại tt cho da hôn hợp thiên dầu mụn ạ. E ko makup chỉ đi đường bụi bẩn thôi</t>
  </si>
  <si>
    <t>2019-11-27 06:39:05</t>
  </si>
  <si>
    <t xml:space="preserve"> #tuvan #xoaxam
Các bác cho em xin một vài địa chỉ xóa xăm ở Hà Nội  uy tín được không ạ??? Em nghe nói giờ có xóa bằng tia lazer 😌
Vì một vài lí do cá nhân nên e bắt buộc phải xóa hình xăm thôi :( 
Nãy e thấy có bạn đi xóa xăm theo kiểu đốt cháy da mà e hãi quá :( 
Em ở Hà Nội ạ 
Ảnh mang tính chất minh họa ạ 😌😌😌</t>
  </si>
  <si>
    <t>2019-05-05 12:19:45</t>
  </si>
  <si>
    <t>Đào Thị Lộc</t>
  </si>
  <si>
    <t>100011984743311</t>
  </si>
  <si>
    <t xml:space="preserve">#xoaxam #tuvan  </t>
  </si>
  <si>
    <t>Mong m.n tư vấn cho em với 
Tìmh trạng da em da dầu , lỗ chân lông to 
Và mụn ẩn, mụn đầu đen, mụn đầu  trắng 
Em là tín đồ hay nặn nx</t>
  </si>
  <si>
    <t>2019-12-20 13:31:02</t>
  </si>
  <si>
    <t>#ask #nhuomtoc #duongtoc
Chả là tóc em hôm tết nhuộm nâu rêu với làm xoăn sóng lơi, giờ màu n phai ra nên hôm qua em đi nhuộm lại đen tự nhiên với duỗi phần xoăn ra. Mà ở tiệm nhìn thì đỡ chứ về nhà tóc em nó đen xì lại còn thẳng tưng nữa, nhìn quê hết sức 😭 chị em có cách nào cho màu đen n phai bớt ra k , với làm thế nào cho tóc phồng lên k ạ vì duỗi xong nhìn tóc n mỏng dính, tiện thể cho em xin tip chăm sóc tóc cho mau dài với ạ
Cảm ơn mn nhiều 😍</t>
  </si>
  <si>
    <t>2019-08-21 02:44:08</t>
  </si>
  <si>
    <t>Vũ Quỳnh</t>
  </si>
  <si>
    <t>100021953720366</t>
  </si>
  <si>
    <t xml:space="preserve">#duongtoc #nhuomtoc #ask </t>
  </si>
  <si>
    <t>#tiplamdep #cachchamsocda #chámocdahieuqua #skincaretips 
LÀM THẾ NÀO ĐỂ CÓ MỘT LÀN DA ĐẸP (phần 1)
Xin chào mọi người, group mới lập mấy hôm nay rôm rả quá, mình cũng muốn đóng góp một số kiến thức của mình về việc chăm sóc da. Bài rất dài nên mình sẽ chia làm hai phần, mong rằng sẽ giúp ích cho các bạn mới bắt đầu dưỡng da hoặc muốn tìm hiểu thêm về dưỡng da ❤️❤️❤️ 
 1. Cách rửa mặt. 
Đây là một bước skincare cơ bản mà nhiều bạn thường không quan tâm tới hoặc chỉ làm qua loa. Rửa mặt đúng cách chính là chìa khoá cho một làn da sạch và khoẻ, là nền móng cho các bước skincare sau đó. Da bạn phải sạch thì mới có thể hấp thu các tinh chất dưỡng da một cách tốt nhất. Hầu hết các bạn đều rửa mặt quá nhanh so với mức thời gian cần thiết để sữa rửa mặt có thể phát huy chức năng làm sạch của mình. Thời gian mát xa srm trên da nên là từ 1-2’. Nếu dùng máy rửa mặt thì khoảng 30 giây cho đến 1’. Các bạn hay trang điểm nên tẩy trang sạch hàng ngày với dầu/sáp/nước tẩy trang trong vòng 1-2’ trước và 1’ tiếp theo cho sữa rửa mặt. Lưu ý: LUÔN dùng loại srm và tẩy trang dịu nhẹ, lành tính và không chứa cồn. Cồn mang lại cảm giác sạch bong kin kít sau khi rửa nhưng về lâu về dài sẽ làm khô, bong tróc, khiến da nhạy cảm hơn rất nhiều. Tip của mình khi rửa mặt là bắt đầu bằng nước ấm trước -&gt; tẩy trang 30 giây-1’ -&gt; dùng máy rửa mặt mát xa srm 30 giây-1’ -&gt; vỗ nước mát lên da 10 lần. Việc vỗ nước mát lên da sau khi rửa mặt giúp lấy đi những cặn bẩn sâu bên trong lỗ chân lông, đồng thời khiến làn da thêm săn chắc, ẩm mọng. Sau đó mình dùng khăn giấy (facial tissue) thấm bớt nước và apply các bước skin care. Các bạn có thể dùng khăn mặt hoặc facial tissue nhưng phải luôn nhớ là chỉ thấm nước đi một cách nhẹ nhàng, không chà xát da mặt khiến da bị tổn thương.
  2. Hiểu làn da của mình. 
Bạn cần hiểu rõ làn da mình cần gì ? Da bạn đang gặp phải vần đề nào ? Nguyên nhân là do đâu và cách giải quyết vấn đề này. Nếu bạn bị mụn và lỗ chân lông to, đừng vội dưỡng trắng mà hãy trị mụn dứt điểm RỒI HÃY dưỡng trắng; nếu da bạn nhiều sẹo do mụn để lại, hãy dùng các sản phẩm có chức năng phục hồi và tái tạo tế bào (collagen, peptide,ceramide,...) trước RỒI HÃY dưỡng trắng. Hãy học cách lắng nghe và HIỂU làn da của bạn cần gì. Đừng thấy ai dùng một loại sản phẩm dưỡng da nào đó rất hiệu quả mà cũng dùng theo, phải tìm hiều kĩ xem sản phẩm ấy có HỢP với loại da của bạn và có giải quyết được vấn đề mà làn da bạn đang gặp phải hay không. Và một điều nữa, đừng đem làn da của người khác so sánh với làn da của mình. Mỗi người có một cơ địa khác nhau; làn da là kết quả của gen di truyền; môi trường; chế độ ăn uống và lối sống;... Đừng tự hỏi vì sao da bạn kia đẹp thế, mình cũng dùng sp dưỡng da y hệt mà da không đẹp bằng... Cái này giống như so sánh sao cái cây tưới nước vào thì ra hoa mà quả cam tưới nước vào lại không ra hoa vậy. Dưỡng da thành công là khi bạn cải thiện được các vấn đề về da của mình, và sau đó tiếp tục duy trì làn da ấy, hoặc làm nó đẹp hơn. Cho nên, dưỡng da là cả một quá trình chạy đường dài, chứ không phải đua tên lửa. Thậm chí mỗi một độ tuổi khác nhau còn phài dùng sp dưỡng da với chức năng khác nhau. Không bao giờ có chuyện một sớm mai thức giậy “ôi da mình đẹp quá không dưỡng nữa”... Hãy luôn để ý những dấu hiệu mà da muốn nói với bạn để có thể có giải pháp kịp thời. Dưới đây là ảnh mình tìm được trên mạng về nguyên nhân gây mụn trên từng vùng của khuôn mặt.
  3. Chọn sản phẩm dưỡng da một cách thông minh. 
Đây là vấn đề rất quan trọng. ĐỪNG BAO GIỜ dùng các sản phẩm không rõ nguồn gốc hay được quảng cáo bởi một cá nhân nào đó. ĐỪNG BAO GIỜ tin những lời quảng cáo về một sản phẩm giúp da bạn đẹp lên chỉ sau vài ngày sử dụng. Người ta họ bán hàng, họ chỉ muốn bán được chứ đâu quan tâm hậu quả sau này hộ bạn. Luôn luôn tìm hiểu kỹ về sản phẩm mình muốn mua, hãy đọc review về sản phẩm ấy nhiều nhất có thể. Đề cao tiêu chí không cồn, không chất tạo mùi, không paraben khi chọn sản phẩm. Các bạn có làn da nhạy cảm và dễ nổi mụn thì nên cân nhắc kĩ càng xem sản phẩm ấy có thành phần dễ gây mụn; gây kích ứng da hay không. Một điều nữa, hãy cho sp dưỡng da có thời gian phát huy công dụng của mình, đừng chỉ dùng ngày một ngày hai rồi thấy “ôi chán quá chẳng có tác dụng gì thôi bỏ”. Tốn kém lắm. Đừng thay đổi sp dưỡng da như thay áo; làn da cần có thời gian để thích nghi với một sản phẩm nào đó, hãy sử dụng ít nhất 1-2 lọ rồi hãy đưa ra nhận xét mình có nên tiếp tục sử dụng hay không. Tuy nhiên, điều này khác với việc bị dị ứng sản phẩm ! Dấu hiệu bạn bị dị ứng với một sp dưỡng da nào đó là: da liên tục xuất hiện các vùng ngứa nhỏ, rát, nổi mụn bọc có mủ. Nếu như vậy thì hãy dừng ngay và luôn. Còn nếu sau khi sử dụng sp, da bạn bị khô, bong tróc hay đổ dầu nhiều hơn hoặc nổi mụn đầu trắng, điều này có thể là do bạn bôi quá nhiều trong một lần sử dụng; thành phần của các sp dưỡng da khác bạn đang dùng bị phản ứng với sp dưỡng da mới, hoặc dùng quá thường xuyên khi vừa bắt đầu sử dụng. Các sp như retinol, vitamin c đậm đặc hay bha, aha,... không nên dùng hàng ngày khi bạn vừa bắt đầu, sẽ rất dễ bị kích ứng làn da. Hãy dùng cách vài ngày một lần trước rồi sau đó tăng dần, để làn da có thời gian thích ứng. Cho những bạn mới bắt đầu dưỡng da hay muốn tìm những sản phẩm lành tính mà không quá đắt đỏ, mình khuyên các bạn hãy tìm đến Muji, Cosrx, Bioderma, Lush, hoặc lành tính hơn nữa là các dược phẩm dưỡng da như Eucerin, La Roche Posay, Neutrogena, CeraVe,...
Phần 1 của mình đến đây thôi, phần 2 mình sẽ nói về chu trình dưỡng da, kem chống nắng, chế độ ăn uống, mặt nạ dưỡng da, và tẩy tế bào chết. Nếu các bạn có bí quyết gì hãy cmt phía dưới nhé. Chào cả nhà ❤️</t>
  </si>
  <si>
    <t>2019-03-11 08:35:27</t>
  </si>
  <si>
    <t>100003828421873</t>
  </si>
  <si>
    <t xml:space="preserve">#skincaretips #chámocdahieuqua #cachchamsocda #tiplamdep </t>
  </si>
  <si>
    <t>#tayvetbanquanao
Em xin phép các admin và mọi người, không liên quan đến việc làm đẹp lắm, nhưng em muốn nhờ mọi người tư vấn giúp ạ.
Hôm trước về quê ngoại giỗ ông ngoại, em ngồi rán mực thì bị dầu mỡ bắn vào quần áo, giặt cách nào cũng không sạch được, em mong được mọi tư vấn giặt như thế nào thì mới bay được các vết dầu bắn này ạ? Quần áo em người bán nói là vải da cá ạ.
Em cám ơn cả nhà ạ.</t>
  </si>
  <si>
    <t>2019-12-19 10:32:21</t>
  </si>
  <si>
    <t>Mai Trần</t>
  </si>
  <si>
    <t>100002526823250</t>
  </si>
  <si>
    <t xml:space="preserve">#tayvetbanquanao </t>
  </si>
  <si>
    <t xml:space="preserve">Mong ad duyệt bài giúp em với ạ
Mọi người cho em xin tuýp trị mụn và thâm hiệu quả với 😭😭
Tết nhất đến nơi rồi mà mặt em cứ thế này 😢😢
Em cảm ơn ạ
#tuvan
#trimuntham
</t>
  </si>
  <si>
    <t>2019-12-25 00:21:40</t>
  </si>
  <si>
    <t>100042902943567</t>
  </si>
  <si>
    <t xml:space="preserve">#trimuntham #tuvan </t>
  </si>
  <si>
    <t>Chào tất cả mn.Năm nay em 17t và da em bị lên mụn như vậy cách đây 3 năm rồi ạ,em có dính 2l kem trộn nên giờ em k sử dụng gì cả.Vì em đi học suốt nên không có thời gian skincare.mùa đông thì da em bắt đầu căng,khô và đóng vẩy nữa ạ.Em lên đây mong mn chỉ em vài bước skincare vào mùa đông và trị mụn hợp với túi tiền học sinh 😞với da em mùa hè thì nhiều dầu,còn đông thì khô với hay bong vẩy ạ. em cảm ơn !!</t>
  </si>
  <si>
    <t>2019-12-04 15:12:43</t>
  </si>
  <si>
    <t>Quách Khánh Chi</t>
  </si>
  <si>
    <t>100009544487327</t>
  </si>
  <si>
    <t>Mong ad duyệt em với, em đến bước đường cùng rồi :((
Mong mọi người giúp em với ạ, em mới 16t mà da còn tệ hơn cả ngườii già. Vì em ở quê nên kh có spa gì cả, cũng ít có kiến thức về dưỡng da nên em dính phải rất nhiều loại kem trộn. Em dùng rất nhiều thứ, kiểu như chỉ xoay quanh dùng mỗi sữa rửa mặt với bôi kem trị mụn lên thôi. Vì dậy thì sớm nên em nổi mụn sớm, điều trị sử dụng sp sai cách nên giờ da ra nông nỗi này, cũng tầm 5 năm rồi đó ạ. Anh chị giúp em góp ý để da cải thiện hơn xíu với ạ, em rất tự ti nên bịt khẩu trang moii lúc mọi nơi, riết chắc em tự kỷ luôn quá ấy :((</t>
  </si>
  <si>
    <t>2019-12-13 00:01:25</t>
  </si>
  <si>
    <t>Hoàng Ái Như</t>
  </si>
  <si>
    <t>100010039368229</t>
  </si>
  <si>
    <t>#tuvan
Mình chào 500 ace trong nhóm
Mình năm nay 28 tuổi rồi. Sau khi đóng xong 2 tập phim nay rãnh rỗi mình bắt đầu skincare chăm sóc bản thân.  Qua hơm 3 tháng thì da mình khá ổn, bớt mụn ẩn nhiều mà Mụn đi rồi để lại thâm quá trời luôn. Da mình cũng ẩm ương không đều màu lại thiên KHÔ ạ.
1. Nhờ ace tư vấn giúp mình loại kcn nào hợp với da mình với ạ.( m đang xài kem nền kèm chống nắng của klavuu vì đc tặng nhưng mình muốn tìm loại chuyên dụng cho nó phát huy tối ưu ạ)
2. Da mình thâm chi chít không biết xài loại serum nào cho bớt thâm sau mụn ạ.( m đang xài klavuu mà đau túi quá nên chuyển ạ hehe)
3. Mắt mình đầy đủ combo thâm+ bọng+ nhăn. Mình đã tập ngủ sớm, sử dụng mặt nạ và kem mắt của Nhật mà cũng k cải thiện mấy.
Mong chị em thiện lành đề xuất cho mình 1 em mạnh đô để xử combo trên cho con mắt bớt bớt lại với ạ.
4. Hỏi ngu thêm cái này nữa nha. Ace mình skincare cho da cổ là chung mặt hay chung body ạ.
Cảm ơn add duyệt bài
Cảm ơn các bạn đã đọc và rất mong được hồi âm.</t>
  </si>
  <si>
    <t>2019-11-29 08:13:41</t>
  </si>
  <si>
    <t>Nhung Bắp</t>
  </si>
  <si>
    <t>100006705367406</t>
  </si>
  <si>
    <t xml:space="preserve">
#skincare
#chiase
Đây là chu trình skincare của mình hiện tại. Sau khi theo những sản phẩm này da mình khá ổn, ít nhất là thời điểm hiện tại: mụn đầu đen giảm, mụn ẩn lâu lâu mới có, mụn đỏ thì tới kì mới nổi, giảm tiết dầu, lcl có se lại đôi chút. 
Mình thuộc tuýp da dầu, lỗ chân lông to, mụn ẩn. 
Trong này cũng có những sản phẩm bình thường, ko có tác dụng nổi trội nhưng lỡ mua nên xài cho hết.  😅😅😅
Bạn nào cần review gì comment nhé, mình sẽ trả lời 😁😁😁😁</t>
  </si>
  <si>
    <t>2019-09-21 15:42:49</t>
  </si>
  <si>
    <t>100024324753626</t>
  </si>
  <si>
    <t xml:space="preserve">#chiase #skincare </t>
  </si>
  <si>
    <t>#Duongmoi
#Tuvan
#Thammoi
Mình dùng quy trình dưỡng môi như sau ạ
1. Tẩy trang mắt môi Elvoluderm
2. Tẩy tế bào chết Beauty Treats lip scrub 2 -3 lần/tuần
3. Mặt nạ ngủ môi Laneige ngay sau bước tẩy tế bào chết, cũng 2-3 lần/tuần
4. Son dưỡng Dior lip glow 001 hàng đêm nếu không dùng ngủ môi ạ.
Cho mình hỏi là các bước dưỡng môi như vậy đã đúng chưa? Môi mình không được hồng lắm, vì mình dùng son màu hàng ngày. Mọi người chỉ cho mình sản phẩm nào để cải thiện thêm được không ạ?
Mình cảm ơn ạ.</t>
  </si>
  <si>
    <t>2019-11-08 00:41:30</t>
  </si>
  <si>
    <t>100007973953027</t>
  </si>
  <si>
    <t xml:space="preserve">#Thammoi #Tuvan #Duongmoi </t>
  </si>
  <si>
    <t>#List #Kemtrộn
Danh sách các loại kem trộn trên thị trường hiện nay. Còn loại nào nữa các chị em bổ sung để né ra nhé :))
Cre: Yến Môi Mềm
Mấy má cứ bổ sung thêm rồi t edit thêm cho đầy đủ nheee
Edit: Tụi bán kem trộn khuấy giờ nó da dạng lắm mấy má ôi, nên cứ dùng hàng ngoại thôi cho an toàn, các brand bình dân thì giá nó còn rẻ hơn kem trộn nữa ấy. NÉ HẾT TẤT CẢ SẢN PHẨM ĐƯỢC PR BỞI NGHỆ SĨ, không tin được thằng con nào đâu, giờ tiền vào mồm là bảo nói gì nó cũng nói thôi, ba cái bảng kiểm chứng an toàn của bác sĩ, công an gì gì đó dễ làm lắm ấy, hãy là người tiêu dùng thông minh.</t>
  </si>
  <si>
    <t>2019-03-08 03:47:36</t>
  </si>
  <si>
    <t>Nguyễn Thị Kim Chi</t>
  </si>
  <si>
    <t>100005517463413</t>
  </si>
  <si>
    <t xml:space="preserve">#Kemtrộn #List </t>
  </si>
  <si>
    <t>#trietlong#help
Các mẹ và các chị biết cách nào để triệt lông chân 1 cách tự nhiên mà không khiến lông mọc dày hơn không ạ. Em khổ tâm quá, chuyện là trước đây em cũng vốn nhiều lông chân sẵn cho nên cuối cùng em đã thử dùng kem tẩy lông veet, dùng mới 1 lần thì sau 1 thời gian lông nó mọc còn rậm rạp, dày và dài hơn trước nữa ạ😭 từ đó về sau em xin chừa , không bao giờ dám đụng tới kem tẩy lông , dao cạo hay wax lông luôn ạ. Em rất tự ti vì cặp chân đầy lông như đàn ông đến nỗi không dám mang váy và quần ngắn ra đường luôn ạ😭. Mong mọi ng giúp em với, em cám ơn mọi người nhiều ạ!</t>
  </si>
  <si>
    <t>2019-06-13 07:28:07</t>
  </si>
  <si>
    <t>Phuong Anh Le</t>
  </si>
  <si>
    <t>100022573309320</t>
  </si>
  <si>
    <t xml:space="preserve">#help #trietlong  </t>
  </si>
  <si>
    <t>Da mẹ em giống vầy nên xài gì giờ mọi người ơi.</t>
  </si>
  <si>
    <t>2019-12-04 11:09:49</t>
  </si>
  <si>
    <t xml:space="preserve">
#yoga
#gym
Cả nhà iu quý.
Mong các bạn cho mình xin ý kiến về việc, giữa yoga và gym, mình nên tập cái nào?
Có nghe chị kia nói, tập yoga bị "lép" hết trơn, buộc lòng quay qua gym. 
Nhưng cũng nhiều người nói yoga rất tốt. Mình hơn 30 bánh chưng rồi. Phân vân quá. 
À cho mình xin kinh nghiệm chọn thảm tập luôn nhé. 
Cám ơn cả nhà nhiều!
Cám ơn ad!</t>
  </si>
  <si>
    <t>2019-12-17 02:45:13</t>
  </si>
  <si>
    <t>Hai Mèn</t>
  </si>
  <si>
    <t>100041932091068</t>
  </si>
  <si>
    <t xml:space="preserve">#gym #yoga </t>
  </si>
  <si>
    <t xml:space="preserve">
Tay em bị xước da quanh năm, rất đau và vô cùng mất thẩm mỹ luôn. Có cách nào trị hết không ạ</t>
  </si>
  <si>
    <t>2019-12-22 05:12:56</t>
  </si>
  <si>
    <t>Huỳnh Thiên Thanh</t>
  </si>
  <si>
    <t>100009951464120</t>
  </si>
  <si>
    <t>Bth da e không mụn nhưng dạo gần đây đột nhiên nổi mụn liên tục :( da  e thuộc loại da dầu, mụn không nặng lắm nhưng cái đỏ đỏ, li ti liên tục da e lại sần cực kì nữa , mụn này vừa hết mụn khác lại lên :(( a chị cứu e với 😥
E đang sd srm skinlife(nhật) vs sr trị mụn của TO thoi ạ</t>
  </si>
  <si>
    <t>2019-11-03 05:12:11</t>
  </si>
  <si>
    <t>Trần Thị Thùy Trang</t>
  </si>
  <si>
    <t>100008464662864</t>
  </si>
  <si>
    <t>Mng ơi cho e hỏi chuyện là da e là da hh thiên dầu ý mà mỗi lần e bị mụn là chỉ toàn mụn bọc giống hình thui thề đau dã man ý mà lúc trước e k biết e toàn tự lấy tay nặn nên giờ mặt e có vài chỗ bị thâm và để lại sẹo á nên e cần mng chỉ giúp e có loại nào gom còi mụn tốt hong với lại sữa rữa mặt nào tốt với ạ e cảm mơn 
#ask  #cangiup</t>
  </si>
  <si>
    <t>2019-12-03 08:13:42</t>
  </si>
  <si>
    <t>Trà Thanh</t>
  </si>
  <si>
    <t>100044259610350</t>
  </si>
  <si>
    <t xml:space="preserve">#cangiup  #ask </t>
  </si>
  <si>
    <t xml:space="preserve">E cũng ko hiểu sao chứ kem trộn giờ bán tràn lan mà thịnh hành quá chị em ạ 🤦🏻‍♀️🤦🏻‍♀️ e nhìn mà e thấy sợ luôn thế mà vẫn có người mua được dùng xong chắc tốn tiền đi bệnh viện quá 🙄😑 mỹ phẩm gì mà bán theo kg với gram :))
</t>
  </si>
  <si>
    <t>2019-09-27 19:44:28</t>
  </si>
  <si>
    <t>Phạm Thị Ngoan</t>
  </si>
  <si>
    <t>100039330674404</t>
  </si>
  <si>
    <t>Cho em hỏi có bạn nào giống em không? Nhìn người ta nail các thư lấp la lấp lánh cũng mê lắm. Bữa đưa bộ móng cho bà chị làm nail, bả cười bảo - sơn thôi nha em.
#nail</t>
  </si>
  <si>
    <t>2019-12-24 13:20:48</t>
  </si>
  <si>
    <t>Mai Nguyen</t>
  </si>
  <si>
    <t>100008125870818</t>
  </si>
  <si>
    <t>Mọi người ơi giúp em với. Cho em ý kiến và lời khuyên với ạ. Hiện tại tự nhiên da em nổi mụn ẩn mụn li ti rất nhiều. Nổi hàng loạt trong vòng hai tuần. Trc đó da em từng mụn cách đây 1 năm. Rồi em dùng mai thảo mộc trị mụn và dùng cám gạo anthy rửa mặt thì cũng ngưng đc 5-6 tháng mà kh sao cả.sau khi bỏ mtm e chỉ sử dụng cám gạo anthy rửa mặt mỗi ngày. Em có đi làm mẫu makeup 1 tuần nhiều nhất 3-4 lần, làm ở đó thì em có thấy mấy c đó cũng xài  có mấy brand có tiếng với đi về em cũng tẩy trang lại, lâu lâu có đi đâu thì makeup 1 tí.e sd cushion của lemonade 1 vài lần , lime loại màu trắng, laneigh màu hồng hình giọt nước.  phấn phủ,phấn mắt,phấn má,tạo khối của nội địa trung. Dạo gần 2 tuần nay đổ lại thì da em tự nhiên lên mụn. Ban đầu ít em nghĩ từ từ hết nhưng h nó nhiều quá. Hàng ngày em đi đâu về em tẩy trang bụi bẩn bằng nc tẩy trang bioderma vì cảm giác da cứ nhờn nhờn bít lcl rồi đi rửa mặt lại với nước hoặc cám gạo. Lâu lâu em chăm xíu thì xài toner của plankton với khi đi ra đường nắng nôi chỉ xức kcn The Seam màu hồng thôi ạ. H em phải làm sao , cho e ý kiến với.(Trên ảnh hình mấy chỗ hai má vì có rỗ nên em không cam nét đc mụn ạ, ở ngoài nó nhiều mụn ẩn liti r sưng đỏ lên)</t>
  </si>
  <si>
    <t>2019-11-11 08:56:25</t>
  </si>
  <si>
    <t>Thao Vy</t>
  </si>
  <si>
    <t>100024296582496</t>
  </si>
  <si>
    <t>...
Mấy chị ơi colagen loại nào uống đẹp da ok vậy mấy chị , e mới lăn kim trị lổ chân lông to xong</t>
  </si>
  <si>
    <t>2019-09-17 12:12:16</t>
  </si>
  <si>
    <t>Thảo Emy</t>
  </si>
  <si>
    <t>100005448870791</t>
  </si>
  <si>
    <t>#rangnieng
Kinh nghiệm niềng thì chắc cũng nhiều bạn chia sẽ rồi. Mình chỉ muốn nói cảm nghĩ, đăng vài tấm hình của bản thân về sự thay đổi để tạo động lực cho các bạn. Cố lênnnn 📸
Niềng xong vẫn còn hơi móm nhưng mà công nhận cải thiện thật sự. Góc nghiêng đã đỡ chết hơn. Khung xương mặt cũng thay đổi. Mũi lên hình nhìn cũng cao hơn nữa.
Từ ngày mới bắt đầu niềng đến lúc tháo niềng, thật sự không hề đau như mọi người tưởng đâu. Chỉ hơi ê răng khó ăn uống 1 chút sau mỗi lần tái khám siết răng thôi, qua được 1 -2 ngày thì cái gì mình cũng ăn được hết. Vệ sinh răng sẽ khó khăn hơn bth phải kĩ hơn. 
Quan trọng nhất, T thấy mình xấu nhất khi phải nhổ 1 cái răng ngay giữa hàm như mấy em lớp 1 thay răng vậy :)). Lúc này nhìn còn xấu hơn lúc trước khi niềng, lúc kéo răng còn bị méo mặt. Nhiều khi cũng hơi tự ti nhưng phải kiên trì thà xấu 2-3 năm nhưng mình còn cả cuộc đời dài phía sau! 
Đừng nản. Dù cho niềng xong không đẹp hơn cũng giúp khớp cắn được cải thiện về già răng sẽ khoẻ hơn.
Mang niềng trong miệng thời gian đầu sẽ hơi khó chịu, bị lỡ miệng 1 chút nhưng sau rồi cũng quen. 
Nên ai còn đang hoang mang nên hay không thì hãy đi đi nhé 💋💋</t>
  </si>
  <si>
    <t>2019-11-05 09:04:15</t>
  </si>
  <si>
    <t>Phạm Nhữ Tiên</t>
  </si>
  <si>
    <t>100010693786673</t>
  </si>
  <si>
    <t xml:space="preserve">#rangnieng </t>
  </si>
  <si>
    <t>Các chị em có ai giống em không sao mua son mắc tiền mà xài khô môi quá 
Trong 5 cây ek xài chỉ môi dior với kilian là không khô môi còn tf với charlotte cả shu nữa đánh lên một vài tiếng sau la có vẩy môi khô.
Thật sự la ek kỳ vọng ma giờ thất vọng quá</t>
  </si>
  <si>
    <t>2019-10-28 12:45:10</t>
  </si>
  <si>
    <t>Pham Gi</t>
  </si>
  <si>
    <t>100005050441859</t>
  </si>
  <si>
    <t>#body 
Mọi người cho em xin sản phẩm giúp trắng da với ạ!!! Da a kiểu đen từ bé ít sử dụng kem body nên không biết làm thế nào</t>
  </si>
  <si>
    <t>2019-12-13 05:10:52</t>
  </si>
  <si>
    <t xml:space="preserve">
Mong ad duyệt bài ạ !
Do lúc trước em bị dính rượu thuốc nên da em bây giờ cực yếu ạ cứ ra nắng là mặt đỏ lên mn chỉ em cách phục hồi với ạ sẵn luôn là em ko có xài cái gì hết ạ ! Em chỉ dùng nước muối sinh lí để rửa mặt thoi ạ ! Thâm thì bây giờ em đag bôi hirusca màu xanh dương thoi ạ</t>
  </si>
  <si>
    <t>2019-11-28 14:25:00</t>
  </si>
  <si>
    <t>Mọi người cho e hỏi là da em bị mụn như này thì phải làm sao ạ 😢
Khóc 7749 dòng sông...</t>
  </si>
  <si>
    <t>2019-12-17 13:09:18</t>
  </si>
  <si>
    <t>100021531907774</t>
  </si>
  <si>
    <t>Chào m. Em mới vô nhóm năm nay em 17tuổi da mặt e bị mụn từ 2 năm trước em đã từng đi da liễu  đc 1 tháng và sau này em có dùng thuốc sắc mộc thiên đc hơn 1 tháng mong mn giúp e 
#ask#deptranhsa</t>
  </si>
  <si>
    <t>2019-12-08 12:34:50</t>
  </si>
  <si>
    <t>Không's Tồn's Tại</t>
  </si>
  <si>
    <t>100034684638964</t>
  </si>
  <si>
    <t xml:space="preserve">#deptranhsa #ask </t>
  </si>
  <si>
    <t>Có anh chị có bí quyết hay sản phẩm gì để móng mau dài không ạ. E có tật cắn móng tay mỗi khi căng thẳng hay đang suy nghĩ nên móng không thể dài được. Mà e cũng gáng nuôi nhưng móng khá yếu cứ dài được chít thì lại gãy ạ :((
Mong ad duyệt</t>
  </si>
  <si>
    <t>2019-12-07 15:02:32</t>
  </si>
  <si>
    <t>chào mọi người ạ. không biết trong gr của mình có ai bị mụn thịt lâu năm không ạ? em không biết làm sao hết và vấn đề là em bị từ bé đến giờ rồi. năm nay e 19t chưa từng sử dụng qua bất kì loại mỹ phẩm nào kể cả srm hay kem chống nắng. và mắt em có quầng thâm và nếp nhăn khá nhiều không biết là do mụn thịt hay không dù em ngủ đủ giấc ạ :&lt; mọi người giúp em với. với cả bày em cách skin care da bị mụn thịt ạ :&lt;</t>
  </si>
  <si>
    <t>2019-11-23 10:37:52</t>
  </si>
  <si>
    <t>Huỳnh Ken</t>
  </si>
  <si>
    <t>100005007276388</t>
  </si>
  <si>
    <t>Mọi người ơi e bị nhiễm corticoid giờ em nên làm gì đây ạ?</t>
  </si>
  <si>
    <t>2019-12-13 12:25:48</t>
  </si>
  <si>
    <t>Hồng Thanh</t>
  </si>
  <si>
    <t>100034618926837</t>
  </si>
  <si>
    <t>Em 1m48 mà 40 cân trong 1 tháng lên 2 cân nên em sợ nên đã ngu muội sử dung thuốc giảm cân mà hết cả hộp mà thấy ko giảm còn thèm ăn đủ thứ nên em ngưng luôn . Và cái gì đến cũng đến . Sau khi ngưng thuốc giảm cân em lên 6ký các chị akk . Em muốn gục ngã . Cuối cùng em quyết định tập thể dục mà em thì ko có điều kiện đi đi đến phòng tập . Nên em tải mấy bài tập về tự tập ở nhà , kết hợp với ăn rau hoa quả và giảm tinh bột cắt đường thì em cũng đã giảm dc 2 ký trong 1 tháng em có nhiều bài tập em tập em thấy ăn cơ lắm luon í . Em đăng tạm vài bài . Ce nào muốn thì inb em em gửi tất cho akkk . Và mấy chị đừng bao giờ tin vào thuốc giảm cân nha hu hu .
❤️</t>
  </si>
  <si>
    <t>2019-10-13 08:54:45</t>
  </si>
  <si>
    <t>Bé Ngân</t>
  </si>
  <si>
    <t>100029871943196</t>
  </si>
  <si>
    <t>Mong ad duyệt bài giúp em với ạ. Tks ad nhiều 
Chào m.n hình ảnh có hơi 18+ nên mong đừng rp e ạ :((. Chuyện là hôm t2 e có đi wax bikini ấy ạ khi về thì e cũng có rửa nước muối sinh lí đàng hoàng và e có ktra đầy đủ xem e có bị dư sáp thừa nào k, sau 4 5 tiếng thì e có đi rửa ddvs đàng hoàng mà mặc đồ rộng thoáng mát . Chưa đầy 24h sau thì nó lại nổi mụt nhọt và đỏ hết xung quanh khu vực bimbim của em :(( m.n có ai bị trường hợp này chưa ạ có thể chỉ e cách để nó lặn hết mụt nhọt này k ạ? Đây là lần t2 t3 e wax rồi mà 2 l trc e còn bth tự dưng đến lần t3 này e lại bị như trên làm e hoảng quá ạ. Tks m.n nhiều
#waxing #bikini #mutnhot</t>
  </si>
  <si>
    <t>2019-12-05 12:03:18</t>
  </si>
  <si>
    <t>100043039816739</t>
  </si>
  <si>
    <t xml:space="preserve">#mutnhot #bikini #waxing </t>
  </si>
  <si>
    <t>#trị_mụn
Mấy chị có kinh nghiệm có thể giúp em với được không ạ😰😰 Thật sự em không biết phải làm sao để hết mụn nữa. Lúc trước em không bị mụn đâu. Từ hồi đầu năm em đi mổ về da em đổ dầu cực nhiều, lúc đó em vẫn chưa biết chăm sóc da gì hết nên đến giờ da em bị bùng phát mụn kinh khủng. Mấy chị có thể giúp em với được không ạ.😰😰</t>
  </si>
  <si>
    <t>2019-11-29 15:40:08</t>
  </si>
  <si>
    <t>Hồng Sen</t>
  </si>
  <si>
    <t>100025296884014</t>
  </si>
  <si>
    <t>Chào mọi người! Hình ảnh dưới đây là khi mình sài kem tẩy lông iwax được 5 ngày, lúc đầu bôi kem lên khoảng 5-6' thì mình cảm thấy rát nên đã chùi đi và rửa sạch. Lúc vào soi gương xem lại thì vùng da nách mình bị xướt rướm máu và đỏ hết cả lỗ chân lông, nói chung ôiiii rát kinh khủng 🥴 đến giờ thì da vẫn ửng đỏ và nổi vài cục mụn li ti và vài vết thâm, da còn bị tróc sần sùi lên. Mọi người ai có cách gì chỉ mình làm sao da trở lại mịn và hết thâm với ạ !!!
#helpme!</t>
  </si>
  <si>
    <t>2019-10-22 10:16:49</t>
  </si>
  <si>
    <t>Bé Nhân</t>
  </si>
  <si>
    <t>100042400577976</t>
  </si>
  <si>
    <t>Các ce cho em hỏi dùng sp dưỡng da nào mà trắng được da mặt nhỉ 😢😢 Mặt em đen lì lun huhu chả bt dùng gi trắng da ce cho em xin ý kiến với ạ ❤️
Tks all😍😍</t>
  </si>
  <si>
    <t>2019-11-05 00:54:11</t>
  </si>
  <si>
    <t>100015759096058</t>
  </si>
  <si>
    <t>#ask #xịtbodymist
Hello mọi người.
Có ai trong group mk thích xịt body mist ko ạ? Em thích người có mùi thơm mà dễ chịu chút chứ nước hoa nồng quá. Em đang tham khảo của victoria secret và bath and body work nhưng nhiều mùi quá em ko biết chọn mùi nào.
Em thích mùi hơi ngọt ngọt và nhẹ nhàng ngửi nó fresh ấy ạ.
Ai dùng rồi thì chia sẻ giúp em nha.
Em cảm ơn mọi người.</t>
  </si>
  <si>
    <t>2019-08-27 13:41:02</t>
  </si>
  <si>
    <t>Bíchh Phươngg</t>
  </si>
  <si>
    <t>100016285512761</t>
  </si>
  <si>
    <t xml:space="preserve">#xịtbodymist #ask </t>
  </si>
  <si>
    <t>Help me!!! Em không bị mụn ở má. Chỉ bị ở cằm với dìa tóc. Dạo này tháng không đều đặn. E có mua thuốc điều hòa nội tiết tố + giải độc gan uống. Nhưng k đỡ. E có bôi ngoài. Từ hirusca đến mấy thứ khác. Nhưng vẫn k đỡ. E có rửa mặt bằng cetaphil. Ai cho em lời khuyên với ạ 😥</t>
  </si>
  <si>
    <t>2019-12-16 15:06:20</t>
  </si>
  <si>
    <t>Luong Luong</t>
  </si>
  <si>
    <t>100015823745930</t>
  </si>
  <si>
    <t>Các chị đẹp cho em xin tên những loại colagen của hàn hoặc nhật ok đi ạ? Em thấy mng dùng nhiều loại colagen lemona này quá không biết có hiệu quả không? Và cho em hỏi thêm sinh xong cho bé bú thì đã dùng được chưa mng nhỉ???
#colagen</t>
  </si>
  <si>
    <t>2019-11-08 15:10:24</t>
  </si>
  <si>
    <t>Nguyễn Ngọc Hà Thanh</t>
  </si>
  <si>
    <t>100009602839139</t>
  </si>
  <si>
    <t xml:space="preserve">#colagen </t>
  </si>
  <si>
    <t>Mình bị viêm lỗ chân lông, kèm theo thâm nặng da chỗ viêm.Tự ti kinh khủng lun.Sắp tới có chuyến đi chơi thấy người ta đầm váy mà ham.Mọi người có cách nào giúp mình kh. Sản phâm trị viêm thì mình cũng sử dụng nhiều cách rồi, nó đỡ bớt ít.Nhưng còn thâm thì khó quá.
#viemlochanlong
#tritham</t>
  </si>
  <si>
    <t>2019-11-30 04:46:37</t>
  </si>
  <si>
    <t>Han Joo</t>
  </si>
  <si>
    <t>100015133155252</t>
  </si>
  <si>
    <t xml:space="preserve">#tritham #viemlochanlong </t>
  </si>
  <si>
    <t>#help #daugoi #khongsulfate #khongsilicone
Mình đang tìm kiếm dầu gội không Sulfate không silicone. Cả nhà có dòng nào giới thiệu mình với.
Hiện tại mình đang dùng Sheamoisture nhưng đã hết và đang chờ order về nên muốn tìm loại nào đó dùng tạm nên k muốn dùng loại đắt.
Mình có nghiên cứu về Tigi nhưng thấy thành phần có Sulfate và Silicone nên k muốn dùng.
Moroccanoil thì đắt (hơn 1tr 1 cặp)
Cảm ơn cả nhà.</t>
  </si>
  <si>
    <t>2019-09-18 13:19:41</t>
  </si>
  <si>
    <t>Kuzuki Kakyou</t>
  </si>
  <si>
    <t>100004388342648</t>
  </si>
  <si>
    <t xml:space="preserve">#khongsilicone #khongsulfate #daugoi #help </t>
  </si>
  <si>
    <t>#auth #fake #Esteelauder 
Mấy chị ơi check hộ em lọ này auth hay fake với ạ 😭😭
Ad duyệt bài cho em với, em cảm ơn ạ</t>
  </si>
  <si>
    <t>2019-12-23 16:14:38</t>
  </si>
  <si>
    <t>100008651947846</t>
  </si>
  <si>
    <t xml:space="preserve">#Esteelauder #fake #auth </t>
  </si>
  <si>
    <t>#hoi
❤ Cảm ơn ad duyệt bài ❤
Đây là mặt, tay, chân của em gái mình khi bị té xe * sơ sơ * , và bị giống trong hình , " khi té em gái mình rất thông minh lấy mặt ra đỡ nên cái mặt giờ không ai nhìn ra "
Hiện vết thương còn đang chảy nước vàng và chưa khô , mặt và mắt sưng lên
Mình muốn hỏi mấy chị em trong group nên sử dụng kem hay thuốc gì để không bị để lại sẹo và thâm ạ
Em gái mình 15t và còn đi học,  quan trọng là 3 tháng nữa là đến tết,  mặt mày mà bị sẹo thâm nữa chắc nó khóc chết 
💋 Cảm ơn trước ạ</t>
  </si>
  <si>
    <t>2019-09-22 09:08:16</t>
  </si>
  <si>
    <t>Thang Kim Thảo</t>
  </si>
  <si>
    <t>100009430534260</t>
  </si>
  <si>
    <t xml:space="preserve">#hoi </t>
  </si>
  <si>
    <t xml:space="preserve">
Hi cả nhà có ai dùng em này chưa ạ? Cho em ít review với !!!</t>
  </si>
  <si>
    <t>2019-11-02 09:40:06</t>
  </si>
  <si>
    <t>100027726330880</t>
  </si>
  <si>
    <t>#tuvan
Chào mng, năm nay e 22 tuổi. Trước h chỉ dùng srm &amp; mask da cũng tạm ổn. Nhưng tầm nửa tháng nay e bị ngứa nổi ít mụn nên dùng thêm toner naruko &amp; sữa dưỡng ẩm shiseido.
Mà hôm nay da mặt e tệ quá. Mng có thể tư vấn cho e nên bổ sung gì ko ạ?</t>
  </si>
  <si>
    <t>2019-11-30 15:23:07</t>
  </si>
  <si>
    <t>An Phuc Vo</t>
  </si>
  <si>
    <t>100013038858305</t>
  </si>
  <si>
    <t>ask #ngontay 
Cho e hỏi ngón tay e bị gì vậy ạ?
Lở 1 lỗ to xong cứ chạm vào là đau, mà không chảy nước chảy mủ gì hết  :(
Chỗ đó không lấy nét được nên ảnh hơi mờ ạ.</t>
  </si>
  <si>
    <t>2019-11-08 04:32:40</t>
  </si>
  <si>
    <t xml:space="preserve">#ngontay </t>
  </si>
  <si>
    <t>#hỏi về cách trị mạch máu trên mặt
Xin phép ad, ngày trước em có dùng kem trộn nên da mỏng tới độ  lộ mạch máu luôn, nên giờ cho em hỏi có cách nào để trị hết những mạch máu   trên mặt em không ạ? chứ ai cũng nhìn em như kiểu sinh vật lạ nên em giờ hết  dám ra đường luôn 😭</t>
  </si>
  <si>
    <t>2019-11-29 08:12:25</t>
  </si>
  <si>
    <t>Nguyễn Khôi Nhi</t>
  </si>
  <si>
    <t>100039603242691</t>
  </si>
  <si>
    <t xml:space="preserve">#hỏi </t>
  </si>
  <si>
    <t>nhà mình cho em hỏi... với da mặt thâm sẹo thế này thi dung loại che khuyết điểm nào thì ổn ạ... 
muốn che nhung vết tích khi đi ăn sn hay đi chơi vs bb ạ... em trước giờ chưa dùng đồ trang điểm nên không biết ạ... 
cận ngày quá mà không biết lm s</t>
  </si>
  <si>
    <t>2019-11-27 06:44:43</t>
  </si>
  <si>
    <t>Hoàng Vi</t>
  </si>
  <si>
    <t>100012533051792</t>
  </si>
  <si>
    <t>#Tócuốn 
Nhờ các bạn có kinh nghiệm với tóc uốn giúp mình với. Lần đầu tiên mình uốn tóc, uốn xong về thì nó như thế này, nhìn cũng ổn, nhưng sau lần đầu tự gội là tóc k còn nếp và nhìn rất xù, k biết do mình hay do thợ làm tóc ạ? Nếu do mình xin các bạn chia sẻ cách chăm sóc tóc uốn với ạ!!! 
Ad duyệt giùm mình với ạ! Thanks ad
Edit: mình đăng thêm ảnh tóc hiện tại, lúc mình uốn có kèm phục hồi luôn ạ, cảm ơn mn góp ý !</t>
  </si>
  <si>
    <t>2019-12-03 09:38:09</t>
  </si>
  <si>
    <t>Thanh Bui</t>
  </si>
  <si>
    <t>100003828316485</t>
  </si>
  <si>
    <t xml:space="preserve">#Tócuốn </t>
  </si>
  <si>
    <t>Mong ad duyệt hộ với ạ
Da mình hiện tại là như vậy
Mình chưa dám sử dụng sản phẩm trị mụn nào hết chỉ dùng nước muối sinh lý để rửa mặt thôi ạ
Lúc trước mình có dùng decumar nhưng không thấy tác dụng nên ngưng ạ
Bây giờ mình nên làm gì để kịp có làn da đẹp để ăn tết đây các bạn ơi 😭😭😭😭</t>
  </si>
  <si>
    <t>2019-11-22 04:37:44</t>
  </si>
  <si>
    <t>Hưng An</t>
  </si>
  <si>
    <t>100005056272138</t>
  </si>
  <si>
    <t>#tuvan
Hello cả nhà , hiện mình vẫn còn đang loay hoay tìm kem dưỡng ẩm cho làn da khó chìu của mình 😥😥, cả nhà có ai sử dụng hai sản phẩm này chưa ạ , có thể review cho mình với , luôn tiện mọi người tư vấn cho em kem dưỡng ẩm ban đêm cho dạy nhạy cảm với ạ 😭😭😭😭</t>
  </si>
  <si>
    <t>2019-10-04 02:23:08</t>
  </si>
  <si>
    <t>Nguyễn Bee</t>
  </si>
  <si>
    <t>100028078482752</t>
  </si>
  <si>
    <t xml:space="preserve">Không biết bạn mình ở đâu ra mà xài cái bà lão bà lão này, mà lại còn đi bán loại sirum này nữa chứ, mấy đứa bạn mình không rõ cái này là kem trộn cứ đi PR cho nó suốt rồi còn đem bán nữa 😞 làm sao để cho bạn mình cũng như mọi người hiểu rõ đây là kem trộn đây?
</t>
  </si>
  <si>
    <t>2019-11-07 00:37:27</t>
  </si>
  <si>
    <t>Lê Bá Trọng Nghĩa</t>
  </si>
  <si>
    <t>100012825225831</t>
  </si>
  <si>
    <t>Mong các bạn chỉ giúp mình với ak. Mình uốn mi chắc tầm gần 2 tháng , nhưng nửa tháng nay  mắt bên mi cong ra nhiều gen với đỏ hết mắt ( nhìn ngoài đỏ hơn trong ảnh nhiều) bị 1 hôm lại đỡ 4-5 ngày xong lại bị lại . Đã 4-5 lần. Mình cũng lo nên hỏi bạn uốn cho mình thì bạn kia bảo nếu bị đã bị hôm đầu tiên . Mà mắt mình k bôi gì k trang điểm k nhỏ 1 cái gì. Uốn mi xong keo còn dưới chân mi nên giờ thế này. Mong cả nhà chỉ mình làm thế này để rửa sạch mi ak, mắt thì mình đang nhỏ thuốc .( mình chưa đi khám được mình ở nước ngoài thẻ mình hết hạn phải đợi mô giới làm thẻ)      # đẹp chanh sả</t>
  </si>
  <si>
    <t>2019-12-16 08:47:02</t>
  </si>
  <si>
    <t>Lynda Lê</t>
  </si>
  <si>
    <t>100037952495250</t>
  </si>
  <si>
    <t xml:space="preserve">
#ask
#memmuottoc
Mọi người ơi mình tóc gốc tre được cái khỏe nhưng rất cứng.  Mọi người có dầu gội dầu xả hay cách nào giúp mình với ạ.   Cảm ơn cả nhà nhìu.</t>
  </si>
  <si>
    <t>2019-07-20 07:29:52</t>
  </si>
  <si>
    <t>Ngọc Bình</t>
  </si>
  <si>
    <t>100034606893643</t>
  </si>
  <si>
    <t xml:space="preserve">#memmuottoc #ask </t>
  </si>
  <si>
    <t>#helpme
Mọi người ơi check giúp em chai toner Thayers này với ạ :((( em mới vừa mua, vì ko tiện oder trên mạng nên đã ghé shop mỹ phẩm để mua :(( nhưng mà cảm giác nó fake fake kiểu gì ý ạ :(((
- ở đáy chai là số 2 đấy ạ :(((</t>
  </si>
  <si>
    <t>2019-11-27 00:44:56</t>
  </si>
  <si>
    <t>Right Meo</t>
  </si>
  <si>
    <t>100037315065615</t>
  </si>
  <si>
    <t>#triseo 
Mong ad phê duyệt bài giúp em với ạ :(( Em bị 2 cái sẹo trắng này ở môi lâu r ạ tại lần trước e tẩy nốt ruồi. Ở ngoài nhìn rõ lắm ạ bao giờ nói chuyện cũng bị tự ti 😔Mn có tips nào trị sẹo trắng ở hình k ạ mách em với 😭😭😭</t>
  </si>
  <si>
    <t>2019-12-07 08:02:29</t>
  </si>
  <si>
    <t>(Ad duyệt bài giúp ạ)
Chào cả nhà ! M có 2 vđề cần giúp đỡ ạ
1/ Da chân ntn thì phải làm sao để cải thiện ạ
2/ Mặt m da hơi nhờn, có mụn ẩn và đang điều trị tàn nhang. Mình nên xài tẩy trang và toner nào phù hợp ạ
Cảm ơn mn!</t>
  </si>
  <si>
    <t>2019-12-18 01:59:50</t>
  </si>
  <si>
    <t>Phương Nhi</t>
  </si>
  <si>
    <t>100004920330123</t>
  </si>
  <si>
    <t>Chào mn. (Mình 21 tuổi) 
Tóc của mình lúc trước  rất khỏe và dày. Nhưng mới 1 tháng nay từ khi mình đổi sang dầu gội ( Thorakao hoa bưởi) vì thấy mn trên group bảo xài tốt. Sau khi đổi thì tóc mình rụng rất nhiều, sơ và yếu đi hẳn(lấy tay vuốt thôi là y rằng rụng một mớ)Dù mình đã chuyển sang dầu gội khác cũng như ủ tóc sau khi gội. Nhưng vẫn không có dấu hiệu tóc dừng rụng. Bây giờ tóc mình còn có tí xíu, mình cũng k dám gội đầu hay chải đầu nhiều .Có ai có cách nào để ngưng rụng hay kích mọc tóc k ạ? Chứ cứ tầm vậy chắc 1 tuần nữa chắc hết mất tóc!
HELP😥</t>
  </si>
  <si>
    <t>2019-11-10 06:13:36</t>
  </si>
  <si>
    <t>Yến Phụng</t>
  </si>
  <si>
    <t>100005120078076</t>
  </si>
  <si>
    <t>#ask #duongam
Chào mọi người. Em muốn xin review về 2 loại dưỡng ẩm là Serum trị mụn, trắng sáng da The Ordinary Niacinamide 10% + Zinc 1%  và dưỡng ẩm trà xanh của innisfree ạ. Theo mọi người em nên dùng cả hai hay chỉ một loại ạ? Da em thuộc da dầu và mụn nội tiết ạ
Em cảm ơn!</t>
  </si>
  <si>
    <t>2019-09-23 12:00:37</t>
  </si>
  <si>
    <t>Phương Kèn</t>
  </si>
  <si>
    <t>100012197505842</t>
  </si>
  <si>
    <t xml:space="preserve">#duongam #ask </t>
  </si>
  <si>
    <t>❤️TẨY TRANG KHĂN NÓNG - Hot Cloth Cleansing
🔆PP này dành cho ai?  
- Dành cho bạn nào muốn tẩy trang sạch với dầu nhưng lại e ngại bít tắc LCL gây mụn ẩn  
- Dành cho bạn nào có vấn đề với tuyến bã nhờn, LCL to, mụn đầu đen tái đi tái lại  
- Dành cho bạn nào thường xuyên tiếp xúc với khói bụi, ô nhiễm, thường xuyên phải trang điểm đậm  
- Dành cho bạn nào không có thời gian làm sạch da nhiều bước  
🔆Thao tác tiến hành:  
-Thoa dầu/ sáp tẩy trang lên da khô, mát xa nhẹ nhàng cho tan lớp makeup và dầu thừa  
-Dùng khăn mặt thấm nước nóng già (tầm 40 độ C sao cho tay cảm thấy nóng nhưng không bỏng), vắt khô, đắp nhẹ lên da, giữ trong vòng 15-20 giây (định lượng này chỉ mang tính tương đối, đắp đến khi nào bạn thấy khăn nguội dần là được)  
-Lau nhẹ khăn lên da theo chuyển động miết thẳng, hướng lên trên, chính là đang chùi đi lớp dầu bẩn. Riêng những vùng ngóc ngách như mũi, cằm có thể vừa xoay tròn nhỏ vừa ấn, nặn để sợi bã nhờn ra hết  
-Lặp lại thao tác này tầm 4-5 lần cho tới khi lớp dầu tẩy trang được loại bỏ, da thoáng và sạch Như vậy, hot cloth cleansing và double cleansing đều giống nhau ở điểm sử dụng sản phẩm tẩy trang dạng dầu để lợi dụng cơ chế “dầu hòa tan dầu” nhằm làm sạch triệt để từng LCL.  
👌KHÔNG NHŨ HÓA VỚI NƯỚC chính là điểm khác biệt lớn nhất giữa hai phương pháp. Thông thường nếu tẩy trang với cleansing oil, bước nhũ hóa là bước các bạn cảm thấy mông lung nhất: bao nhiêu nước cho đủ, mát xa đến bao giờ, rửa sao cho sạch hết? Nếu không làm chuẩn bước này, nặng thì dầu đọng lại làm bít tắc LCL, gây mụn, nhẹ thì cảm giác nhờn nhờn khó chịu trên da
👏Hot cloth cleansing hoạt động theo cơ chế nhiệt làm tan dầu. Hãy tưởng tượng nôm na giống như bạn rửa bát bằng nước nóng vậy, bao nhiêu dầu mỡ bám bẩn đều trôi cái vèo đó thôi. 
👌Ngoài ra, việc đắp khăn nóng còn mang lại nhiều lợi ích cho da như là:  
- Giúp LCL “nở” ra, dầu tẩy trang dễ dàng xâm nhập để cuốn trôi cặn bẩn  
- Giúp da chết ngậm nước, mềm ra, kết hợp với ma sát từ khăn vải sẽ giống như đang scrubing nhẹ nhàng  
- Giúp bã nhờn dư thừa đọng trong LCL cũng bị lỏng hóa, dễ dàng bị loại bỏ  
- Nhiệt giúp cơ trên mặt được thả lỏng, thư giãn, hỗ trợ tuần hoàn máu -&gt; giống như liệu pháp xông hơi giản lược vậy  
✍️Một số lưu ý khi lựa chọn sản phẩm dùng cho phương pháp này:  
- Chỉ áp dụng với các sản phẩm tẩy trang nền dầu như là cleansing oil/balm/cream 
-Khăn mặt nên chọn loại mềm, nhẹ. Mình dùng khăn sữa em bé rất ưng vì nó mềm, sợi dệt thưa nên ma sát không quá cứng, khăn mỏng cũng nhanh khô nên rất vệ sinh. Và rất rẻ nữa chứ. Tuyệt đối không sử dụng khăn giấy ướt nhé. 
- Sau khi lau với khăn nóng có cần rửa lại sữa rửa mặt không? Có hoặc không! Có nếu như da bạn rất dầu, không nếu như da bạn khô. Và cẩn thận hơn thì có thể lau lại với nước tẩy trang micellar water và tráng qua với nước sạch.  
- Cho dù bạn có thuộc tuýp người bị ám ảnh vấn đề vệ sinh đi chăng nữa thì cũng chỉ nên áp dụng PP này buổi tối thôi nhé. Nếu da nhạy cảm thì thỉnh thoảng mới làm nghen. 
- Hết sức nhẹ nhàng với vùng da mắt mỏng manh nhé 
✨ Bonus:  Cách làm sạch bằng khăn nóng còn có thể áp dụng đối với mặt nạ đất sét/mặt nạ bùn cũng rất hiệu quả nữa đó. Thông thường chỉ sau vài phút đắp trên da, lớp mask sẽ khô cứng và bám chặt vào từng LCL, phải rửa thật lâu với nước mới có thể sạch hết. Nhưng nếu dùng khăn nóng thì chỉ cần vài đường lau nhẹ là lớp bùn như keo kia sẽ tự động mềm ra và cuốn sạch. Hiệu quả làm sạch dầu thừa và sợi bã nhờn cũng xuất sắc không kém đâu nha
Nguồn: Bánh Bèo Phù Phiếm</t>
  </si>
  <si>
    <t>2019-10-14 07:10:33</t>
  </si>
  <si>
    <t>Liên Ngọc</t>
  </si>
  <si>
    <t>100002368777128</t>
  </si>
  <si>
    <t>#Ask
#Help
#Mongadduyet
Mọi người ơi cho em hỏi đã có ai triệt lông mặt chưa vậy? Da mình có mụn ẩn bị thâm và k đều màu lcl nhiều to lông cực nhiều thì có nên triệt k ạ. Mình tính đi nặn mụn rồi triệt luôn có đc k ạ.</t>
  </si>
  <si>
    <t>2019-12-25 04:11:08</t>
  </si>
  <si>
    <t>Nhân Mã</t>
  </si>
  <si>
    <t>100027417859959</t>
  </si>
  <si>
    <t>Mình có đứa cháu bị thâm cổ bẩm sinh . Mn có bài thuốc dân gian hay dược liệu nào giúp bớt thâm thì chỉ giúp mình, gia đình đã đi da liễu nhưng k bớt . Bây giờ cháu k biết thì k sao chứ lớn lên biết rồi lại mặc cảm 😢. Cảm ơn cả nhà</t>
  </si>
  <si>
    <t>2019-11-19 13:03:22</t>
  </si>
  <si>
    <t>100003804960798</t>
  </si>
  <si>
    <t>Mọi người ơi em bị mụn ẩn, dạo này hay xông và đi lấy nhân mụn, da em thuộc da hỗn hợp dầu vùng chữ T ấy, mọi người review giúp em 1 số loại kem dưỡng ẩm và kem chống nắng hợp da mặt em với ạ :(((((</t>
  </si>
  <si>
    <t>2019-11-23 01:00:31</t>
  </si>
  <si>
    <t>Bảo Linh</t>
  </si>
  <si>
    <t>100005298071992</t>
  </si>
  <si>
    <t>Rấtvmong ad duyệt bài của rm ạ 
Mn ơi cho em hỏi môi mẹ em đi phun về lúc bong rất đỏ sau một tuần thì bị thâm loang thế này là bị lsao ạ 😢😢 
Mong ad duyệt bài hộ em . Em cảm ơn mn ạ</t>
  </si>
  <si>
    <t>2019-12-09 00:30:31</t>
  </si>
  <si>
    <t>Tùng Thanh Hoàng</t>
  </si>
  <si>
    <t>100009582221503</t>
  </si>
  <si>
    <t>Do có nhiều người thân trong nhóm nên em xin dùng nick ảo ạ!
Mọi người cho em xin 1 vài sp làm sạch da và trị mụn ẩn được không ạ? Em còn nhỏ không makeup gì nhiều chỉ có bụi bẩn thôi ạ:((( với da chân em bị khô rồi có thâm do sẹo để lại nữa, mọi người giúp em với hic :((
Da em là da hỗn hợp thiên dầu ạ
#skincaređepchanhsa #trithamđepchanhsa #trimunđepchanhsa</t>
  </si>
  <si>
    <t>2019-11-29 11:08:30</t>
  </si>
  <si>
    <t>100025792923939</t>
  </si>
  <si>
    <t xml:space="preserve">#trimunđepchanhsa #trithamđepchanhsa #skincaređepchanhsa </t>
  </si>
  <si>
    <t>#isispharma #suaruamat #cleanser #isispharmateendermgel
Mong ad duyệt bài ạ!
Chào mọi người ạ, cho em hỏi có ai trong group từng sử dụng chai sữa rửa mặt này bao giờ chưa ạ? Hôm nọ em có thấy chị Na Vi trên youtube có recommend chai srm này dành cho da dầu mụn, nhạy cảm. Em thuộc tuýp da đó và đang tham khảo dòng srm này ạ! Anh/chị nào dùng rồi cho em xin cảm nhận với ạ! Cảm ơn mọi người</t>
  </si>
  <si>
    <t>2019-10-26 14:25:18</t>
  </si>
  <si>
    <t>Nguyễn Tuấn Trung</t>
  </si>
  <si>
    <t>100010169830897</t>
  </si>
  <si>
    <t xml:space="preserve">#isispharmateendermgel #cleanser #suaruamat #isispharma </t>
  </si>
  <si>
    <t>Cho mình hỏi môi mình thoa son lên ma sơn chỉ bám 2 vành vậy thôi. Mn ai bt chỉ mình với.
Ad duyệt bài giúp e ạ</t>
  </si>
  <si>
    <t>2019-12-17 09:55:57</t>
  </si>
  <si>
    <t>Cẩm Thúy</t>
  </si>
  <si>
    <t>100015340530897</t>
  </si>
  <si>
    <t>Mấy chế ơi . Help me với
Mắt e bị thâm quầng v nè ngoài nó đậm hơn xíu có cách nào hết không ạ 🤒🤒🤒
Chứ làm xuống sắc mặt quá huhu
#đepchanhsa #quangthammat</t>
  </si>
  <si>
    <t>2019-12-16 07:17:27</t>
  </si>
  <si>
    <t>Lý Mỹ Như</t>
  </si>
  <si>
    <t>100034362669586</t>
  </si>
  <si>
    <t xml:space="preserve">#quangthammat #đepchanhsa </t>
  </si>
  <si>
    <t>em đang tính mua serum cc vitamin melano của nhật dùng.
dùng loại này trắng da không ạ... 
da em bình thường hơi khô tí chứ không dầu
mọi người tư vấn giúp em với. em cảm ơn</t>
  </si>
  <si>
    <t>2019-11-28 11:14:15</t>
  </si>
  <si>
    <t>#ask #goctuvan #triseo 
Mn ơi e cọ bị bỏng nước sôi vào đầu năm giờ để lại sẹo thâm, thì giờ dùng sản phẩm nào để giảm vết thâm ạ 
E có bôi nghê tươi được 2 tuần và sau đó e dùng hiruscar được hơn 1 tháng (2 tuýp)   thì nó chỉ mờ đi những vết thâm nhỏ và e thấy k có tác dụng ấy thì e chuyển sang contractubex những vẫn k thấy hiệu quả gì
Mn ai biết dùng sản phẩm gì hay điều trị ở đâu giảm sẹo thâm chỉ e với ạ 
Em cảm ơn</t>
  </si>
  <si>
    <t>2019-05-04 14:45:25</t>
  </si>
  <si>
    <t>Thanh Byeon</t>
  </si>
  <si>
    <t>100004783004234</t>
  </si>
  <si>
    <t xml:space="preserve">#triseo #goctuvan #ask </t>
  </si>
  <si>
    <t>Mấy anh chị ơi cho em hỏi vs ạ Mắt Em Bị Thâm , da em bị sần , mụn li ti, da dầu , lỗ chân lông to vs hong đc trắng nữa ạ ..có cách nào cho da em mịn trắng Mắt Hết thâm hong ạ ... Da e trước có sài tái tạo da bà lão ạ ..em nghỉ xài cũng gần 1 năm rồi . có cách nào chỉ em vs .</t>
  </si>
  <si>
    <t>2019-12-17 13:09:50</t>
  </si>
  <si>
    <t>Hồ Văn Lắm</t>
  </si>
  <si>
    <t>100020347119741</t>
  </si>
  <si>
    <t>Chào mọi người ạ! 
Em muốn hỏi, chị em nào bị nóng trong hay nổi mụn sưng đỏ như em chưa? Em đã uống nhiều loại giải độc, mát gan. Nhưng em chưa tìm được loại nào tốt và phù hợp.
Nên em muốn xin ý kiến mn loại thuốc mát gan, giải độc nào tốt ạ?</t>
  </si>
  <si>
    <t>2019-11-29 07:44:05</t>
  </si>
  <si>
    <t>An Bình</t>
  </si>
  <si>
    <t>100035520228096</t>
  </si>
  <si>
    <t>Em cao 1m6 nặng 60kg. Tết đag đến gần, anh chị e trog Gr có thể chia sẻ cho e ít cách phối đồ mặc cho đỡ béo vs lại là cách ăn kiêg vs đc k ạ. E có theo das đc 1 t.g nhưg do cv nên k kiên trì đc. M.n có thể chia sẻ giúp e vs đc k ạ</t>
  </si>
  <si>
    <t>2019-12-22 13:31:49</t>
  </si>
  <si>
    <t>Nga Nguyen</t>
  </si>
  <si>
    <t>100010868708740</t>
  </si>
  <si>
    <t>#toc #ask #chamsoctoc #daugoi
Tóc mình vừa khô vừa xơ vừa dày. Mình cũng đã tính mua Tigi dùng mà sợ không biết phân biệt mua nhầm hàng giả, giờ nhiều nơi lấy vỏ lọ xịn rồi đóng hàng dởm vào thì cũng k biết chất lượng như nào luôn. Mình muốn hỏi mọi người tư vấn giúp mình nên lựa chọn và sử dụng loại dầu gội-dầu dưỡng nào để cải thiện độ mềm mượt của tóc, và,cách phân biệt hàng thật, hàng giả của các loại dầu gội nữa ạ. Mình cảm ơn nhiều!</t>
  </si>
  <si>
    <t>2019-09-06 02:37:14</t>
  </si>
  <si>
    <t>Diệp Là Lá</t>
  </si>
  <si>
    <t>100005245123786</t>
  </si>
  <si>
    <t xml:space="preserve">#daugoi #chamsoctoc #ask #toc </t>
  </si>
  <si>
    <t>Mong được duyệt bài #rungtoc
Mng ơi giúp đỡ e với ạ. E chưa sinh đẻ gì vài tháng nay e rụng tóc rất nhiều lần nào gội cũng 1 nắm tóc ngày có khi rụng 300 sợi luôn ấy rất lo lắng và có đi khám thì tìm chẳng ra nguyên nhân gì, mà sợi chân tóc rất yếu rụng cả chân đầu trắng ntn kia, e đã thay đổi rất nhiều dầu gội mà k có kết quả, uống thuốc bs kê thì bị đau bụng và tiêu chảy. Ai có cách gì chữa hết rụng tóc ko ạ</t>
  </si>
  <si>
    <t>2019-08-16 13:17:13</t>
  </si>
  <si>
    <t>Sarah Sarah</t>
  </si>
  <si>
    <t>100039669677393</t>
  </si>
  <si>
    <t>#Ask #Garnier #Fakeorauth
Xin chào mọi người, hôm này em đăng bài mong mọi người giúp em check xem chai tẩy trang Garnier là fake hay auth với ạ. :((( Em đã dùng qua 3 chai tẩy trang garnier màu hồng nhạt kiểu này rùi mà em mua ở guardian bên Sing, giờ hết em có mua với 1 shop ở chỗ em ở. 3 chai đầu em dùng thì rất thích, không mùi và không bị bết bết hay dính mặt. Chai mới này em dùng lúc mở nắp ra ngửi thì không có mùi gì, nhưng lúc cho ra bông tẩy trang thì có mùi xà phòng rất hắc như xà phòng thổi bong bóng của trẻ con ấy ạ. :((( Dùng xong mặt em cũng bị dính dính. Em đã có nhắn tin với shop thì họ cho em đổi nhưng cũng không kết luận là auth hay fake chỉ nói là Garnier nhiều nhiều bản ở các nước khác nhau và cái đấy em cũng có biết rồi ạ. :(( Nên em mạn phép lên hỏi các chị, nếu là auth thì em sẽ không đổi nữa không lại thiệt cho shop hix còn là fake thì em sẽ đổi sang loại khác vậy uhu. Em cảm ơn ad và mọi người nhiều ạ.</t>
  </si>
  <si>
    <t>2019-11-01 03:36:13</t>
  </si>
  <si>
    <t>Nông Huyền Diệu</t>
  </si>
  <si>
    <t>100015829022787</t>
  </si>
  <si>
    <t xml:space="preserve">#Fakeorauth #Garnier #Ask </t>
  </si>
  <si>
    <t>#Ask #review mấy chị em có ai sử dụng viên cấp nước này chưa ạ. Cho em xin ít review với ạ
Da e ngăm đen và hơi khô có ít tàn nhang em đã bắn laser khoảng hơn 1 năm nay và cũng hết sạch sẽ da đẹp cực kì. Nhưng gần đây em thấy có vẻ như nó đang dần xuất hiện trở lại và có vẻ nhiều hơn trước. Nghe mọi người chỉ uống viên này và 1 số loại nữa nên không biết sao. Nhờ các chị thông thái giúp em với</t>
  </si>
  <si>
    <t>2019-03-10 15:56:18</t>
  </si>
  <si>
    <t>100005824865682</t>
  </si>
  <si>
    <t xml:space="preserve">#review #Ask </t>
  </si>
  <si>
    <t xml:space="preserve">
Mọi người cho mjh hỏi .đã có ai sử dụng viên collagen này bôi mặt chưa ạ .
Da thâm .và 1 ít mụn bôi diferin nó sưng đỏ.nhưng thâm nhiều ạ .do lên mụn ít nhưng hết để thâm .da nhìn ko đẹp ạ.
Nay phát hiện có collagen này .mjh lên sợt trên nhóm ko thấy thông tin .nên mạn phép hỏi xem mn ai bit và sử dụng chưa ạ .
Xin cám ơn ad duyệt ạ .
Tiếp đến là cho mjh xin ý kiến là .mjh có nên mua tuýt này chấm những nốt mụn trên mặt ko ha mn .
Mjh có dùng diferin chấm nốt mụn mà cảm thây nó ko hiệu quả với da mình mn ạ.
Xin thêm hình cho mn thấy da mjh tệ ntn luôn .giờ có nên xài qua rentin-a ko mn .bôi diferin mà ko đỡ gì hết .cộng thêm tàn nhang gò má trái .
Thâm li ti khắp mặt .chán thì mụn ẩn.vài em mụn viêm ở má .da sỉn màu .</t>
  </si>
  <si>
    <t>2019-12-16 13:10:21</t>
  </si>
  <si>
    <t>Diệp Diệp</t>
  </si>
  <si>
    <t>100037826077548</t>
  </si>
  <si>
    <t>Đơn vị tính bằng tấn. Ghê quá
#Anti #DoTron</t>
  </si>
  <si>
    <t>2019-12-06 01:00:18</t>
  </si>
  <si>
    <t xml:space="preserve">#DoTron #Anti </t>
  </si>
  <si>
    <t>#ask#chăm sóc da
E đăng bài lần đầu mong ad duyệt
Các chị đẹp cho e hỏi, trước giờ e chỉ xài nc tẩy trang, kem dưỡng và kcn, giờ e muốn tìm sữa rửa mặt, tonner, serum phù hợp với da và các bước chăm sóc da luôn ạ
Da e thuộc da ko mụn, bị dầu ở vùng chữ T, mặt có vài nốt tàn nhang và đồi mồi với vùng da ko đều màu
Kem dưỡng e đang xài kem trị nám Dongsung hàn quốc
Kcn là innisfree nosebum
Lần đầu đăng bài có gì sai và thiếu mn bỏ qua nhé</t>
  </si>
  <si>
    <t>2019-07-29 05:05:35</t>
  </si>
  <si>
    <t>Diệp Nhược Hàn</t>
  </si>
  <si>
    <t>100004049690623</t>
  </si>
  <si>
    <t xml:space="preserve">#chăm #ask </t>
  </si>
  <si>
    <t>#TUVAN 
Chào mọi người ạ.
Em là mem mới.
Mọi người tư vấn giúp em với.
Khoảng 1.5 tháng trước em bắt đầu sử dụng Mai Thảo Mộc, do em đi spa nặn mụn sau thì bị kích ứng, nổi mụn lên rất nhiều ( mụn đỏ nhưng k có mủ), em bị mụn ẩn.
 Xong em được người khác giới thiệu sd MTM, sd được khoảng 1tuần thì mụn giảm hẳn, mụn ẩn được đẩy lên, em lau bằng toner là đi hết. Em đi nặn mụn người ta cũng nói nặn dễ. Hiện tại thì da em bớt mụn hẳn đi. Mà em nghe phốt MTM nên em sợ, em giảm tần suất sd lại.
Hiện tại thì em đang dùng:
- Srm cetaphil
- Toner mamonde ( tinh chất rau diếp cá)
- Sr MTM ( 1 tuần/ 2lần) hiện tại em vẫn đang dùng vì sợ ngắt ngang da k quen.
- Kem dưỡng của some by me
Anh chị tư vấn cho lời khuyên với cách dưỡng da đi ạ :((((. Da em dễ bị kích ứng lắm ạ T.T</t>
  </si>
  <si>
    <t>2019-10-22 07:20:16</t>
  </si>
  <si>
    <t>Diễm Đặng</t>
  </si>
  <si>
    <t>100009955902793</t>
  </si>
  <si>
    <t xml:space="preserve">#TUVAN </t>
  </si>
  <si>
    <t>#makeup #makeuplook                Hello mọi người,,, hnay em lại xuất hiện với tone make up đi dạo phố ngây thơ, sương mai, trong veo  đây ạ 😂❤️ 
List sản phẩm em dùng:
💢 dưỡng cấp ẩm Clinique gel
💢 kem lót Hourglass
💢 nền Tension Missha
💢 phủ RCMA
💢 chân mày chì xé
💢 màu mắt bảng Colourpop Orange
💢 Mascara Maybelline Hyper Curl
💢 son Clio Mad Matte 
💢 contact lens Dolleyes Elixir</t>
  </si>
  <si>
    <t>2019-12-06 13:19:53</t>
  </si>
  <si>
    <t>Đặng Mai Anh</t>
  </si>
  <si>
    <t>100003991659157</t>
  </si>
  <si>
    <t xml:space="preserve">#makeuplook #makeup </t>
  </si>
  <si>
    <t>Help me 😿
Tóc mái của mình bị ngả xéo quả 1 bên. Có cách nào thẳng lại ko ạ.  Nếu kéo ra thì phần tóc mọc dài r cũg sẽ lại xéo như cũ 😿(trước kia thì ko có, dau 1 time để mái dài bgio cắt lại thì bị v) 😿. Mình cắt tóc mái đc gần 1 năm r ạ 🙁</t>
  </si>
  <si>
    <t>2019-12-09 15:37:34</t>
  </si>
  <si>
    <t>100038970518921</t>
  </si>
  <si>
    <t>Mọi người ơi cho em hỏi mới cắt mắt được 1 tháng sao đường mí mắt bị đỏ vậy ạ. Lúc đầu đẹp và đều nhưng sau cắt chỉ được 1 thời gian bị đỏ ở mí mắt và nếp mí bị bung ra ạ 🤕
#ASK</t>
  </si>
  <si>
    <t>2019-12-09 10:37:44</t>
  </si>
  <si>
    <t>Bạn Dãnh</t>
  </si>
  <si>
    <t>100035996341082</t>
  </si>
  <si>
    <t>#Funny 
Cre : Top Cmt</t>
  </si>
  <si>
    <t>2019-12-17 06:25:12</t>
  </si>
  <si>
    <t>xin phep ad duyệt bài hộ em với 
e bị mụn khoảng ba tháng đổ lại đây .bắt đầu cắt mái bị nóng lên mụn trán xong r thinh thoang ăn đêm thức khuya . xong một đợt e trị mụn bằng thuốc bên spa mùi giống sâm sâm n hơi bong troc da . sau cung đẹp lên xíu ma e sợ da mỏng k bôi nua . kể tu đó cứ lên vậy thôi . xong khoang độ tháng gan đây e bôi tuyp tri mụn kia n đẩy nhân mụn lên .có hết bớt xong lai mọc lên . hqua đi nặn mụn đêm qua e thuc khuya xíu ma chính chỗ nặn hqua lai lên đống mụn . cằm bị thâm huhu . bùn quá . các c co the chia se e các cách chăm soc da đầy đủ vs nên su dụng sp gi ko ạ . e cảm ơn nhiuuuu chứ nhìn mặt buồn quá 😭😭😭😭 
xin đừng bơ e 😭😭😭</t>
  </si>
  <si>
    <t>2019-12-02 00:25:25</t>
  </si>
  <si>
    <t>100003970671412</t>
  </si>
  <si>
    <t>E năm nay học lớp mười ạ.
Da em là da dầu, nhiều mụn, còn cả lỗ chân lông khá to. Em bắt đầu bị mụn từ năm lớp sáu, nổi dần ở trán và giờ là toàn cả mặt. Vì là học sinh nên không có nhiều tiền dùng mỹ phẩm này kia, em chỉ thường xuyên rửa mặt với uống nhiều nước nhưng mụn vẫn càng lên nhiều.
Em bình thường béo đã khá tự ti nay gương mặt lại chi chít mụn thật sự buồn lắm ạ. Mong anh chị giúp em với ạ.</t>
  </si>
  <si>
    <t>2019-11-25 13:55:14</t>
  </si>
  <si>
    <t>Gấu Mon</t>
  </si>
  <si>
    <t>100025727861839</t>
  </si>
  <si>
    <t xml:space="preserve"> #mặtnạthiênnhiên
Top review mặt nạ thiên nhiên mà mn thích nhất. Mình thì thích khoai tây nghiền + sữa tươi 🌼👍👍
( #review: mình chỉ mới bắt đầu sài mặt nạ này gần đây thôi không thấy công dụng gì nhiều, nhưng mỗi lần đắp xong cảm giác mịn sảng khoái
 #cáchlàm: đơn giản nhanh chóng nhất là mình cắt một lát khoai tây chờ lúc nấu cơm đến đoạn gần chín ( gạo đã hút hết nước ) thì mình cho lát khoai vào đợi chín thì lấy ra tán nhuyễn cho sữa kđ vào . Ai làm nhiều thì nên để ngăn đông nha, cái này nhanh hư lắm 😊)</t>
  </si>
  <si>
    <t>2019-12-16 07:16:53</t>
  </si>
  <si>
    <t>Nhung Nhung</t>
  </si>
  <si>
    <t>100037087002725</t>
  </si>
  <si>
    <t xml:space="preserve">#ca #review #mă  </t>
  </si>
  <si>
    <t>#đẹp_chanh_sả
#chăm_sóc_da
Em trong này lâu rồi nhưng chủ yếu là hóng tip phối đồ, ai ngờ phải xin tip trị thâm và mụn ẩn ạ :((( da mặt em trước giờ rất khỏe, ít mụn và hầu như là không có, nhưng lâu lâu mọc lên cục mụn be bé, nó đi rồi để lại thâm, mặt em lại chưa dùng bất cứ gì ngoài sữa rửa mặt nên em thiếu kinh nghiệm dùng các sản phẩm trị mụn trị thâm.
Mong mọi người giới thiệu cho em vài sản phẩm trị thâm hoặc vài tip chăm sóc cho da khỏe lại với ạ, em cảm ơn</t>
  </si>
  <si>
    <t>2019-11-18 04:49:10</t>
  </si>
  <si>
    <t>100013796869712</t>
  </si>
  <si>
    <t xml:space="preserve">#chăm_sóc_da #đẹp_chanh_sả </t>
  </si>
  <si>
    <t>Chào cả nhà!!!!
Mình đang kiếm 1 sản phẩm rửa mặt cho da mụn dầu. Da mặt mình hiện tại mụn đỏ như vậy ở má trái, đuôi lông mày, cằm. Ngoài ra thì có mụn đầu đen nhiều ở hai bên má, mụn ẩn ở trán, mụn đầu đen và mụn đá ở mũi 😭😭🙃
Các bạn có bí kíp gì trị mụn chỉ mình với ạ 
Nhìn bắt nản luôn 😭😭😭</t>
  </si>
  <si>
    <t>2019-12-13 23:23:59</t>
  </si>
  <si>
    <t>100003020870498</t>
  </si>
  <si>
    <t>#Ask #Help #Trimunan 
Mọi người oi da e càng ngày càng tệ, e dùng bộ caryophy mà càng nỗi thêm mụn liti ẩn quá e ngưng 1 tuần kh dám dùng thì nó cứ ồi ạt liti rồi ẩn dưới da hột hột đầy mặt thi đua nhau lên mọc luôn trên vành môi á hic, e kh biết có phải nó đẩy mụn hay kh, nếu là đẩy mụn thì e muốn nó đẩy nhanh lên để khô cồi e đi lấy nhân mụn xong trị thâm còn ăn tết gần tết tới đích rồi bây giờ nhìn ghê quá. Ai đã điều trị hết chỉ e cách với ạ, hoặc giờ e nên kết hợp thêm sp gi để giúp nhanh đẩy mụn khô cồi ạ, cảm ơn cả nhà...!
Tha thiết dc add duyệt bài cho e ạ.</t>
  </si>
  <si>
    <t>2019-12-15 23:50:02</t>
  </si>
  <si>
    <t>Thuý Henna</t>
  </si>
  <si>
    <t>100041216524278</t>
  </si>
  <si>
    <t xml:space="preserve">#Trimunan #Help #Ask </t>
  </si>
  <si>
    <t>Cả nhà cho e hỏi đây là tàn nhang hay nám ạ</t>
  </si>
  <si>
    <t>2019-12-06 02:04:13</t>
  </si>
  <si>
    <t xml:space="preserve">
#phụchồitóc
#ask
Mọi người ơi cho em hỏi tóc em hồi trước có phục hồi ép Karatin, nhưng em đi cắt chổ khác người ta không biết nên người ta bào tóc em. Giờ tóc em nó vừa sơ mà vừa quăn quăn ở ngon tóc và bị xù ra nữa :(((. Em có nhờ thợ đó phục hồi tóc lại giúp em nhưng họ sợ mất tiếng nên họ bảo bâyh làm gì cũng không được :((. Giờ tóc em vừa ngắn vừa khô sơ, em không biết phải làm gì với tóc em bâyh :((. Mọi người cho em hỏi em phải phục hồi gì để tóc em mềm ra mà kh bị xù nữa ạ, chứ em cứ đụng đến đầu tóc là em stress lắm luôn :(((
Edit : tóc vừa cắt về gội đầu ra thì bị như trong clip ạ :((. Nó xù xù như bấm tóc vậy ạ.</t>
  </si>
  <si>
    <t>2019-10-24 12:17:46</t>
  </si>
  <si>
    <t>Nguyễn Hà Phương Xuân</t>
  </si>
  <si>
    <t>100023281569089</t>
  </si>
  <si>
    <t xml:space="preserve">#ask #phụchồitóc </t>
  </si>
  <si>
    <t>#Ask #Đepchanhsa
Mn ai dùng máy rửa mặt này rồi cho e xin ít review với ạ. Em muốn mua mà lăn tăn quá ạ. 
Mong ad duyệt bài giúp em với ạ (cho e kịp vợt sale) 😘😘😘</t>
  </si>
  <si>
    <t>2019-06-23 13:39:38</t>
  </si>
  <si>
    <t>Quỳnh An Nhiên</t>
  </si>
  <si>
    <t>100008627291424</t>
  </si>
  <si>
    <t xml:space="preserve">#Đepchanhsa #Ask </t>
  </si>
  <si>
    <t>Có ai sử dụng mặt nạ V-line này chưa ạ, cho em xin review với ạ, mặt nạ làm thon gọn mặt, tạo cằm V-line có công dụng thật ko ạ, có cách nào giảm bớt mặt tròn ko ạ? 
#mặtnạvline
#review</t>
  </si>
  <si>
    <t>2019-06-15 08:52:01</t>
  </si>
  <si>
    <t>Ngọc Trâm</t>
  </si>
  <si>
    <t>100009166879295</t>
  </si>
  <si>
    <t xml:space="preserve">#review #mặtnạvline </t>
  </si>
  <si>
    <t>#esteelauder
-Mọi người cho mình xin thông tin về 2 sp này với ạ. Hãng mỹ phẩm Estee thì mình có nghe qua nhưng mù tịt lắm. Cái này là mẹ mình cho mình, mẹ bảo đây là dầu thơm mà mình thì không rành mấy loại nước hoa, cũng chưa bao giờ xài nước hoa cả 😓 nên giờ mình muốn xin thêm ý kiến về 2 em này. (Cách dùng luôn ạ). Với lại mình là nam thì nên xài không ạ?
-Tiện thể có ai xài qua hay biết về mỹ phẩm Decleor chưa ạ? (K biết mình viết đúng k nữa) Mẹ mình đang xài hãng này mà nghe lạ quá, tìm trong mấy group chưa thấy thông tin gì cả nên hơi lo ☹️
-Cám ơn ad/mod đã duyệt bài ạ</t>
  </si>
  <si>
    <t>2019-11-27 13:58:22</t>
  </si>
  <si>
    <t xml:space="preserve">#esteelauder </t>
  </si>
  <si>
    <t>Có cách nào làm trắng da phần đầu ngón tay không ạ 😞
Cứ bị đen phần đầu ngón , sơn màu gì cũng đen tay
Tay gì xấu thế không biết huhu</t>
  </si>
  <si>
    <t>2019-12-15 13:05:51</t>
  </si>
  <si>
    <t>Nhi Ngô</t>
  </si>
  <si>
    <t>100020269834997</t>
  </si>
  <si>
    <t xml:space="preserve">Em mong ad duyệt bài giúp em ạ. Đây là da của 1 chị mà em quen. Nghe bảo chị đi spa hết 30tr rồi mà không khỏi. Mụn mủ, viêm lên tùm lum như vậy. Giờ chị stress lắm không dám ra đường luôn ạ. Chị từng bị dính đồ trộn 1 lần ạ. Giờ nhìn da thương quá không biết làm gì cho đỡ ạ. Mong mọi người chỉ giúp chị với ạ
Luong Thuy
</t>
  </si>
  <si>
    <t>2019-12-07 07:50:17</t>
  </si>
  <si>
    <t>Vũ Thu Phương</t>
  </si>
  <si>
    <t>100037784022645</t>
  </si>
  <si>
    <t>Hi các chế trong group mình,
Mọi người có hóng được 3CE mới ra son kem mới k ạ? E canh mua bữa giờ, từ đợt nó ra clip teaser, thấy Bici nay mở bán cái chạy ra coi luôn!
Em hốt ngay 3 cây e thích luôn, review luôn cho phê đầu tiên là chất son bao phê và mịn, mịn tới mức k cảm giác là đang bôi son luôn. Và son màu nào, base màu đó k sợ base hồng nha =)))
- Needfull: cam đúng cháy luôn, lâu lắm rồi em thấy màu cam cháy đẹp như v! Da nào thoa màu này cũng đẹp hơn, trắng và sáng da lắm lắm!
- Live a little: màu đỏ cam đất rất sang nha! Chế nào thích kiểu retro quyến rũ thì màu này best nhất luôn ớ!
- Macaron Red: màu đỏ lạnh xài gì cũng hợp nè, thoa lòng môi tán nhẹ ra là đi học mang theo vô tư luôn ớ! Đẹp dã man!
Thật sự phải săn 1 cây 3CE mới này nha các chị, vì cầm lên tay thôi là thấy phê lòi rồi ý!
Tiện nhà em có 2 cây son chất son xìn xịn, màu cũng chất chất em review khoe luôn
- Missha màu Encore Salsa: cũng là đỏ cam đất giống màu Live a little của 3CE á nhưng là son thỏi. Chất son thì matt kiểu M.A.C power kiss. Lên màu rất chuẩn! Màu này cũng chất nữa, kiểu em gái cool ngầu á là màu này hợp nhất luôn!
- Black Rouge A22: chị nào mà muốn độc á thì BR ver4 màu 22 là đậm chất độc - lạ. Đây là một màu đỏ mận nhấn mạnh là rất mận luôn ý! Son này cực hợp đi quẩy cùng các chị e mỗi cuối tuần luôn á!
Cảm ơn các chế đã đọc bài của em! Mấy chế có màu nào độc độc nữa giới thiệu e nhaaaaaa</t>
  </si>
  <si>
    <t>2019-08-25 15:09:37</t>
  </si>
  <si>
    <t>Thư Anh</t>
  </si>
  <si>
    <t>100004338437186</t>
  </si>
  <si>
    <t>#ask #help #nhuộmtoc #cachphaimaunhuom
Mọi người ơi, hè em có chơi dại mua thuốc nhuộm tóc màu xanh đen về tự nhuộm,nhưng mà ko tẩy tóc thành ra nó lên màu không ưng ý nó vàng choé hết lên xong hơi nâu nâu rêu rêu mà tháng sau em đi học rồi, tóc mới nhuộm chưa được tháng đâu ạ các chị chỉ em tip làm sao đánh bay màu tóc nhanh với ạ TT, em cảm ơn mọi người nhìu ạ, màu tóc em như ảnh dưới ạ</t>
  </si>
  <si>
    <t>2019-08-24 12:13:29</t>
  </si>
  <si>
    <t>Ánh An</t>
  </si>
  <si>
    <t>100040561878274</t>
  </si>
  <si>
    <t xml:space="preserve">#cachphaimaunhuom #nhuộmtoc #help #ask </t>
  </si>
  <si>
    <t>Chào mọi người ạ!!!!
Mọi ng tư vấn giúp em khuôn mặt này của em thì nên làm tóc kiểu gì ạ???
Sẵn tiện cho em hỏi luôn là em đang bị thâm nách với ra mồ hôi nhiều rất khó chịu ạ. Các chị  đẹp trong group tư vấn cho em để cải thiện với...
Em cảm ơn nhìu nhìu!!!
#help</t>
  </si>
  <si>
    <t>2019-12-20 13:30:41</t>
  </si>
  <si>
    <t>#Helpme
E chào mọi người. Mong mọi người giúp e. Tay e đột nhiên bị nổi đốm giống như tàn nhang, càng ngày nó càng lan ra nhiều hơn. Cách đây 1 tháng e có sử dụng bột tắm trắng, e ko biết là do bột đó hay do trong cơ thể e bệnh nữa. E vô hiệu thuốc thì người ta đưa cho viên sổ lãi bảo 1 tuần nếu ko hết thì đi xét nghiệm máu. Giờ e lo lắm 😢😢</t>
  </si>
  <si>
    <t>2019-10-27 01:13:36</t>
  </si>
  <si>
    <t>Quế Trinh</t>
  </si>
  <si>
    <t>100010397384192</t>
  </si>
  <si>
    <t xml:space="preserve">
#KEMDUONGDA
Mọi người ở đây có ai dùng kem dưỡng da của Úc này chưa ạ? Cho em xin ít lời khuyên ạ. Em cảm ơn nhiều.</t>
  </si>
  <si>
    <t>2019-12-17 10:58:24</t>
  </si>
  <si>
    <t>Hàm Hương</t>
  </si>
  <si>
    <t>100005847875937</t>
  </si>
  <si>
    <t xml:space="preserve">#KEMDUONGDA </t>
  </si>
  <si>
    <t xml:space="preserve">
Mọi người chỉ em trị mụn với trị thâm ạ da em da dầu mụn😢 hiện tại em dùng chỉ dùng srm la roche posay</t>
  </si>
  <si>
    <t>2019-11-28 13:38:53</t>
  </si>
  <si>
    <t>100013840150962</t>
  </si>
  <si>
    <t>#khoda #duongda #skincare 
 Xin chào các chị ạ. Cho phép em sd nick clone vì em ngại bị ng quen thấy. 
Tình hình là từ lúc SG trở lạnh đến giờ thì da em cứ bị khô căng ở hai bên má gần cánh mũi. Lúc đầu em tưởng cơ thể thiếu nước nên uống rất nhiều nước mà vẫn ko thấy cải thiện. Bth em sd srm senka mỗi tối vì thấy nó khá sạch, từ lúc bị khô da thì em ko dám xài luôn. Toner thayer em cũng ngưng luôn. Và đỉnh điểm là hnay khi xài kcn the saem hồng thì hai bên mép môi tới má bên phải gần cánh mũi bị tróc da li ti rất ghê ạ (của em như hình minh hoạ mà tróc da nhỏ hơn) 
Các chị cho em lời khuyên với recommend một số kem dưỡng ẩm cho da hỗn hợp thiên khô với ạ. Em cảm ơn</t>
  </si>
  <si>
    <t>2019-12-18 11:57:12</t>
  </si>
  <si>
    <t>Rei Rei</t>
  </si>
  <si>
    <t>100034981041912</t>
  </si>
  <si>
    <t xml:space="preserve">#skincare #duongda #khoda </t>
  </si>
  <si>
    <t>#authorfake#botluanonnhatban
Mn check giúp em cái này với. E chưa thấy bột lúa non nhật loại 30 gói này bao giờ và cũng không có kinh nghiệm gì cả. Nếu fake thì để mà vứt chứ người mệt lả rồi, uống linh tinh mệt lắm mn ạ. Pleaseeee!</t>
  </si>
  <si>
    <t>2019-11-18 04:52:17</t>
  </si>
  <si>
    <t>Nguyễn Kây</t>
  </si>
  <si>
    <t>100006703184761</t>
  </si>
  <si>
    <t xml:space="preserve">#botluanonnhatban #authorfake </t>
  </si>
  <si>
    <t>Xin chào mng, em năm nay 15 tuổi, em hiện tại da đang rất mụn, thường có mụn ẩn ở 2 bên phần má và cằm, mặt em bị mụn cho tới nay cũng là 2 năm rồi, nhưng mới 1 năm gần đây em mới chú trọng rõ hơn việc phải chăm sóc và cải thiện lại làm da mặt, em cũng mới sử dụng các em làm sạch, trị mụn , dưỡng sâu này của some by mi  được 3 tháng, trước đó em chưa dùng sp serum hay toner, kem dưỡng nào hết, và em thấy trên các vid xã hội có rầm rộ sp Some BY Mi  trị mụn tốt, mờ thâm,... Nhưng với da dầu của em sử dụng thì không có hiệu quả nhất định, em đang có đôi chút lo lắng về da mặt của mình, em xin mọi người mỗi nhận xét và ý kiến soi da cũng như các sp mọi người từng dùng, và các sp tốt dành cho da mụn hoặc những sp giá rẻ mà có hiệu quả tốt dành cho da dầu mụn, da nhạy cảm với ạ... Mong mọi người giúp em với ạ. Ngoài ra việc trị mụn em cũng mong muốn thêm da mặt có thể bật tông trắng lên vừa phải trong các thành phần các em dưỡng da ạ, em cũng bị môi thâm mọi người có sp hay tip nào trị thám hoặc làm hồng môi trở lại thì chia sẻ em với, em xin cảm ơn rất nhiều ạ! Chúc mọi người 1 ngày thật vui vẻ !!! Dưới đây là 1 số sp dưỡng da em đang sử dụng ạ, và em cũng có dùng nước tẩy trang Evoluderm ( màu xanh lá - da dầu) và kem dưỡng của Some BY Mi nhưng em vội quá nên chưa up đc, em hi vọng có thể tìm thấy những nhận xét tích cực của mọi người và cũng như cùng nhau cải thiện làn da mỗi ngày một ngày tốt đẹp hơn.</t>
  </si>
  <si>
    <t>2019-12-13 16:35:02</t>
  </si>
  <si>
    <t>Nguyễn Hữu Hoàn</t>
  </si>
  <si>
    <t>100022930702117</t>
  </si>
  <si>
    <t>#ask
#trịthâm
Cách đây 3 tháng e bị ngứa với muỗi đốt, e có gãi và để lại thâm ntn 😰
Mọi người cho e xin 1 vài tips trị thâm ạ
Mấy tháng nay e k dám mặc váy luôn 😭</t>
  </si>
  <si>
    <t>2019-10-16 17:48:40</t>
  </si>
  <si>
    <t xml:space="preserve">
#goccantuvan
M.n ơi cho em hỏi là những đốm ở mắt và dưới quầng mắt em là tàn nhang đúng không ạ, tự dưng nổi lên làm em lo lắng quá mà k biết bị gì😰</t>
  </si>
  <si>
    <t>2019-12-24 02:22:44</t>
  </si>
  <si>
    <t>Bước tiếp theo nên làm gì đây mọi người 
Có nên dùng trị thâm chưa ạ? Có ai biết loại nào hiệu quả da thiên về dầu không ạ!
Da mình trước bị mụn mủ trắng viêm ý.  Đi nặn xong rữa nước muối + srm acnes + tẩy trang l'oreal
Nay bị thâm như thế này dùng sản phẩm nào được đây ạ!
Da mình thiên dầu dễ dị ứng 
Mong add duyệt 
#ChilliBK</t>
  </si>
  <si>
    <t>2019-12-17 13:12:43</t>
  </si>
  <si>
    <t>Chilli BK</t>
  </si>
  <si>
    <t>100044073755572</t>
  </si>
  <si>
    <t xml:space="preserve">#ChilliBK </t>
  </si>
  <si>
    <t>Mong ad duyệt bài dùm em ạ
Chuyện là con bạn em da nó thuộc dạng nhạy cảm. Mỗi lần chuyển chỗ ở lạ nước hoặc trời mưa nhiều là da nó lại nổi mụn, Mấy cái mụn này mọc khắp nơi từ chân tay lưng.. Mụn này rất là ngứa và sau đó để lại thâm Và loét ra nữa ạ.. bạn em mới bị mấy tháng nay thôi ạ. Mà từ ngày bị là không khỏi. Bạn em cũng ra hiệu thuốc mua để uống và bôi nhưng vẫn không tiến triển ạ. Chị em ở trong nhóm có ai bị như vậy chưa thì cho em ít nhận xét và lời khuyên với ạ...</t>
  </si>
  <si>
    <t>2019-12-25 07:55:43</t>
  </si>
  <si>
    <t>Võ Thị Thanh Lịch</t>
  </si>
  <si>
    <t>100008203096466</t>
  </si>
  <si>
    <t>#ask #tangchieucao
Chào các bạn. Mình muốn tìm một loại sữa tăng chiều cao do các bạn tuổi dậy thì, loại mà có chưa nhiều canxi, zn, protein, v..v
Em trai mình có dấu hiệu dậy thì sớm, 15t cao 1m65  và đang có dâu hiệu khựng lại. Hiện mình đang cần tìm một loại sữa có thể bổ sung các loại chất để tăng tối đa chiều cao. Mình tìn hiểu đc một số hãng, k biết có ai đã dùng chưa, chonm xin review ạ. Sẵn tiện cho m hỏi luôn 15t uống sữa trẻ em có được hay không ạ? Ngoài ra có loại tpcn nào tốt để phát triển chiều cao không ạ? Mình cảm ơn.</t>
  </si>
  <si>
    <t>2019-06-25 15:45:25</t>
  </si>
  <si>
    <t>Phương Giang Trần</t>
  </si>
  <si>
    <t>100004281159379</t>
  </si>
  <si>
    <t xml:space="preserve">#tangchieucao #ask </t>
  </si>
  <si>
    <t xml:space="preserve">
#lclto
Có cách nào cứu rỗi làn da này ko Mn ơi huhuu 😭.</t>
  </si>
  <si>
    <t>2019-11-13 00:59:02</t>
  </si>
  <si>
    <t>Nhã Quỳnh</t>
  </si>
  <si>
    <t>100014405832205</t>
  </si>
  <si>
    <t xml:space="preserve">#lclto </t>
  </si>
  <si>
    <t xml:space="preserve">
#ask
#son_lipstick
Các chị, các bạn cho em hỏi màu son trong ảnh là màu gì ạ? Với lại có hợp với màu da trung bình không ạ, kiểu như không quá trắng nhưng cũng không ngăm đen hẳn ấy ạ. Và những hãng son nào có loại màu này và giá cả phù hợp với hs sinh viên ạ? 
Em cảm ơn trước ạ.</t>
  </si>
  <si>
    <t>2019-12-17 11:09:20</t>
  </si>
  <si>
    <t xml:space="preserve">#son_lipstick #ask </t>
  </si>
  <si>
    <t>- Trước e có xài gần 2 lọ MTM xong ngưng cái bị nỗi lên dống nv. 😞 Nổi xung qanh vùng chữ T hột nhỏ nhỏ đỏ đỏ có vài hột như mụn mũ mà nặn thi ko ra nhân.Nó cứ lặn rồi nổi da mặt khô rồi sần sùi miết.Cũng may ít Makeup chứ ko chắc xong cái mặt rồi hic.
- Ce có cách nào hoặc có mỹ phẩm nào thậc sự tốt bày biện cho em với.Chứ e buồn quá.:(((</t>
  </si>
  <si>
    <t>2019-12-04 04:52:26</t>
  </si>
  <si>
    <t>Thanh Hằng</t>
  </si>
  <si>
    <t>100032832679366</t>
  </si>
  <si>
    <t>#triseo #help
Chào mọi người!
Em gái em bị ngã xe, khâu mấy mũi ở mặt. Ai biết loại kem trị sẹo nào tốt có thể làm mờ nhất có thể vết sẹo không ạ? 
Mấy hôm nữa mới rút chỉ ạ!</t>
  </si>
  <si>
    <t>2019-05-22 14:53:05</t>
  </si>
  <si>
    <t>Trần Thị Hồng Ngọc</t>
  </si>
  <si>
    <t>100002226467182</t>
  </si>
  <si>
    <t xml:space="preserve">#help #triseo </t>
  </si>
  <si>
    <t xml:space="preserve">[CẢNH BÁO] - NGUY HIỂM KHI CẤY MÁU TỰ THÂN PRP!
</t>
  </si>
  <si>
    <t>2019-12-06 03:36:09</t>
  </si>
  <si>
    <t>Mm cho e hỏi có loại kem dưỡng da tay nào đặc trị cho da khô , nứt nẻ ko ạ 😔😔😔 vì công việc cứ phải ngâm trong nước suốt nên chỉ dùng dk ban đêm cần loại nhạy nhạy 🤣🤣🤣
Cm ơn ad !!!</t>
  </si>
  <si>
    <t>2019-11-21 00:52:40</t>
  </si>
  <si>
    <t>Phươngg</t>
  </si>
  <si>
    <t>100004556973736</t>
  </si>
  <si>
    <t>Xin chào anh chị em trog GR. Sắp đến tết r mà e vẫn chưa biết nên nhuộm màu tóc gì. Năm.ngoái e nhuộm xanh rêu nên năm.nay e muốn chơi màu khác nổi nổi tý. Thật sự muốn nhuộm khói ấy nhưg ai cũg cản tại nó k bền màu và vứt luôn bộ tóc. Da e trắg vàng ạ, anh chị e có thể cho e xin ít.màu tóc hơi trội trội tý đc k ạ?? Cảm ơn m.n nhiều
À, e chỉ cắt ngắn chứ k có ý định uốn</t>
  </si>
  <si>
    <t>2019-12-02 02:54:42</t>
  </si>
  <si>
    <t>#Funny 
Cre : 1001 chuyện công sở</t>
  </si>
  <si>
    <t>2019-12-06 02:02:42</t>
  </si>
  <si>
    <t xml:space="preserve">Chào mọi người 
Chân em bị tình trạng cháy nắng + khô da, mấy chị chỉ giúp em sp giúp cải thiện trường hợp này với ạ TvT 
</t>
  </si>
  <si>
    <t>2019-12-15 13:22:09</t>
  </si>
  <si>
    <t>Hill Dulcie</t>
  </si>
  <si>
    <t>100021865412958</t>
  </si>
  <si>
    <t>#Tuvan
Chào các anh chị ạ!
Em vừa phun mày tản bột đc 1 tuần, nó bong rồi nhưng màu nhạt và mất hết khuôn.
Cho em hỏi theo thời gian nó có đậm dần lên, ổn định màu và khuôn mày ko ạ?
Ảnh dưới là ảnh em vừa phun xong ạ</t>
  </si>
  <si>
    <t>2019-11-28 08:42:20</t>
  </si>
  <si>
    <t>Nguyễn Lài</t>
  </si>
  <si>
    <t>100003892038741</t>
  </si>
  <si>
    <t xml:space="preserve">#Tuvan </t>
  </si>
  <si>
    <t>Mọi người ơi 
Tình hình là sắp đến sinh nhật của em rồi mà em lại không biết mặc gì cả nên hôm nay em lên đây để hỏi mọi người : cao 1m50 nặng 36kg thì mặc set này hợp không ạ</t>
  </si>
  <si>
    <t>2019-11-27 13:58:59</t>
  </si>
  <si>
    <t>Ngô Hoa</t>
  </si>
  <si>
    <t>100025513208684</t>
  </si>
  <si>
    <t>Mọi người cho em hỏi cách trị mụn đi ạ qua có mấy ngày lạnh mà mặt em vậy nè 😭😭😭😭</t>
  </si>
  <si>
    <t>2019-12-18 13:48:04</t>
  </si>
  <si>
    <t>100028900097696</t>
  </si>
  <si>
    <t>[ Em rất rất mong được ad duyệt bài cho em vì em đang tuyệt vọng quá rồi ạ !! ]
Em chào cả nhà. Vừa rồi em có đi khám da liễu và được bác sĩ kê đơn cho uống Iso kèm thuốc bôi ngoài da Aloem như ảnh. Dù biết nhiều tác dụng phụ nhưng em vẫn đánh liều uống đến hôm nay đc 18 ngày rồi ạ. Sau khi uống thì mặt em bắt đầu nổi CỰC KỲ NHIỀU MỤN ẨN lên bề mặt da như ảnh kèm theo !!! 
Em đã đọc và biết trước là nó sẽ nổi mụn lên nhưng ko nghĩ là lại kinh khủng đến thế :((( giờ mặt em trông ko khác cái bãi chiến trường em chẳng dám đi đâu làm gì gặp ai hết. Tự ti thực sự ấy ạ :((( 
Em muốn hỏi mọi người đã ai bị MỤN ẨN , uống Iso nó đẩy mụn lên nhưng lại KHÔNG nổi đầu trắng lên mà nó cứ chỉ nổi li ti 1 đống mụn con con trông rất ngứa mắt như thế này ko ạ?? Và mụn kiểu này thì liệu tiếp tục uống nó có trồi cồi mụn ra và khô đi ko? Hay loại mụn này nó sẽ chỉ ở trên mặt mình li ti thế này mãi ạ?? Em lo quá vì 18 ngày rồi mà nó vẫn ko có dấu hiệu biến đi :((( 
Ai đã bị mụn ẩn giống em, uống iso và đã khỏi ko ạ? Cho em 1 chút tia hi vọng với giờ em đang buồn quá stress thực sự luôn ấy :((( 
Với cả group mình có ai uống iso nhưng vẫn đi nặn mụn ko ah? Tại bác sĩ nói là ko cần nặn nhưng mà để mãi chưa thấy nó khô rồi trồi cồi lên ạ 😢😢😢
Em cảm ơn Ad đã duyệt bài ạ :((</t>
  </si>
  <si>
    <t>2019-10-16 04:35:53</t>
  </si>
  <si>
    <t>Đăng mãi chẳng được Ad duyệt bài :(((
Em khổ sở vì mắt thâm lứm rùi .... rất mong các chị cứu emm 
Em 27t sắp lên xe bông mà mắt cứ thâm quầng như này khộ lắm ah , ko biết phải do Gen không chứ cũng dùng đủ loại lắm r :((</t>
  </si>
  <si>
    <t>2019-12-11 06:10:28</t>
  </si>
  <si>
    <t>100024840338577</t>
  </si>
  <si>
    <t>#hoidap #daubungkinh
Có ai đau bụng kinh do lạc nội mạc tử cung buồng trứng như em không ạ?
Em kinh nguyệt không đều trước giờ, tuy nhiên không hề có tình trạng đau bụng kinh dữ dội như hiện nay. Tình trạng này em mắc khoảng 1 năm rưỡi, có đi khám bệnh ở nhiều bệnh viện bác sĩ đều bảo bình thường và do cơ địa phải chịu. Lần gần đây nhất em bị đau đến cả tuần, nôn ói không ăn được gì kèm theo sốt và phải uống giảm đau 4 tiếng 1 lần mới ngủ được. 
Cả nhà tức tốc đưa đi Từ Dũ khám thì bác sĩ kết luận bị lạc nội mạc tử cung buồng trứng với kích thước khá to 5x6cm, em khá suy sụp vì bsi cho biết sẽ chậm con.
Hiện tại kinh nguyệt của em bị rối loạn, có lúc 20 ngày, lần này là mới có 10 ngày, bác sĩ cũng khuyên em nên có chồng sinh con, sợ sau này chậm có con. 
Không biết có chị nào bị như em, hoặc có kinh nghiệm chữa trị, hay có quen bác sĩ nào giỏi có thể chia sẻ giúp em được không, thật sự là rất bế tắc vì đã hỏi nhiều người, đọc nhiều tài liệu đều nói bệnh này không hết được. Bác sĩ cũng bảo em đừng nghĩ đến việc mổ xẻ vì sẽ ảnh hưởng đến việc mang thai sau này. Bác sĩ không cho thuốc uống, chỉ nói là 3 tháng sau theo dõi lại (siêu âm đầu dò), bệnh này là phải theo dõi như vậy chứ uống thuốc không khỏi, mổ xẻ cũng sẽ tái phát.
Có chị nào lạc nội mạc như em không ? chia sẻ với em cách chữa với huhu
p/s: các chị ơi hay bây giờ e tranh thuủ đẻ liền 2-3 đứa xong làm phẫu thuật cắt tử cung luôn là không sợ tái phát nữa ạ, chứ e khiếp đau lắm rồi huhu</t>
  </si>
  <si>
    <t>2019-10-27 03:12:31</t>
  </si>
  <si>
    <t>Nguyễn Thị Lành</t>
  </si>
  <si>
    <t>100040809344866</t>
  </si>
  <si>
    <t xml:space="preserve">#daubungkinh #hoidap </t>
  </si>
  <si>
    <t xml:space="preserve">
#ask
#trimun
Xin chào anh chi , em năm nay 17t , e đã tập tành skincare từ năm 15t.( mặt e có cả mụn và tàn nhang :(()  
Truoc  kia e chủ yếu là mụn mủ đầu trắng và mụn viêm ẩn sưng to .  Skincare có hiệu quả và đã khỏi . 
Nhưng từ luc hè đến giờ tự dưng e nổi rất nhiều mụn, hầu như là không có đầu mà chỉ đỏ, sưng, đau . Rồi nó cồi đầu mụn nên thì thường là mụn nhân cứng như mụn đầu đen. Mụn rất ngứa , dính nước hay rửa mặt thì càng thêm ngứa và châm chích . Đặc biệt ở cổ nổi rất nhiều, mụn ở cổ đỏ và to, luc thì đầu là mủ , luc thì đầu mụn là nhân cứng như mụn đầu đen. Đầu mụn hay đóng vẩy và khô. Đặc biệt là mụn rất ngứa .
Như trong ảnh là đã đỡ rồi ạ. E bị từ tháng 7 đến bây giờ mà không đỡ.
Em có đi khám da liễu bác sĩ có kê đơn thuôc uống và sữa rửa mặt avene cùng tuýp bôi mụn. Tuýp bôi mụn em dùng bị ngứa và nóng rát nên e ngừng bôi. Còn thuôc uống hết thi nó lại lên mụn. Sữa rửa mặt e vẫn dùng đến giờ  
Hiện tại em dùng :
 - tẩy trang vivea
- srm avene
- tẩy da chết organic 
- serum cc melano
- xịt khoáng evoluderm
Nhưng hầu như e chỉ dùng sữa rửa mặt và xịt khoáng vì không biết nên dùng gì với cái da nhạy cảm này . E vừa mới mua tinh dầu tràm tee tree oil vì nghe nói nó kháng viêm nhưng chua dùng.
Có ai bị như vậy không ạ? Và cho e xin lời khuyên nên làm gì, sử dụng sản phẩm gì ch da và trong số sản phẩm e dùng có cần thay đổi gì không ạ! 
Em cảm ơn rất nhiều ❤
#ps :   Ngoài ra e còn bị mất ngủ , khó ngủ . Thường thức đến 1,2h mới ngủ được hoặc nếu ngủ sớm trước 11h thì 1h lại bị tỉnh giấc và trằn trọc . Thậm chí thức thâu đến sáng cũng không  ngủ. Đêm thì hay bị ngứa lòng bàn tay bàn chân 😕</t>
  </si>
  <si>
    <t>2019-10-22 08:42:21</t>
  </si>
  <si>
    <t>Bich Thuỷ</t>
  </si>
  <si>
    <t>100022268807828</t>
  </si>
  <si>
    <t xml:space="preserve">#ps #trimun #ask </t>
  </si>
  <si>
    <t>#matcamgiacsausinh
Chào m.n ạ.hội mình có bạn nào sinh xong bị mất cảm giác gần gũi với chồng k ạ 😭😭
Chuyện là mình sinh bé dc 5 tháng rồi nhưng mỗi lần gần ck thật sự k có cảm giác nửa rồi. Mặc dù trc bầu thì nước nôi đầy đủ. Thêm bh cứ cảm giác vùng kín cứ k sạch sẽ khô thoáng.mặc dù mình luôn dùng ddvs hằng ngày. Có rửa cả nước chè xanh ạ 😪😪
E đang nghiên cưới các thực phẩm bổ sung nội tiết nhưng đang cho con bú nên sợ và sợ mua hàng lung tung thì xong mất 😭
Mong rất mong dc duyệt bài và dc m.n tư vấn 😞😞 chứ tình hình ntn vợ chồng e chán nhau mất 😭😭😭😭</t>
  </si>
  <si>
    <t>2019-11-03 11:58:11</t>
  </si>
  <si>
    <t>Minh Đoan</t>
  </si>
  <si>
    <t>100009425912496</t>
  </si>
  <si>
    <t xml:space="preserve">#matcamgiacsausinh </t>
  </si>
  <si>
    <t>#bốcphốt #havanavietnam
Mọi người ơi, cẩn thận với #havana.vietnam nha !!! 
Nó ăn cắp hình mình nói là xài sp bên nó. Mình có chia sẻ bài viết về 1 năm trước đây mình đi khám ở phòng khám tư có bác sĩ điều trị mụn khi da mặt bị hư nặng do thuốc rượu ngay ra trong group chia sẻ làm đẹp sau đó k biết bọn khốn này nằm vùng đi ăn cắp hình của mình đăng lên là của nó. Ai ko biết họ lại đi xài hư nát hết mặt mất 😭😭 ai thấy cái bọn nào còn ăn cắp hình mình nữa báo mình nha, thứ ác ôn nhà nó 😡😡😡</t>
  </si>
  <si>
    <t>2019-12-22 13:29:43</t>
  </si>
  <si>
    <t xml:space="preserve">#havana #havanavietnam #bốcphốt </t>
  </si>
  <si>
    <t>#ask #dánveneer 
Hy vọng được ad duyệt bài ạ.
Chuyện là tao sắp đám cưới rồi đó tụi bây ơiiii, mà răng tao vàng quá nhìn kém sang dễ sợ nên tao định đi dán veneer. Mà t không rành về vụ này lắm, nói thẳng là hơi ngu nên tụi mày có làm rồi hoặc có kinh nghiệm thì chia sẻ cho t một ít với.
Form răng t nó hơi nhọn, t lại muốn form răng nó vuông như ảnh dưới thì dán veneer có khắc phục được không tụi mày. Dán thì có mài răng thật nhiều không vì tao thề t đéo bao giờ tin mấy cái lời quảng cáo hoa mỹ trên mạng (xin lỗi t hơi mất niềm tin vào cuộc sống). Rồi dán xong ăn uống có ê buốt và vệ sinh có khó không, vì t cảm giác là dán vào thì sẽ có khe hở đồ ăn nó chui vào ấy :((
Sẵn tiện nếu tỉ muội nào làm răng rồi thì ib t cái địa chỉ NHA KHOA làm răng uy tín ở SG với. T nhấn mạnh là NHA KHOA bác sĩ chuyên môn đàng hoàng hẳn hoi nhé, chứ hỏng phải cứ mặc áo blouse dô rồi muốn làm gì làm nhe, nên mấy chị hot girl xờ-pa tạp hóa né ra dùm em nghe. :(( Xin lỗi nếu có lỡ đụng chạm vì t bị ớn vụ đắp răng bằng composite 5tr/hàm của mấy chị thẩm mỹ nên hơi nhạy cảm 1 chút xíu.</t>
  </si>
  <si>
    <t>2019-06-23 11:33:26</t>
  </si>
  <si>
    <t>Huỳnh Chương</t>
  </si>
  <si>
    <t>100029909681236</t>
  </si>
  <si>
    <t xml:space="preserve">#dánveneer #ask </t>
  </si>
  <si>
    <t>#ask #seo #scar
Mọi người có thể chỉ mình thuốc gì bôi lành sẹo mới không ạ? Tuần trước mình không may bị cánh cửa sổ rơi đập vào mặt bị rách 1 vết nhỏ góc môi, cố gắng kiêng cữ rồi rốt cuộc nó vẫn thành sẹo. 😩 Tết nhất đến nơi rồi ạ, sẹo như này không tự tin đi dẩy với bạn bè được ạ :((</t>
  </si>
  <si>
    <t>2019-12-19 10:34:25</t>
  </si>
  <si>
    <t>Phạm Huy</t>
  </si>
  <si>
    <t>100004420926233</t>
  </si>
  <si>
    <t xml:space="preserve">#scar #seo #ask </t>
  </si>
  <si>
    <t>Mặt e bị như này lâu lắm r,  mọi người có cách nào, sản phẩm gì để chữa được không ạ 😓
Da e nhờn, mụn ẩn
E Cảm ơn</t>
  </si>
  <si>
    <t>2019-11-21 11:03:44</t>
  </si>
  <si>
    <t>Thăng Long</t>
  </si>
  <si>
    <t>100006823666190</t>
  </si>
  <si>
    <t>Khuôn mặt hiện tại của mình, mình trước giờ không biết skin care mà giờ có cách gì cho nó hết mụn và hết thâm không ạ, mọi người giúp em với ạ</t>
  </si>
  <si>
    <t>2019-12-07 05:15:14</t>
  </si>
  <si>
    <t>Ngô Thái Hậu</t>
  </si>
  <si>
    <t>100022733199177</t>
  </si>
  <si>
    <t xml:space="preserve">
#son
Chuyện là em có thỏi ink23 đi chơi thì miễn chê rồi nhưng đậm quá đánh đi học đi đâu đó sương sương thì không hợp, mn có son gì màu phù hợp với học sinh hơn không ạ, da em không đen cũng không trắng quá, cũng bình thường nên có son nào bật tone da càng tốt ạ ❤️ em cảm ơnnnnn</t>
  </si>
  <si>
    <t>2019-10-23 05:28:11</t>
  </si>
  <si>
    <t>Quỳnh Trần</t>
  </si>
  <si>
    <t>100007606057867</t>
  </si>
  <si>
    <t xml:space="preserve">#son </t>
  </si>
  <si>
    <t>Da em sau hơn 6 tháng chữa da liễu, hiện tại đã ngưng được gần 1 tháng ạ.
Em đăng bài với mong muốn xin tips chăm sóc cho da dầu, mụn và nhạy cảm.
Sẵn tiện cho em hỏi mặt em có nhiều mụn ẩn k ạ?
Em cảm ơn ❤️
#Tưvấn</t>
  </si>
  <si>
    <t>2019-12-11 23:31:45</t>
  </si>
  <si>
    <t>#tritham 
Mọi người có cách nào trị thâm không ạ. Da e lúc trước khá ít mụn nhưng do dùng mỹ phẩm k hợp da thì bị như vậy,  mặc dù e mới sử dụng được 3 ngày nhưng từ đó mặt e mọc rất nhiều mụn và sau đó là vô vàn vết thâm,  hiện tại e rất stress với cái mặt của e và vì vậy e cũng bị đối xử không công bằng rất nhiều. Năm nay em học lớp 12 nên cũng không thể ngủ sớm được vì vậy nên việc trị mụn và thâm đối với e bây giờ bất lực lắm ạ 😥😥😥</t>
  </si>
  <si>
    <t>2019-12-04 04:54:26</t>
  </si>
  <si>
    <t>100029920926445</t>
  </si>
  <si>
    <t>Mng chỉ giúp mình loại mask nào dưỡng trắng mà giá cả hợp lí xí với ☺️. 1 tuần nên đắp mấy lần là đúng ạ?</t>
  </si>
  <si>
    <t>2019-12-16 08:46:56</t>
  </si>
  <si>
    <t>Triệu Phát</t>
  </si>
  <si>
    <t>100009704196273</t>
  </si>
  <si>
    <t xml:space="preserve">
#Tangcan 
Chào anh chị. Có ai dùng cái này để tăng cân tăng cơ chưa ạ cho em xin review với. 
Em thuộc tuýp người mình dây. Không biết sử dụng cái này ổn không ạ??
Em cảm ơn.</t>
  </si>
  <si>
    <t>2019-08-23 03:05:56</t>
  </si>
  <si>
    <t xml:space="preserve">#Tangcan </t>
  </si>
  <si>
    <t xml:space="preserve"> #ask #hoimieng
Không biết có ai như mình không. Mình bị chứng hôi miệng mấy năm nay rồi. Là con gái mà bị vậy nên rất ngại giao tiếp và không có bạn trai. Nói chung mình ám ảnh và khổ sở vì nó hơn bất cứ khuyết điểm nào.
Răng miệng mình bình thường không sâu và cũng đã đi khám nha sĩ rồi. Lưỡi cũng vệ sinh sạch sẽ. Dạ dày thì có đi khám kiểu mình cũng bị đau dạ dày. Bác sĩ cho thuốc uống nhưng vẫn không hết hôi miệng. Với mình cũng bị tí về xoang mũi nhưng khám hoài trị hoài thấy vẫn không hết
Vậy làm sao để xác định đúng nguyên nhân gây hôi miệng và chữa trị đây ạ? Có bạn nào đã chữa trị đuoc không và ở bệnh viện nào có thể trị được căn bệnh này ạ? 
Mình rất sạch sẽ vậy mà mắc chứng hôi miệng nên chán và tự ti lắm</t>
  </si>
  <si>
    <t>2019-03-30 11:38:13</t>
  </si>
  <si>
    <t>Imice Blood</t>
  </si>
  <si>
    <t>100004505791190</t>
  </si>
  <si>
    <t xml:space="preserve">#hoimieng #ask  </t>
  </si>
  <si>
    <t xml:space="preserve">
##Helpme !!
      Chào mọi người,em năm nay 21 tuổi ạ.Em đã từng sử dụng qua rượu thuốc bà lão và đã bỏ được 1 năm rồi tl.Từ lúc bỏ e ko sử dụng sản phẩm gì chỉ có thi thoảng đi nặn mụn và rửa bằng nước muối sinh lý.Hiện tại em đang skincare được 1 tháng nay ạ ,dưới đây là các sản phẩm e đang dùng -da em thuộc da hỗn hợp thiên dầu  mặt em lcl to chiếm hết 2 vùng má vs trán 😥😥
Tẩy trang biodmera hồng
Srm tạo bọt Himalaya lá neem
Toner propeller bạc
Serum tenna b4 và b3
Gel chấm mụn hiruscar
Kem dưỡng và phục hồi da the yeon ( này e ít xài lắm )
Em đang bài này mong mọi người chỉ bảo ạ.Ai từng bị hay biết thì bảo e cách để nó làm giảm mẩn đỏ với ạ chứ 2 má em nó cứ đỏ suốt ý ạ kể cả ko sờ tay lên với hay nên mấy em mụn viêm đỏ ko có .Nhìn mặt như thế này em tự ti khi giao tiếp nên toàn né thôi😂😂.À m.n cho e hỏi là mụn ở cằm với quai hàm là nội tiết phải ko ạ ?Làm gì để nó bớt hay hết được ạ Có cần uống tpcn gì hay ko ạ.....Mong mọi người giúp em ạ😫😫
Em mong ad duyệt hộ bài em với ạ</t>
  </si>
  <si>
    <t>2019-11-26 12:56:58</t>
  </si>
  <si>
    <t>Hoang Van Quan</t>
  </si>
  <si>
    <t>100015954318547</t>
  </si>
  <si>
    <t>#trịthammun
mọi người ơi ai có cách nào trị thâm để đón tết không ạ, mặt e thâm đỏ nhìn chán quá ạ mụn thì vẫn đều đều lên vài nốt cứ lên là thâm khủng khiếp ạ..huhu. Mọi người có cách nào không ạ cứa e với😑😑
Mong duyệt bài giúp e ạ . E cảm ơn
#đẹptranhsa</t>
  </si>
  <si>
    <t>2019-12-21 18:07:16</t>
  </si>
  <si>
    <t xml:space="preserve">#đẹptranhsa #trịthammun </t>
  </si>
  <si>
    <t>#Ask  #KemdưỡngdaThorakao
Cho em hỏi là các sản phẩm của Thorakao tốt không mng? Nhất là về các dòng dưỡng trắng hay cái loại kem dưỡng trắng của Thorakao ý ạ?  Có phải đồ trộn không? 
Mong ad duyệt bài em vì mẹ em đang định sử dụng sau khi em nói mẹ là Onetoday là kem trộn nên mẹ em định chuyển qua kem dưỡng của Thorakao ạ</t>
  </si>
  <si>
    <t>2019-08-11 15:56:01</t>
  </si>
  <si>
    <t xml:space="preserve">#KemdưỡngdaThorakao  #Ask </t>
  </si>
  <si>
    <t>Mọi người cho em hỏi là em gái em tự nhiên nó mọc cái mụn thịt hay mụn gì ở mặt ý ạ. Càng ngày càng to lên nhìn như thị nở thật sự 😭 nó bảo em lấy tay gạt đi rồi mà nó lại mọc lên còn to hơn lúc bạn đầu. Không biết đây là mụn gì và cách chữa như nào vậy ạ. Vì để nhìn rất mất thẩm mỹ ạ 😣</t>
  </si>
  <si>
    <t>2019-12-16 05:59:10</t>
  </si>
  <si>
    <t>Hạ Thư Đinh</t>
  </si>
  <si>
    <t>100006172684932</t>
  </si>
  <si>
    <t>#help
Mong ad duyet bài.e bị tàn nhang tu hồi 12t .E bị di truyền từ mẹ..Mọi người tu van giúp e kem gj tri dk tàn nhang..Da e mỏng nhạy cảm...e hai con roi nên tàn nhang nhìn đậm hơn lúc trước...e cảm ơn mọi người</t>
  </si>
  <si>
    <t>2019-11-29 04:09:37</t>
  </si>
  <si>
    <t>Huỳnh Phượng</t>
  </si>
  <si>
    <t>100031603148971</t>
  </si>
  <si>
    <t>Mn chỉ cách giúp mình với ạ. Mặt mình cứ bị mụn liên tục. Lỗ chân lông to. Da yếu. Đợt vừa rồi mình hết srm laroche posay nên chuyển sang srm cosrx. Sd được 1 tuần thì bị đẩy mụn khắp mặt. Trông da mặt rất sần sùi. Toàn mụn đầu trắng và mụn ẩn. Mình dừng luôn và đi nặn mụn. Hiện tại da vẫn còn mụn li ti và thâm nhiều, đỏ. Da k được mịn nữa. Bây giờ mình chỉ dùng nước muối sinh lí để rửa mặt. Ai có cách gì mách mình với 😭😭😭 tks all</t>
  </si>
  <si>
    <t>2019-11-26 06:44:11</t>
  </si>
  <si>
    <t>Hoàng Thúy Luân</t>
  </si>
  <si>
    <t>100004801867714</t>
  </si>
  <si>
    <t>Mọi người giúp mình với ạ. Mình 23 tuổi. Từ lúc mình bị mụn đến giờ chỉ biết dùng decumar. Sau vài tháng thì mình được một người bạn giới thiệu tới rượu thuốc bà lão và mình đã xài được 1 chai ( hơn 2 tuần). Tình cờ mình biết được group này và đọc được các tác hại của rượu thuốc nên ngưng luôn không dám dùng nữa. Bây giờ tình trạng của mặt mình như này đây ạ
Da mình là da dầu và đây là sản phẩm mình đang tính mua để dùng do được một người trong group này chỉ:  
- Nước tẩy trang Loreal lành tính
- Srm Cosrx Low Ph Good 
- Tinh chất Some By Mi Snail True Cica
- Kem chống nắng la roche anthelos XL
Và hiện tại thì mình chỉ có rửa mặt bằng nước muối sinh lý và uống esunvy</t>
  </si>
  <si>
    <t>2019-12-07 14:24:15</t>
  </si>
  <si>
    <t>Phạm Đức Mạnh</t>
  </si>
  <si>
    <t>100003092622469</t>
  </si>
  <si>
    <t>#goctuvan #benhtinhduc
Các chị ơi giúp em với ạ, em có bị nhiễm HPV và bị nổi mụn sùi. Em có đi khám và đốt 1 lần nay bị nổi lại và em có tham khảo dùng AHCC ( như hình) thì hổ trợ trị đặc trị ạ. 
Có ai sử dụng hay biết gì về AHCC này tư vấn giúp em với ạ, em đang hoang mang lắm 😔
Edit 1: em cám ơn các chị nhiều 
Edit 2 : em quan hệ 1:1 và có sd bcs, đừng ai bảo em quan hệ bậy bạ ạ</t>
  </si>
  <si>
    <t>2019-04-30 17:30:56</t>
  </si>
  <si>
    <t>Nguyet Tran</t>
  </si>
  <si>
    <t>100036367501182</t>
  </si>
  <si>
    <t xml:space="preserve">#benhtinhduc #goctuvan </t>
  </si>
  <si>
    <t xml:space="preserve">Nay em mới đi khám bên 02 skin thì được cho thuốc về uống. Mà khi khám thì bác ấn cái gì đó lên da e để soi da rồi cho thuốc nói uống khoảng 9 10 tuần. Cả quá trình e ngồi chưa nóng mông luôn ạ( 3p) . Mà nghe mấy chị bảo uống iso thì phải coi chức năng gan... mà e thì chả thấy soi xét hay hỏi han gì thêm thành ra hơi rén. Chị nào từng dùng iso ở O2 skin theo liệu trình bác sĩ có thể cho e xin kết quả không ạ.
Hình mụn mặt em xin úp ở cmt nếu được duyệt ạ.
Em cảm ơn
#iso </t>
  </si>
  <si>
    <t>2019-10-30 13:37:25</t>
  </si>
  <si>
    <t xml:space="preserve">#iso </t>
  </si>
  <si>
    <t>Da bị như này thì fai dùg j mới khắc phục v mn ơi? Nám tới nơi hay gì rồi huhuhu...mặc dù 1 ngày e đã dàh hẳn 2 tiếg bsag và 3 tiếg btoi để take care da...ko bit tốn bnhiu tiền đi hết các liệu trìh mà sao xấu vẫn xấu v mn 😞😞😞</t>
  </si>
  <si>
    <t>2019-11-15 13:02:52</t>
  </si>
  <si>
    <t>Christina Ng</t>
  </si>
  <si>
    <t>100041274794660</t>
  </si>
  <si>
    <t>#help #munviem
Da em hỗn hợp thiên dầu ạ
Trước em đã bị một đợt mụn viêm dài dày mặt, xong đi spa thì cũng hết và nhẵn, một năm nay không việc gì, nhưng đợt này lạnh xong da em khô căng tức mặt, nhưng da yếu em không dám dùng kem dưỡng, thì giờ nó lên mụn dày liên tục như này, mụn khá to, mủ đầu trắng và nặn ra nhiều máu. Em định đi da liễu ở bệnh viện, ai đã trị được mụn kiểu này dứt điểm ở bv da liễu trung ương phương mai chưa cho em xin review với ạ, chứ gần tết rồi em stress  quạ 😔😔😔😔
Em đang dùng tẩy trang loreal - srm himalaya herbals - mask neem - kcn cell C xanh. Hết ạ :( em biết mụn nên tối giản skincare không dám dụng nhiều</t>
  </si>
  <si>
    <t>2019-12-04 01:02:35</t>
  </si>
  <si>
    <t xml:space="preserve">#munviem #help </t>
  </si>
  <si>
    <t>Xin chào mn ạ.Cho em hỏi cách trị mụn với ạ từ trước đến nay da em ít khi bị mụn lắm ạ chả hiểu sao vài tuần nay nổi mụn nhiều kinh lắm ạ.Bây giờ em cực lo luôn ấy ai biết cách trị hay sản phẩm toner,...gì đấy thì giúp em với ạ. &lt;3
😭</t>
  </si>
  <si>
    <t>2019-12-02 06:02:49</t>
  </si>
  <si>
    <t>Ngọc Quyến</t>
  </si>
  <si>
    <t>100029974814477</t>
  </si>
  <si>
    <t>Mọi người ơi cho e hỏi tóc e dạo gần đây rụng rất nhiều và e cũng mới chuyển sang gội trái bồ kết nhưng e vẫn bị rụng.. E có đọc các phương pháp mấy chị chia sẻ cho các bạn khác nhưng e nghĩ cơ địa mỗi người khác nhau nên cũng tùy phải k ạ..  Có chị nào đã từng đi da liễu khám hay uống thuốc gì đỡ không cho e chút kinh nghiệm đi ạ..  vì có mấy chị khuyên đi da liễu sài gòn nhưng e  k biết có hiệu quả không .. E cảm ơn 😑</t>
  </si>
  <si>
    <t>2019-11-27 13:50:56</t>
  </si>
  <si>
    <t>100017099555918</t>
  </si>
  <si>
    <t>Có một niềm đam mê bất tận với son 💄💄
#đẹp_chanh_sả</t>
  </si>
  <si>
    <t>2019-11-22 10:11:50</t>
  </si>
  <si>
    <t xml:space="preserve">#đẹp_chanh_sả </t>
  </si>
  <si>
    <t>E dg bị thủy đậu đang phục hồi và bong vững.  
Mn tư vấn giúp e giờ dùng gì để không bị sẹo ạ</t>
  </si>
  <si>
    <t>2019-12-12 12:24:40</t>
  </si>
  <si>
    <t>Em chào mọi ngừoi , em đang phân vân giữa 2 kiểu tóc này, có ai làm mấy kiểu này rồi ko ạ ? Không biết kiểu nào giữ sóng lâu hơn ạ, em hay gội đầu ở nhà nên sợ làm tóc về nó ko ra gì ý :)))
Em cảm ơn nha !
#goctuvan</t>
  </si>
  <si>
    <t>2019-11-12 00:39:53</t>
  </si>
  <si>
    <t>Yên Sắc Yếnn</t>
  </si>
  <si>
    <t>100004183563833</t>
  </si>
  <si>
    <t>Chào cả nhà 
Mình năm nay 29t da mình do dính rượu thuốc và kem trộn giờ nó như thế này này đây ạ.Giờ mình tự ti về da mặt mình quá đi đâu ai cũng hỏi da xấu, nhiều nám,nhìn già quá balaba....Mọi người cao tay chỉ cho mình cách khắc phục cho bớt nám với ạ,hay có bạn nào dung kem trị nám nào hiệu quả không chỉ cho mình với ,kem trị nám nào sau khi mình ngừng dùng nó không tái lại càng tốt 
Thanks mọi người</t>
  </si>
  <si>
    <t>2019-11-13 13:20:47</t>
  </si>
  <si>
    <t>Đoàn Duyên</t>
  </si>
  <si>
    <t>100003905766482</t>
  </si>
  <si>
    <t xml:space="preserve"> #goctamsu 
Chào cả nhà! 
Mình đã 26 tuổi chán quá chán vì cái màn hình phẳng mất tự tin quá. Có chị em nào uống mầm đậu nành mà thấy hiệu quả chưa? 
Mong ad duyệt bài này ❤️</t>
  </si>
  <si>
    <t>2019-10-24 13:20:44</t>
  </si>
  <si>
    <t>Ti Gon</t>
  </si>
  <si>
    <t>100035229275795</t>
  </si>
  <si>
    <t xml:space="preserve">#goctamsu  </t>
  </si>
  <si>
    <t xml:space="preserve">
Các chị cho em hỏi là triệt lông nách có hiệu quả không ạ .</t>
  </si>
  <si>
    <t>2019-11-05 08:15:27</t>
  </si>
  <si>
    <t>Hà Kiều</t>
  </si>
  <si>
    <t>100030621735078</t>
  </si>
  <si>
    <t xml:space="preserve"> #Ask
#Rungtoctungmang
      Chào các chị đẹp !
      Trong hội có chị em nào bị rụng tóc từng mảng không cho e xin chút kinh nghiệm chữa trị và phục hồi lại tóc :((
      Trước đây tóc e dày và dài, từ dạo tết e có bị rụng tóc  khá nhiều nhưng e chủ quan nghĩ là rụng tóc bình thường nên không để tâm lắm. 
      Khoảng 2 tháng sau, tóc vẫn tiếp tục rụng và trên đầu xuất hiện những mảng da đầu nhẵn trơn không một cọng tóc nhưng vì nó xuất hiện sau đầu sau đó là hai bên thái dương nên mãi e mới thấy được sự nghiêm trọng của nó 😞
      E có đi khám ở da liễu và dùng thuốc theo đơn của bác sĩ khoảng 3 tháng rồi tóc con đã mọc lại nhưng tóc cũ vẫn rụng không ngừng 😞 e có hỏi thăm  một bạn cũng bị rụng tóc từng mảng chữa trị một thời gian tóc mọc đc khoảng 6cm lại rụng! Hiện tại tóc e mọc được khoảng 2-3cm và  E đang thấy hoang mang dần đều không biết tóc con mọc lại có bị rụng tiếp không 😢😢😢
      Thêm một nỗi buồn nữa là không biết có phải do tác dụng không mong muốn của thuốc không mà gần đây lông tay, lông chân thêm cả lông mặt mọc tùm lum 😅😅 
Chị em bạn dì cho em xin vài lời khuyên nhé😢</t>
  </si>
  <si>
    <t>2019-08-16 13:42:14</t>
  </si>
  <si>
    <t>Đoàn Hằng</t>
  </si>
  <si>
    <t>100015915933988</t>
  </si>
  <si>
    <t xml:space="preserve">#Rungtoctungmang #Ask  </t>
  </si>
  <si>
    <t>Em sợ ghê á cả nhà. Riết rồi em k dám đi spa luôn 😢😢</t>
  </si>
  <si>
    <t>2019-11-25 00:31:06</t>
  </si>
  <si>
    <t>Nhi Yến Phan</t>
  </si>
  <si>
    <t>100005730609934</t>
  </si>
  <si>
    <t xml:space="preserve">
#ask
#chamsoctoc
Em mới đi làm tóc được tư vấn bấm phồng chân tóc  mà giờ bấm xong tóc em xù lên dữ quá thì có cách nào duỗi cho nó thẳng lại được không ạ 😭 em có nên ra tiệm xả tóc bấm ra lại không, em sợ xả ra thì tóc lại hư thêm 😭</t>
  </si>
  <si>
    <t>2019-11-27 06:35:39</t>
  </si>
  <si>
    <t>Môi em dạo gần đây bị nổi hạt mụn trắng trên viền môi li ti khá nhiều. Em tìm hiểu trên mạng thì người ta gọi đó là hạt bã nhờn Fordyce nguyên nhân là do tuyến bã nhờn mọc sai vị trí và do chế độ ăn nhiều dầu mỡ khiến việc tích tụ càng nhiều trên môi làm xuất hiện các đốm li ti màu trắng làm mất thẩm mĩ.
Anh/chị em mình có ai từng bị như em và điều trị thành công bày em với ạ.
Từ lúc môi bị như vậy em son môi không đều màu làm bản thân mất tự tin lắm ạ 😭😭😭
Update: Em dùng loại như hình và thay đổi chế độ ăn thì môi nay giảm rồi ạ. Hạt thu nhỏ hơn.</t>
  </si>
  <si>
    <t>2019-11-18 23:57:41</t>
  </si>
  <si>
    <t>Hương Biện</t>
  </si>
  <si>
    <t>100004384057392</t>
  </si>
  <si>
    <t>Chuyện là gần đến tết rồi mà da mình vẫn ngâm ngâm đen, mình dùng đủ thứ: sữa tắm, dưỡng thể, kem body . Mà vẫn không thấy cải thiện làn da. Mình muốn nhờ mn review sản phẩm nào Sài ok mà nhanh bật tone đón Tết ạ. em cám ơn mm ạ</t>
  </si>
  <si>
    <t>2019-11-14 09:07:39</t>
  </si>
  <si>
    <t>Trương Thị Thúy Hồng</t>
  </si>
  <si>
    <t>100011583188586</t>
  </si>
  <si>
    <t>#trị_thâm #nặn_mụn #help
Mn ơi cho e hỏi chút ạ, chiều nay e vừa đi nặn mụn thit có nặn 1 cái mụn bọc, xong bây giờ nó thâm lại như kiểu tụ máu ấy ạ, thâm 1 nốt to đùng thì e phải làm tn ạ, e sắp chụp kỉ yếu nên lo quá ạ. Da em là hỗn hợp thiên dầu, e đang tính dùng vit C hoặc sp của The Ordinary thì mn tư vấn giúp e đc k ạ? . E cảm ơn mn &lt;3</t>
  </si>
  <si>
    <t>2019-12-16 13:10:36</t>
  </si>
  <si>
    <t>Phạm Trường</t>
  </si>
  <si>
    <t>100009500846647</t>
  </si>
  <si>
    <t xml:space="preserve">#help #nặn_mụn #trị_thâm </t>
  </si>
  <si>
    <t xml:space="preserve">
#lens_mắt
#ask
Em đã từng dùng qua lens dài ngày của Hàn với Thái mà tính em đãng trí 3-4 ngày quên bỏ nước ngâm lens vào nên lens nó bị khô hicc. Anh chị nào có dòng lens dài ngày dành cho những đứa đãng trí như em không ạ - cô gái đau khổ vì quên bỏ nước ngâm lens 😭 HELPPP</t>
  </si>
  <si>
    <t>2019-10-18 15:48:51</t>
  </si>
  <si>
    <t>YenNie Cam</t>
  </si>
  <si>
    <t>100041730497090</t>
  </si>
  <si>
    <t xml:space="preserve">#ask #lens_mắt </t>
  </si>
  <si>
    <t>#ask #eyecream
Hi mọi người, mình 24t mình mới sử dụng kem mắt Kumargic 1 thời gian ngắn mà đọc nhiều review của chị em thấy mọi người chê nhiều quá...Mình đang tính đổi qua mấy dòng như Kiehls, Estee Lauder hoặc Fresh. Ai từng dùng mấy dòng này rồi cho mình xin review với.
Dòng nào dưỡng ẩm tốt giảm thâm đó ạ chứ chắc chưa cần đến chống lão hoá nhỉ??? Hồi trước mình có dùng của SKii mà không hợp huhu. Hoặc ngoài ra dòng kem mắt nào hiệu quả mọi người recommend với nha. 
Mong ad duyệt bài ạ. Thanks.</t>
  </si>
  <si>
    <t>2019-10-25 06:47:16</t>
  </si>
  <si>
    <t>Nguyễn Khương Y Linh</t>
  </si>
  <si>
    <t>100002827709049</t>
  </si>
  <si>
    <t xml:space="preserve">#eyecream #ask </t>
  </si>
  <si>
    <t>Có chị nào mặt bị nổi gân máu giống e ko ạ
Em bị từ nhỏ đến giờ mà không biết làm sao để hết. Ai biết các trị chỉ e với ạ. 
#đepchanhsa</t>
  </si>
  <si>
    <t>2019-12-03 07:59:16</t>
  </si>
  <si>
    <t>#ask #thâm_quanh_miệng #hắc_tố_da
Cho em hỏi ở đây có chị nào bị (và đã chữa khỏi) những vùng thâm trên mặt mà không phải do mụn không ạ?
Da mặt e cũng gọi là trắng, đặc biệt vùng má trắng hồng nhưng đặt cạnh 2 bên mép thâm đen thì tương phản thấy rõ luôn í ạ :(.
Em đã thử dùng vitC, mặt nạ nghệ, gạo, chanh, dùng kem chống nắng, tẩy da chết... Nói chung là rất nhiều cách nhưng chỗ thâm quanh miệng vẫn không thuyên giảm ạ, đặc biệt càng dưỡng da e càng trắng và lại càng tương phản với vùng miệng :(( Nhiều lúc bạn bè cứ tưởng e bôi kem bôi phấn gì mà mặt cứ loang lổ chỗ đen chỗ trắng, buồn lắm ạ.
Ai có kinh nghiệm giúp e với. À với cả laser có trị được cái này ko ạ?</t>
  </si>
  <si>
    <t>2019-05-07 03:52:14</t>
  </si>
  <si>
    <t>Ng Ngoc Quyen</t>
  </si>
  <si>
    <t>100035302849087</t>
  </si>
  <si>
    <t xml:space="preserve">#hắc_tố_da #thâm_quanh_miệng #ask </t>
  </si>
  <si>
    <t>Mong đk duyệt bài😭😭😭
Hiện tại da mặt của mình thực sự kinh khủng ra ngoài phải bịt khẩu trang ngay cả trong lớp học😭😭
Hiện tại da mình vừa bị mụn viêm (sờ có lớp cứng dưới da như máu tụ) vừa bị mụn mủ mọc lên  già bể rồi lại mọc lại lúc đầu bị mấy chỗ bây giờ nó lan khắp mặt nguyên nhân đầu tiên là do dùng bộ innisfree trà xanh🤬🤬🤬 da em bị mụn đầu đen khắp mũi má mụn bọc cx có nhiều da e thuộc da khô bh vào mùa đông nó lóc vảy rát ngứa mặt lắm😭 
Cách đây hơn năm từng dùng thuốc bóc da (hối hận) mặt e bh mụn vẫn cứ tiếp tục lan mà thâm càng đậm ạ 😭😭 
Htai e rửa mặt bằng innisfree (dùng thử some by mi cx ko hợp ạ) 
Mong mọi ng chỉ bày cách chữa e vs ạ e bên hàn nên đi da liễu hay spa sợ tốn kém quá ko đủ khả năng🥺🥺👺</t>
  </si>
  <si>
    <t>2019-12-04 23:41:27</t>
  </si>
  <si>
    <t>Nguyễn Thị Mai Sương</t>
  </si>
  <si>
    <t>100028085310962</t>
  </si>
  <si>
    <t>mọi người ơi cho e hỏi mình nên nhuộm màu gì để khi tóc xuống màu hay ra đen nhìn nó kh quá phân biệt tóc ấy. đợt trc e nhuộm màu sáng quá nên tóc ra đen nhìn rõ lắm vả lại màu bị xuống vàng cháy ấy ạ :&lt; bạn em kêu nên đi nhuộm nâu tây mà e kh biết nó ổn không. cám ơn ad đã duyệt bài ạ
#nhuomtoc #ask</t>
  </si>
  <si>
    <t>2019-12-07 05:15:06</t>
  </si>
  <si>
    <t>100008416652343</t>
  </si>
  <si>
    <t xml:space="preserve">
Mọi người cho mình hỏi là phần da cạnh mũi và trên dưới môi của mình bị nổi khá nhiều mục nhỏ li ti thế này thì gọi là gì và trị làm sao với ạ.
Da mình là da thường nha. Hiện tại mình chỉ dùng srm Senka chai màu xanh dương, lotion và dưỡng ẩm của Hatomugi thôi ạ. Có đắp mặt nạ tro núi lửa của innisfree, đắp mặt nạ giấy và tẩy da chết 2 lần 1 tuần nha.</t>
  </si>
  <si>
    <t>2019-11-21 15:01:56</t>
  </si>
  <si>
    <t>Shuay Lin</t>
  </si>
  <si>
    <t>100002768420694</t>
  </si>
  <si>
    <t>Mặt e 2 tháng nay bị nổi mụn như vậy ạ
Chị e có bí quyết j chia sẽ bí quyết e với
Da e cứ sáng faayj la i như chão dầu
Mog ad duyệt ạ</t>
  </si>
  <si>
    <t>2019-12-04 15:10:07</t>
  </si>
  <si>
    <t xml:space="preserve">Mọi người ơi cho em xin tips sản phẩm trị thâm bên mép môi với ạ :((( nhìn xa thì không sao nhưng mà nhìn gần nhìn giống như ăn xong không chùi mép vậy ạ :(
</t>
  </si>
  <si>
    <t>2019-12-11 13:17:17</t>
  </si>
  <si>
    <t>#đẹp_chanh_xã
#rụngtóc
#help
Tầm 2-3 tháng đỗ lại gần đây tóc em rụng khá nhiều... sáng chải tóc đi làm thấy rụng mà sót lắm.
Chị em có ai biết cách trị rụng tóc hiệu quả chỉ hộ em với ạ......😢😢</t>
  </si>
  <si>
    <t>2019-11-14 04:14:33</t>
  </si>
  <si>
    <t>Lê Quỳnh Như</t>
  </si>
  <si>
    <t>100017906688577</t>
  </si>
  <si>
    <t xml:space="preserve">#help #rụngtóc #đẹp_chanh_xã </t>
  </si>
  <si>
    <t>Mọi người ơi tư vấn giúp e với làm sao hết cái vết này ạ. Nó bám e 2 năm rồi. Làm cách nào cũng không hết ạ</t>
  </si>
  <si>
    <t>2019-06-09 09:51:04</t>
  </si>
  <si>
    <t>Vĩnh Phước</t>
  </si>
  <si>
    <t>100015435851268</t>
  </si>
  <si>
    <t>Các chị cho em hỏi có loại nào trị thâm ntn ko ạ e bị thâm tầm 2 năm rồi mà bôi nghệ ko khỏi</t>
  </si>
  <si>
    <t>2019-12-23 16:15:26</t>
  </si>
  <si>
    <t>100022672879812</t>
  </si>
  <si>
    <t>Mai thảo mộc bị thu hồi thì giờ lại đẻ ra đứa em Dr.Mai, dự là sắp tới nhiều người bị dính Dr.Mai này lắm đây 🤣
#drmai #maithaomoc</t>
  </si>
  <si>
    <t>2019-12-17 01:16:15</t>
  </si>
  <si>
    <t>Chi Tinh</t>
  </si>
  <si>
    <t>100007833193372</t>
  </si>
  <si>
    <t xml:space="preserve">#maithaomoc #drmai </t>
  </si>
  <si>
    <t>Ad duyệt giúp e nhé! 
E mới bị tai nạn xe mn có loại kem trị sẹo nào đã dùng k mà thấy hiệu quả k ạ chỉ e với ạ. E cảm ơn</t>
  </si>
  <si>
    <t>2019-11-18 12:42:03</t>
  </si>
  <si>
    <t>Vũ Thị Diệu Linh</t>
  </si>
  <si>
    <t>100037838024817</t>
  </si>
  <si>
    <t>#uốnmi 
Các chị ơi cứu e huhu. E lỡ dại uốn mi được 2 tuần rồi mà vẫn chưa nhả được thuốc. Nó làm mi e khô queo, nhảu dựng lên, chỗ thì cong tít chỗ thì gãy, k theo 1 trật tự nào hết. Thực sự nhìn vào gương muốn cắt trụi mẹ mi đi. Huhu e nên làm gì bây giờ ạ.</t>
  </si>
  <si>
    <t>2019-11-19 05:38:37</t>
  </si>
  <si>
    <t>Trần Trúc</t>
  </si>
  <si>
    <t>100009935374384</t>
  </si>
  <si>
    <t xml:space="preserve">#uốnmi </t>
  </si>
  <si>
    <t>Mấy chị cho e hỏi,e bị dính thuốc rượu 2 lần 
Giờ mặt tạm ổn, còn vài cái mụn và thâm nhiều
Do nguồn nước chỗ e không sạch nên sau khi rửa mặt bằng sữa rửa mặt,lau lại bằng nước muối sinh lý rồi bôi luôn megaduo lên được không ạ? Lau mặt bằng nước muối sinh lý để nguyên không rửa lại với nước có được k ạ?</t>
  </si>
  <si>
    <t>2019-11-30 00:06:15</t>
  </si>
  <si>
    <t>Ngọc Trinh Trần</t>
  </si>
  <si>
    <t>100039432613202</t>
  </si>
  <si>
    <t xml:space="preserve">Thả vào đây quả ảnh "banh chành" của các bạn đi :)))
Cre on pic
</t>
  </si>
  <si>
    <t>2019-12-21 02:36:29</t>
  </si>
  <si>
    <t>Mọi người giúp em với ạ, em năm nay 20 tuổi, da em thuộc dạng dầu siêu nhiều luôn, rất nhiều mụn đầu đen với lỗ chân lông khá to. Em hiện tại dùng tẩy trang xanh của Biodemar, srm dạng bọt của Centaphil, mặt nạ đất sét của Kiehl's kết hợp xông mặt nước ấm 1 tuần 1 lần. Em không rõ tẩy tế bào chết thì nên làm cùng ngày với xông mặt luôn hay không ạ :(( mọi người cho em lời khuyên nên dùng thêm gì ạ :(( cảm ơn mọi người ❤
#hỏiđáp
#giúpđỡ</t>
  </si>
  <si>
    <t>2019-11-29 00:23:44</t>
  </si>
  <si>
    <t>Pu Bông</t>
  </si>
  <si>
    <t>100011886914231</t>
  </si>
  <si>
    <t xml:space="preserve">#giúpđỡ #hỏiđáp </t>
  </si>
  <si>
    <t>#hoidap #goctuvan 
Các chị em trong hội ơi! Em bị cục mụn này đc tầm 5 ngày rồi có bôi thuốc nhưng không đỡ nó vẫn to như vậy :((( trong cục mụn e thấy có mủ có - 2 3 đầu mụn màu đen . Bây giờ em nên bôi thuốc hay là đi khám ạ? Nếu mấy chị biết thuốc bôi nào chỉ giúp e với ạ em cảm ơn</t>
  </si>
  <si>
    <t>2019-10-31 13:52:59</t>
  </si>
  <si>
    <t>Mie Nguyễn</t>
  </si>
  <si>
    <t>100011483508054</t>
  </si>
  <si>
    <t xml:space="preserve">#goctuvan #hoidap </t>
  </si>
  <si>
    <t>#ask thanks ad duyệt bài ạ.
Em muốn hỏi các chị xinh đẹp có cách nào để tóc con không dựng ngược hết lên nữa không ạ? Tóc em trộm vía dạo này tốt tươi phần tóc mái với bò liếm. Nhưng do chất tóc tơ, mùa này dễ tĩnh điện mà em thì cứ túm hết tóc ra phía sau nên phía trước lơ thơ 1 đám vểnh ngược lên trông buồn cười lắm. 
Em muốn nhờ các chị tư vấn 1 sản phẩm tự nhiên, ko nhiều hóa chất mà vẫn giữ tóc vào nếp ạ.</t>
  </si>
  <si>
    <t>2019-12-06 13:45:06</t>
  </si>
  <si>
    <t>DanThanh Dang</t>
  </si>
  <si>
    <t>622036169</t>
  </si>
  <si>
    <t>#trịsẹo 
Hello cả nhà, tình hình là do trước nay cũng ko để ý tới nhan sắc bản thân nên sau vài đợt mụn te tua hồi c3, dh thì h mặt t bị rỗ kha khá và có cả thâm. Lướt lướt thì thấy mấy cái vid quảng cáo của các TMV (như ảnh). T biết là thời h tin vô quảng cáo chỉ có chết nhưng t tò mò là cái phương pháp như hình  đã có ai thử  chưa? Tiện thể cho t xin review hiệu quả và 1 vài cơ sở uy tín nhé. Mãi yêu, bóp đýt</t>
  </si>
  <si>
    <t>2019-12-10 00:43:12</t>
  </si>
  <si>
    <t>Thi Dang</t>
  </si>
  <si>
    <t>100021821142018</t>
  </si>
  <si>
    <t>cho mình hỏi có ai dùng loại này chưa ạ. tóc mình mới gội xong mà nhìn nó đã bết rồi nghe nói loại này trị gàu với đỡ bết tóc hơn
 #daugoi</t>
  </si>
  <si>
    <t>2019-12-19 03:03:34</t>
  </si>
  <si>
    <t xml:space="preserve">#daugoi  </t>
  </si>
  <si>
    <t>#skincare #reveiw
Chị em có ai dùng qua dòng kem vento thuỵ sĩ này reveiw giúp em vs ạ ☺️
Tks mọi người 🌸</t>
  </si>
  <si>
    <t>2019-09-28 08:32:22</t>
  </si>
  <si>
    <t>Nguyễn Huỳnh Như</t>
  </si>
  <si>
    <t>100021665873268</t>
  </si>
  <si>
    <t xml:space="preserve">#reveiw #skincare </t>
  </si>
  <si>
    <t>#help #tưvấn
Mong được ad duyệt ạ. Em cám ơn ad nhiều
Mn cho e hỏi túyp này dùng trị mụn sưng, mụn bọc có được không mn. Em mới mua nên chưa dám xài. Em đọc hướng dẫn thì thấy nó dễ làm khô da, bóng tróc. Có ai xài hoặc túyp này không nên xài thì cho e xin review với ạ. Em cám ơn mn nhiều.</t>
  </si>
  <si>
    <t>2019-11-13 15:23:19</t>
  </si>
  <si>
    <t>My Lê</t>
  </si>
  <si>
    <t>100024378498018</t>
  </si>
  <si>
    <t xml:space="preserve">#tưvấn #help </t>
  </si>
  <si>
    <t>Mọi người cho mình hỏi bị sụp mi thế này có cách nào làm cho mi nó căng lên lại ko ạ? 
 Mình bị cận cũng nặng mắt phải 2.75 trái 3.5 khoanh tròn là mắt trái, cảm giác cận nặng hơn nên mắt khá dại vì mình đeo kính nhiều, bỏ ra mắt cứ lờ đờ, giờ mình còn phát hiện là mi nó thấp hơn hẳn mắt bên phải, thả lỏng mắt thì nó giống như lừ đừ vậy. 
 Có cách nào để nó hết bị vậy ko mọi ng, chụp hình nhìn nó buồn ngủ do sụp mí vậy ấy. 😢
P/s: Mình search GG thì thấy toàn ghi là sụp mí thôi, mắt trái mình ko mở to dc như mắt phải, mi mắt mở bt thả lỏng, chỉ mở dc hơn 1/2 con ngươi thôi, nhìn rất dại.</t>
  </si>
  <si>
    <t>2019-12-23 03:42:30</t>
  </si>
  <si>
    <t>Hoàng Lê</t>
  </si>
  <si>
    <t>100000169002102</t>
  </si>
  <si>
    <t>#ask#help#saulankim
Mặt m lăn kim lần đầu ở spa để trị sẹo rỗ
Lăn từ tối thứ 6 mà h bị ngứa râm ran và có hiện tượng này là có bình thường ko mọi người?
Mình dùng kim 1.0mm và sản phẩm của korea
Sau lăn spa cho sử dụng sp dùng trong quá trình lăn để bôi sáng/tối luôn
Mình nên làm thế nào để bớt đỏ/sạm và ngứa nhanh hả mọi ng?vì hỏi spa họ chỉ bảo bôi cái của họ cho và rửa nc sạch ngày 2 lần vậy thôi ạh
EDIT : SP Lăn là chai này và 2-3 chai nữa m ko có ảnh, lăn xong thì spa mix lại và cho m mang về bôi</t>
  </si>
  <si>
    <t>2019-08-11 03:23:00</t>
  </si>
  <si>
    <t>Thuy Nguyen</t>
  </si>
  <si>
    <t>1274876157</t>
  </si>
  <si>
    <t xml:space="preserve">#saulankim #help #ask </t>
  </si>
  <si>
    <t>Lướt newfeed thấy bọn này chạy quảng cáo. Hết mỹ phẩm lại lấn sân sang thuốc, tpcn. Từ bao giờ mà thuốc, tpcn đc gia công rộng rãi như vậy. Sợ thật!</t>
  </si>
  <si>
    <t>2019-12-11 12:15:08</t>
  </si>
  <si>
    <t>Phan Ngọc Vân</t>
  </si>
  <si>
    <t>100007816394353</t>
  </si>
  <si>
    <t>Hịc. Mọi người có thê review về loại rửa mặt dành cho da dầu, dễ mọc đủ thứ mụn như em với ạ. Đợt rồi mua sữa rửa mặt sài bị kích ứng. Em Ngưng rồi, và chỉ rửa mặt bằng nước muối pha loãng... Sẵn cho em biết thêm là, da em dầu nên dùng tẩy trang, toner nào thì hợp ạ. Em cám ơn mọi người ❤️❤️ 
 #Góctưvấn</t>
  </si>
  <si>
    <t>2019-12-18 01:59:54</t>
  </si>
  <si>
    <t>100008259965898</t>
  </si>
  <si>
    <t xml:space="preserve">#Góctưvấn  </t>
  </si>
  <si>
    <t xml:space="preserve">
#triseo
Mn có ai từng bị phỏng bô xe chưa ạ, em vừa bị phỏng thì nên dùng gì để không bị để lại sẹo? 😢😢</t>
  </si>
  <si>
    <t>2019-12-17 01:14:50</t>
  </si>
  <si>
    <t>Diễm Ngọc</t>
  </si>
  <si>
    <t>100005978647860</t>
  </si>
  <si>
    <t>Mắt em bị lệch và bên to bên nhỏ rồi mọi người ạ 😭 mọi người có biết cách nào khắc phục được không 😭 cả gương mặt em không có gì đẹp cả, đến đôi mắt cũng không đẹp 😭
#tuvan #matlech</t>
  </si>
  <si>
    <t>2019-12-01 09:04:14</t>
  </si>
  <si>
    <t>Maia Lê</t>
  </si>
  <si>
    <t>100008904885904</t>
  </si>
  <si>
    <t xml:space="preserve">#matlech #tuvan </t>
  </si>
  <si>
    <t xml:space="preserve">
#tuvantrimun
Xin chào các mem của group mình. Mong ad duyệt bài ạ. Em năm nay 19 tuổi, bị mụn cũng mấy năm rồi. Dù đã làm nhiều pp như đi da liễu TW, trị ở spa nhưng tình hình không mấy cải thiện ạ. Mong các anh chị bạn trong group tư vấn giúp em với. Em bị mọi người chê tự ti quá. Em không thức khuya ạ, thi thoảng hơi stress nhẹ. Các sản phẩm hiện tại em dùng là 
_srm naruko tràm trà
_tẩy trang ganier nắp trắng thân xanh
_toner simple
_khoá ẩm neutrogena
_chấm mụn duo+
_trị thâm mellano cc
_kcn sunbear nắp xanh
_viên uống blackmore
Ảnh da mặt em đây ạ. Trị mụn hoài không đỡ em khổ tâm lắm. Please help me</t>
  </si>
  <si>
    <t>2019-11-29 07:40:31</t>
  </si>
  <si>
    <t>100028284794513</t>
  </si>
  <si>
    <t xml:space="preserve">#tuvantrimun </t>
  </si>
  <si>
    <t>#Help
Chào mọi người, đây là bài viết đầu tiên của em. Tình trạng da em hiện tại có mụn đầu đen ở mũi, mụn ẩn, thâm lâu do em ngứa tay để lại, lỗ chân lông to. Em không biết da mình là da gì nhưng đổ rất nhiều dầu, dùng tay sờ lên chỗ nào cũng có dầu nhờn rất khó chịu. Mong mọi người tư vấn giúp em. Em cảm ơn.</t>
  </si>
  <si>
    <t>2019-12-20 22:21:37</t>
  </si>
  <si>
    <t>Thanh Thuy</t>
  </si>
  <si>
    <t>100031499686340</t>
  </si>
  <si>
    <t>#baptayto
Mọi người ơi có cách nào giúp bắp tay nhỏ lại không? Bắp tay t to đùng, vì là di truyền nên tập gym các thứ không ăn thua. T lại nhỏ người nên không có giảm cân thêm được nữa 😭.
Các m tưởng tượng đi t 40kg tay chân tong teo mà cái bắp tay nó như đô vật ý. Nay t lên được 46kg thì ôi thôi bao nhiêu thịt mỡ nó dồn lên bắp tay với mặt . 
Có ai giảm được vùng bắp tay chưa cho t xin bí quyết đi, muốn mặc 2 dây sát nách các thứ mà nhìn gớm k thể chịu được 😭😭😭</t>
  </si>
  <si>
    <t>2019-05-13 03:07:49</t>
  </si>
  <si>
    <t xml:space="preserve">#baptayto </t>
  </si>
  <si>
    <t>M.n ơi! Da e không đen bẩm sinh mà do 2 tay e tiếp xúc với nắng nhiều nên đen, e đang muốn đi hấp trắng phi thuyền, m.n cho e ý kiến với ạ!!!</t>
  </si>
  <si>
    <t>2019-12-06 23:47:32</t>
  </si>
  <si>
    <t>100038503721283</t>
  </si>
  <si>
    <t>#dàimi
Xin chào mng, hnay mình sẽ chia sẻ cách mình dưỡng dài mi và cong mi tự nhiên
Mình dùng dưỡng vaseline dưỡng dài mi và dưỡng môi laneige để làm cong mi tự nhiên
Ảnh 1 là khi mình dùng dưỡng dài mi vaseline đc 1 tuần, ảnh 2 là 3 tuần và mới dùng laneige đc 2 hôm. Lông mày của mình cũng đc dưỡng bằng va để mọc về 1 hướng đẹp hơn cả cũng dài hơn. Dưỡng vào buổi tối trước khi đi ngủ, k nên vuốt mạnh vì sẽ làm rụng mi ạ
Edit : Ngoài ra e trị sơ tóc bằng váeline, sau khi gội đầu gấy khô 80% , thoa vaseline vào lòng bàn tay xoa đều 2 tay sau đó vuốt tóc của mình, ko đc bôi trực tiếp 1 cục nên tóc đâu nhé sẽ bị bết tóc. 
Em muốn hỏi sản phẩm trị thâm do mụn thật sự tốt ạ, e nhanh khỏi mụn nhưng để lại thâm rất lâu :(((
Edit : Chào mng ạ, sorry vì ko check inbox đc nên e sẽ share trực tiếp lên đây ạ, mặc dù share bí kíp dài mi nhưng mng hỏi nhiều nên e cũng chia sẻ về da. Em xin share bí kíp chăm sóc da mặt cũng như cả cơ thể mình. Da em là da hỗn hợp. Trước khi đi ngủ em khuyên các chị nên uống ít nhất 1-2 cốc nước để đào thải chất trong cơ thể, sáng dậy cũng vậy. Các bước skincare của e rất đơn giản e m quan niệm là hạn chế mỹ phẩm để da đc thông thoáng và nghỉ ngơi : Tẩy trang, dùng sữa mặt Perfect whip ( giá bình dân, dùng qua các loại srm nhưng e vẫn ưng cái này nhất ), đắp mặt nạ ( tuần 2 lần, em dùng mặt nạ bạn e gửi từ Hàn về loại có hình viên thuốc ý), nước hoa hồng, kem dưỡng ẩm clinique, kem dưỡng trắng v7, dưỡng môi, mi, mày, tóc vaseline. À e còn dùng túi trà lọc atiso để trị thâm quầng mắt và uống.</t>
  </si>
  <si>
    <t>2019-12-12 08:55:42</t>
  </si>
  <si>
    <t>Pea Trịnh</t>
  </si>
  <si>
    <t>100034073350602</t>
  </si>
  <si>
    <t xml:space="preserve">#dàimi </t>
  </si>
  <si>
    <t>#ask #matlech 
Xin chào mng. E biết là trong nhóm đã có nhiều topic về mặt lệch nhưng chưa thấy trường hợp nào lệch nặng như mặt e ấy ạ 😞😞😞. Mặt e chụp cam trước bằng app thì hoàn toàn bình thường nhưng nếu chụp cam sau dù bằng điện thoại hay máy ảnh thì sẽ lệch và cam trước thường thì còn lệch dã man hơn 😭😭😭😭  cho dù nhìn bình thường thì một bên mặt của e có to hơn thật nhưng phải nhìn kĩ mới thấy và lên ảnh thì nó sẽ lệch từ cằm kéo theo mắt mũi luôn 😞😞 các a/c cho e hỏi là niềng răng có khắc phục được ko hay phải pttm mới hết đc ạ ??? Chứ lúc nào chụp ảnh chung cùng các bạn e toàn phải nhìn xuống đất hoặc quay nghiêng mặt tự ti kinh khủng huhuhu.  
E thuận tay trái và mặt e cũng lệch về bên trái ạ kb đấy có phải lí do không nữa 😔😔😔😔</t>
  </si>
  <si>
    <t>2019-08-06 10:45:52</t>
  </si>
  <si>
    <t>Tr Hai Anh</t>
  </si>
  <si>
    <t>100008846329356</t>
  </si>
  <si>
    <t xml:space="preserve">#matlech #ask </t>
  </si>
  <si>
    <t>K biết ở đây có ai tay bị như thế này k ạ???
Cho e xin một vài tips khắc phục chứ trời cứ hanh khô một tí thôi đã thành thế này r an. Đi ra ngoài thật k dám đưa tay ra, tự ti kinh khủng</t>
  </si>
  <si>
    <t>2019-12-04 14:54:33</t>
  </si>
  <si>
    <t>100024349001014</t>
  </si>
  <si>
    <t>#lochanlongto #mundauden #muncam
Chào mọi người, không biết có ai đã từng bị lỗ chân lông vùng cánh mũi to mà có màu nâu nâu như mình không. Nhìn xa thì không thấy, mà mỗi lần soi gương gần là nhìn sợ khiếp. Mình có dùng laroche posay k+ nhưng không có kết quả, dùng mấy loại mặt nạ đẩy mụn cám thì có sạch lỗ chân lông nhưng được 2-3 ngày thì lại về như cũ. Có bạn nào như mình mà hết rồi cho mình xin vài bí quyết với ạ!
Mong ad duyệt bài cho mình nha!!</t>
  </si>
  <si>
    <t>2019-12-26 00:22:21</t>
  </si>
  <si>
    <t>Mai Nhi</t>
  </si>
  <si>
    <t>100037101488739</t>
  </si>
  <si>
    <t xml:space="preserve">#muncam #mundauden #lochanlongto </t>
  </si>
  <si>
    <t>Mọi người giúp em giảm gì hay bổ sung gì nữa cho da mặt em cải thiện với ak
Tết tới mông dồi mà chưa thay đổi gì...
Dạ mặt em cứ như thế này
Hiện tại em xài những thứ nì đấy ak...
Mà da mặt vẫn chưa thấy giảm mụn,mụn ẩn nữa,da nhờn,lỗ chân lông to,ngăm đen...
Túm lại đủ các thành phần...
Cảm ơn các đồng chí 😍</t>
  </si>
  <si>
    <t>2019-11-03 13:13:57</t>
  </si>
  <si>
    <t>Beli Nguyen</t>
  </si>
  <si>
    <t>100005001874621</t>
  </si>
  <si>
    <t>#ask #triệtbikini
Cho em hỏi mọi người trong group có ai từng wax hay triệt lông vùng kín ở dưới chưa ạ?
Đọc thấy có nhiều phương pháp quá mà không biết phương pháp nào tối ưu với triệt để hoàn toàn không chứ phần dưới rậm rạp quá mình nhìn còn khó chịu huống chi người yêu sau này :((((</t>
  </si>
  <si>
    <t>2019-06-07 04:31:27</t>
  </si>
  <si>
    <t>Hồ Nhật Vi</t>
  </si>
  <si>
    <t>100006611466404</t>
  </si>
  <si>
    <t xml:space="preserve">#triệtbikini #ask </t>
  </si>
  <si>
    <t>Ha lo các chị em
Mình muốn hỏi về tuýp chống nắng tốt khi đi biển và nó làm da mình hơi bóng bóng ý ạ?! 🧐
Thank you 😘😘</t>
  </si>
  <si>
    <t>2019-11-27 05:35:49</t>
  </si>
  <si>
    <t>Nguyễn T. Thanh Hằng</t>
  </si>
  <si>
    <t>100007979709045</t>
  </si>
  <si>
    <t>Gấp lắm ạ 
Hồi hè em mới tai nạn khâu sát mắt nay sẹo hết nhưng thành sẹo đỏ 
Mng cho em lời khuyên và các loại thuốc vừa tầm học sinh với 
#help_ĐCS</t>
  </si>
  <si>
    <t>2019-12-09 00:47:42</t>
  </si>
  <si>
    <t>Trần Thị Trung</t>
  </si>
  <si>
    <t>100022864561059</t>
  </si>
  <si>
    <t xml:space="preserve">#help_ĐCS </t>
  </si>
  <si>
    <t>#help #ask
Các chị cho em hỏi mặt mẹ em bị như này thì có cách nào để trị hay có thuốc gì uống đỡ không ạ ( tránh dùng mấy thuốc bôi trực tiếp lên da ạ tại da mẹ em nhạy cảm, bôi gì cũng dị ứng ). 
Mặt mẹ em cứ ra nắng là nổi nốt sần sần lên bóp ra thì bên trong lại có nước. Đã từng ra Da Liễu nhiều lần nhưng không trị được ạ. Mẹ em có uống thuốc Myspa ở cuối hình ấy ạ, uống được 1 tháng thì cũng đỡ nhiều mà không uống lại bị lại ạ. 
Các chị giúp em với ạ 😭😭😭</t>
  </si>
  <si>
    <t>2019-05-03 04:03:12</t>
  </si>
  <si>
    <t>Ha Ngo</t>
  </si>
  <si>
    <t>100010330893219</t>
  </si>
  <si>
    <t>Mọi người cho mình hỏi ko liên quan đến làm đẹp ạ. Trong này mọi người có ai đi xóa hình xăm chưa ạ, xóa có đau ko, có hết và để lại sẹo không vậy mọi người .</t>
  </si>
  <si>
    <t>2019-11-17 03:03:23</t>
  </si>
  <si>
    <t>100006832893411</t>
  </si>
  <si>
    <t xml:space="preserve">
#khomoi
Chào mọi người! Ko biết ở đây có ai bị khô môi lâu năm giống như em ko ạ? Em bị từ lúc bé đến giờ luôn ý, cứ thấy khô là bóc ra đến chảy máu. Nhưng mà có nhiều lúc trời lạnh môi em tự nứt ra luôn đau kinh khủng 😭😭😭. Mọi người có thể chỉ em bí quyết nào để hết khô môi ko ạ? Em có dùng nhiều loại son dưỡng môi kể cả vaseline nhưng mà vẫn ko ăn thua 😔. Mà em thì hay dùng son môi nữa mọi người có thể tư vấn em nên dùng loại son nào để tránh bị khô môi ko ạ? Em cảm ơn ạ! ❤️</t>
  </si>
  <si>
    <t>2019-09-06 02:16:39</t>
  </si>
  <si>
    <t>Trần Phạm Mỹ Duyên</t>
  </si>
  <si>
    <t>100003087018551</t>
  </si>
  <si>
    <t>#ask #suaruamat
Tình hình là da mình là da thường khá dễ nổi mụn. Muốn tìm 1  srm phù hợp vs da mà khó quá. Mình từng dùng thử khá nhiều loại như: Cosrx, Naruko, Cetaphil, sum 37, cerave.... nhưng vẫn chưa thấy loại nào hợp vs da mình hết á. Tính thử srm hoa cúc mini này. Không biết các cậu ai dùng em này chưa ạ ? Có thể tư vấn cho mình chút không ạ? Cảm ơn 🤗🤗🤗</t>
  </si>
  <si>
    <t>2019-08-04 08:04:00</t>
  </si>
  <si>
    <t>Lãnh Hạo Thiên</t>
  </si>
  <si>
    <t>100010376016258</t>
  </si>
  <si>
    <t xml:space="preserve">#suaruamat #ask </t>
  </si>
  <si>
    <t>Mọi người cho mình hỏi, mình bị vết thâm này từ tai nạn xe năm trước. Lúc đầu mình không sử dụng nghệ với mật ong, mà chỉ sử dụng típ kem bình thường. Mọi người có cách nào làm cho nó mờ lại và hết hẳn chỉ mình. Cám ơn mọi người.</t>
  </si>
  <si>
    <t>2019-12-04 03:36:43</t>
  </si>
  <si>
    <t>Hoàng Lợi</t>
  </si>
  <si>
    <t>100004043754570</t>
  </si>
  <si>
    <t>Cho em hỏi với tay em mùa hè bị như ảnh giống bị nứt nẻ vs khô. Giờ vào mùa đông rùi nó còn khô thô ráp hơn trông sợ lắm ạ. Cả gót chân nữa 😞 e có ra hiệu thuốc mua 1 tuýp như thuốc mỡ để bôi nhưng ko ăn thua. các c có cách nào ko ak?? Giúp e với :(((</t>
  </si>
  <si>
    <t>2019-12-03 12:17:49</t>
  </si>
  <si>
    <t>100006956283946</t>
  </si>
  <si>
    <t>#ask #review
Admin duyệt bài giúp em
Chị em xài serum Melano CC này rồi cho mình xin review về công dụng trị thâm sau mụn với ạ. Da  em hỗn hợp thiên dầu đang mụn xài được không ạ hay trị mụn xong mới xài được? 
Em cảm ơn ❤</t>
  </si>
  <si>
    <t>2019-10-16 04:34:30</t>
  </si>
  <si>
    <t>An Nhiên Trần</t>
  </si>
  <si>
    <t>100009583128527</t>
  </si>
  <si>
    <t>Góc cầu cứu!!!
E vừa trải qua đợt mụn kinh hoàng nhất trong đời 😟
Giờ nhân mụn cũng lấy hết rồi, thì mặt còn 1 đống thâm. Từ khi mặt phát mụn, e k dùng 1 sp j nữa cả. Chỉ đi spa cho ngta xông mặt nặn mụn rồi đắp mặt ở spa thôi.
Bây giờ như các c thấy thì mặt thâm mụn rất kinh khủng và thêm lỗ chân lông siêu to nữa. E đang k biết dùng sp k để cải thiện da nữa. Rất mong được các c chỉ tên cho e 1 vài sp với ạ.
Và cho e hỏi luôn bây giờ e dùng peel da có dk k ạ
E rất cảm ơn</t>
  </si>
  <si>
    <t>2019-12-15 05:54:06</t>
  </si>
  <si>
    <t>Hoàng Nhã Phương</t>
  </si>
  <si>
    <t>100012811442997</t>
  </si>
  <si>
    <t>#rụngtoc
#help
- Bỗng dưng 1 tháng nay tóc mình rụng quá trời rụng luôn, mình cũng đi Da liễu khám và xét nghiệm các thứ, bác sĩ bảo kg có gì bất thường cả. (Chắc là do nội tiết rối loạn, stress, căng thẳng, lo âu trầm cảm... mà cái nào mình cũng dính cả)
- Có ai rụng tóc nhiều mà đã khắc phục được chưa, chứ mình stress quá, đêm ngủ còn mơ thấy tóc, rồi khóc quá chừng. 😭😭 
-Mình tìm hiểu 1 số Thông tin là sau khi sốt xuất huyết 1-2 tháng sau sẽ có hiện tượng rụng tóc đúng kg ạ? Vì cách đó 2 tháng mình cũng bị sốt xuất huyết nửa. 
-Hiện mình đang gội bồ kết, dùng dầu bưởi thoa da đầu, uống maxhair, Crowning Glory(cái này mua ở hiệu thuốc), kẹo nail hair &amp; skin hủ hồng (đang đặt thêm vitamin b5 100mg và biotin nửa.) và một thuốc ở bệnh viện kê là vitamin bổ sung này nọ. Mà kg thấy cải thiện gì cả, vẫn rụng rất rất rất nhiều, chỉ cần vuốt là rụng, đụng là rụng. dù mình có tóc con nhưng tóc con vẫn bị rụng đi. 
-mọi người ơi, có cách gì chỉ giúp mình với. Mình biết ơn mn nhiều lắm luôn. 😭😭
- ảnh dưới là tóc mình khi gội và khi khô ạ, cho dù ngày hôm đó mình có không gội đầu thì nó vẫn rụng, như thể nó bắt buộc phải rụng đi vậy đó :)) 
Help me!!!!! 😭</t>
  </si>
  <si>
    <t>2019-03-09 10:26:24</t>
  </si>
  <si>
    <t>Lý Tố Như</t>
  </si>
  <si>
    <t>100005267265482</t>
  </si>
  <si>
    <t xml:space="preserve">#help #rụngtoc </t>
  </si>
  <si>
    <t>#ask #goctuvan #thammat #tannhang
Đây là da mặt e bây giờ đang mang bầu 7 tháng, cho e hỏi có thể sử dụng kem mắt để bớt thâm mắt được không? 😰 chứ mắt ngày càng đen luôn ý, tàn nhang thì chắc sinh xong e sợ bị thêm quá 😞 giờ chỉ sử dụng được dưỡng ẩm</t>
  </si>
  <si>
    <t>2019-11-14 22:39:26</t>
  </si>
  <si>
    <t>Thanh Trương</t>
  </si>
  <si>
    <t>100008014484423</t>
  </si>
  <si>
    <t xml:space="preserve">#tannhang #thammat #goctuvan #ask </t>
  </si>
  <si>
    <t>Cứ đến mùa đông là tay lại như thế này . Bôi đủ các kiểu dưỡng ẩm da tay nhưng vẫn không ăn thua . Cho e xin cách để ko bị khô nẻ da tay với ạ huhu .</t>
  </si>
  <si>
    <t>2019-12-06 02:45:43</t>
  </si>
  <si>
    <t>Hòa Trâm</t>
  </si>
  <si>
    <t>100001700819236</t>
  </si>
  <si>
    <t>#tips #review
Chào mọi người, cũng gần Tết đến nơi mà nhiều chị em gặp vấn đề về da mặt quá nên mình chia sẻ đến các chị em những bí quyết dưỡng da cơ bản, dễ hiểu, có thể áp dụng rất dễ dàng. Chỉ cần nhớ 2 vấn đề chính và 1 vấn đề phụ: thứ nhất - giữ da sạch; thứ hai - đủ ẩm. Vấn đề phụ, kiên nhẫn.
Điều đầu tiên, giữ da sạch rất quan trọng vì da nếu còn bụi bẩn, bã nhờn thì dẫu có đắp mặt nạ vàng lên vẫn không cải thiện được gì cả, thậm chí còn tệ hơn vì dưỡng chất + bụi bẩn + bã nhờn + da chết tồn đọng sẽ gây bít tắc lỗ chân lông, gây ra tình trạng mụn, viêm, thậm chí về lâu dài với trình trạng mụn ẩn, mụn nhiều sẽ gây ảnh hưởng đến các dây thần kinh trên mặt. Để giữ cho da sạch thì cần chú ý: chọn sữa rửa mặt và tẩy trang phù hợp, giữ cho các dụng cụ và đồ đạc tiếp xúc với da mặt (ví dụ như chăn ga gối nệm, khẩu trang, điện thoại, mũ bảo hiểm...) sạch, tẩy da chết thường xuyên (2 lần/ tuần)
Điều thứ hai, giữ ẩm cho da, vì khi da đã đủ ẩm thì không cần tự tiết dầu để tránh tình trạng khô da nữa, sẽ không mắc phải tình trạng dầu nhờn + bụi bẩn + vi khuẩn = bít tắc lỗ chân lông =&gt; mụn. Để da đủ ẩm thì cần phải bổ sung qua 3 con đường: bôi + đắp, uống, và ăn. Hãy chọn sản phẩm/ bộ sản phẩm dưỡng da phù hợp với tình trạng da hiện tại của mình, ví dụ như đang bị mụn thì sử dụng bộ chuyên về trị mụn, hết mụn rồi thì nhảy qua dưỡng sáng dưỡng trắng,... Người ta thường nói uống nước nhiều thì da sẽ đẹp, nhưng cũng phải biết uống nước đúng cách chứ không thể uống bừa bãi thiếu khoa học. Một li nước ấm khi vừa ngủ dậy, một li nước ấm trước khi đi ngủ sẽ giúp tuần hoàn máu tốt hơn, đưa máu đi trao đổi chất và đào thải độc tố dễ dàng hơn và tránh được tỉ lệ đột quỵ/ tai biến nữa (vì về đêm máu trong cơ thể chúng ta sẽ đặc lại) Kể từ 5h chiều hãy hạn chế uống nước và ngưng uống sau 7h, chỉ 1 li nước ấm trước khi ngủ thôi. Khoảng thời gian còn lại thì nên dùng các loại nước ép, nước trái cây, trà thảo mộc,... sẽ giúp bổ sung các vitamin cần thiết cho cơ thể - một công đôi việc. Ngoài ra, mọi người thường hay bỏ quên một con đường rất hiệu quả để bổ sung nước cho cơ thể, đó chính là ăn. Nên ăn các thực phẩm mọng nước, chứa nhiều vitamin và chất xơ như là rau củ quả, trái cây,...
Vấn đề phụ cuối cùng nhưng không kém phần quan trọng, đó là: kiên trì. Vì muốn da đẹp lên, đầu tiên da phải thực sự khỏe mạnh từ bên trong. Đừng hấp tấp nóng vội mà sử dụng các sản phẩm nghe mĩ miều như "trắng bóng chỉ sau 7 ngày", "làn da như em bé trong vòng 1 tuần"... Toàn kem trộn và rượu thuốc cả đó các chị em ạ. Nghe theo thì có mà nát mặt. Trong khi một hũ kem trộn giá cũng đắt xắt ra miếng (toàn 150k trở lên), với số tiền đó thay vì mua và sử dụng các sản phẩm drugstore uy tín, đỡ phải chi tiền chữa mặt sau khi dính rượu thuốc không nè? Hãy xây dựng một chế độ ăn uống và sinh hoạt lành mạnh, giữ tinh thần tích cực, đừng stress vì da mụn vì càng stress da lại càng nổi mụn nhiều hơn thôi...
Chúc da dẻ các chị em chóng khỏe hơn và đẹp hơn để có một chiếc Tết nguyên đán thật vui nhé ^_^
P/s:
1. Mình định chia sẻ thêm chi tiết về các loại mỹ phẩm cũng như cách chọn mỹ phẩm mà bài viết này dài quá rồi. Hẹn các chị em ở các post sau nhé! Post sau mọi người muốn em chia sẻ về vấn đề gì nè? Các sản phẩm dưỡng da, chế độ ăn uống, dưỡng trắng body, dưỡng tóc, nhuộm tóc, kinh nghiệm xỏ khuyên, niềng răng, giữ cho cơ thể thơm tho, các loại trà thảo mộc và đồ uống hay là vấn đề nào?
2. Trên hình là da mặt mộc của mình, chụp bằng camera sau của con Samsung Galaxy J7+ như là một động lực đến các chị em ^_^</t>
  </si>
  <si>
    <t>2019-12-12 09:49:03</t>
  </si>
  <si>
    <t>Cẩm Quỳnh</t>
  </si>
  <si>
    <t>100043940790195</t>
  </si>
  <si>
    <t xml:space="preserve">#review #tips </t>
  </si>
  <si>
    <t xml:space="preserve">Mọi người ơi tư vấn giúp mình nên xài kem chống nắng nào ạ? Da mình là da dầu nhiều, mà lại rất dễ kích ứng, mình không dám dùng kem chống nắng vì dùng sẽ bị mụn ẩn, hoặc bị kích ứng ạ. Có kem chống nắng nào cho da dầu và nhạy cảm không ạ? Cảm ơn.
#kemchongnang #tuvan </t>
  </si>
  <si>
    <t>2019-10-29 10:00:44</t>
  </si>
  <si>
    <t>Lê Tường Vi</t>
  </si>
  <si>
    <t>100006426469208</t>
  </si>
  <si>
    <t>#vesinhmayruamat #foreo
Các bạn cho mình hỏi chút, máy rửa mặt của các bạn khi rửa xong có bị cặn sữa rửa mặt bám vào dưới chân sợi silicon không ạ. Nếu có thì làm thế nào để làm sạch được?
Máy mình sau mỗi lần dùng mình đều xả dưới vòi nước rất lâu để trôi đi hết sữa rửa mặt nhưng khi máy khô vẫn thấy các vết trắng còn đọng ở thân máy, (như dưới hình) nhìn rất bẩn. Các bạn có thể chia sẻ cho mình một vài tip để làm sạch máy được không ạ.
Mình tìm bài trong nhóm nhưng chưa có bài nào chia sẻ về vấn đề vệ sinh máy rửa mặt. Cảm ơn mọi người nhiều!</t>
  </si>
  <si>
    <t>2019-11-02 03:39:28</t>
  </si>
  <si>
    <t xml:space="preserve">#foreo #vesinhmayruamat </t>
  </si>
  <si>
    <t>Các bác cho xin vài sp trị mụn, trị thâm tốt cho da dầu vs ạ
Mặt e nửa năm nay k hết mụn
Trk bị mụn
Em có dùng vitamin C blance và tinh dầu nụ tầm xuân rosehip seed oil mà chắc bị nhờn. E k còn thấy hiệu quả! :(</t>
  </si>
  <si>
    <t>2019-11-28 08:43:26</t>
  </si>
  <si>
    <t>Đặng Thị Thúy Thoa</t>
  </si>
  <si>
    <t>100004091797929</t>
  </si>
  <si>
    <t>#help 
Chào mọi người. Mình năm nay 30t. Trước giờ mình chưa dùng mĩ phẩm nào ngoài sữa rửa mặt với son môi. Da mình thuộc loại da thường,  không có mụn. Gần đây do mình thức khuya nhiều với lại do tuổi tác nên da lão hóa, xuất hiện tàn nhang. 
Mình muốn bắt đầu skincare. Các bạn có thể giới thiệu giúp mình 1 số sản phẩm phù hợp mà giá cả phải chăng được không? 
Mình cảm ơn. 
P.s. Mình muốn hỏi 1 chút nữa. Giữa kem trị nám với viên uống trị nám trasino cái nào hiệu quả hơn? Mình mới bị 1 mảng nám nhỏ cỡ ngón tay ở gò má. Ai dùng r cho m xin ít review với. ảnh chống trôi</t>
  </si>
  <si>
    <t>2019-12-12 12:22:43</t>
  </si>
  <si>
    <t>100013244702396</t>
  </si>
  <si>
    <t>#ask
#dadau
Mọi người ơi e ở trong group cũng lâu rồi, bây giờ e muốn xin ít tips làm trắng da đc không ạ?
Da em là da dầu và rất dễ nổi mụn, lâu nay e chăm sóc cũng kĩ càng nên giờ đã bớt mụn hơn nên e muốn chuyển qua dưỡng trắng ạ.
Các chị có cách nào hay sản phẩm nào làm trắng thì chia sẻ cho e với ạ😢chứ đi đâu cũng bị chê đen tủi thân lắm ạ😓</t>
  </si>
  <si>
    <t>2019-11-24 13:59:16</t>
  </si>
  <si>
    <t>Hà Nhi</t>
  </si>
  <si>
    <t>100014914696683</t>
  </si>
  <si>
    <t xml:space="preserve">#dadau #ask </t>
  </si>
  <si>
    <t>có cj nào bunng sau sinh bị chảy sệ da n cứ co co vào như này k ah( ảnh e cop trên mạng). e mới sinh đc hơn tháng bụng xuống đc mấy cm thui nhưng mà cái da n cứ chùng chùng nhăn vào . liệu e tích cực giảm mỡ bụgn xuống thì da n có bị nhăn nhiều hơn nữa k ạ. ai có cách gì cho đỡ nhăn nhỉ e với 😭😭😭 chứ bụng đã to r còn nhăn e stress quá 😔😔</t>
  </si>
  <si>
    <t>2019-12-04 02:22:34</t>
  </si>
  <si>
    <t>Bùi Yến</t>
  </si>
  <si>
    <t>100016988019689</t>
  </si>
  <si>
    <t>#bodymist 
Mọi người ưiiiii, nhà mình có ai dùng mấy loại body mist này chưa ạ? Cho e xin review với ạ. E là hs nên thích mùi nó thanh thanh mát mát chứ không nồng ạ. E cảm ơnnnn &lt;3</t>
  </si>
  <si>
    <t>2019-08-11 07:03:12</t>
  </si>
  <si>
    <t xml:space="preserve">#bodymist </t>
  </si>
  <si>
    <t>#dakho  Depchanhsa❤
Xin chào mọi người. E sinh dc 6m da mặt rửa nc ấm + thoi tiết lạnh da hơi khô
Mọi người tư vấn giúp em nên dùng những sản phẩm gì giúp da bớt khô ạ</t>
  </si>
  <si>
    <t>2019-12-07 05:15:22</t>
  </si>
  <si>
    <t>Đình Lê</t>
  </si>
  <si>
    <t>100006075766004</t>
  </si>
  <si>
    <t>#ask #nangmui 
Em chào chị Hằng.  Mong chị duyệt bài cho em để em xin ý kiến mọi người cứu cái mũi của em ạ 😭. Em cảm ơn chị rất nhiều
Em chào các chị em trong group. Hiện tại em vừa sửa lại mũi vì do em ăn uống không kiêng khem nên bị tăng sinh mô ở bên trong mũi khiến đầu mũi bị to bất thường và tiện thể cắt cánh mũi luôn ngày hôm qua và em đang rất lo lắng là nó sẽ bị sẹo lồi. Em đọc cái bài trên web người ta nói là uống collagen thì vết phẫu thuật sẽ ít bị sẹo lồi lõm các kiểu. Nhưng em nghiên cứu thêm một số bài thì họ nói nguyên nhân sẹo lồi chính là quá trình tái tạo collagen bị dư nên hình thành sẹo lồi. Vậy em có nên bổ sung collagen trong thời gian đầu tiên để vết phẫu thuật mau lành không ạ? Tiện thể chị em có cao kiến nào giúp không bị sẹo bất thường không? Mọi người cứu em với. 😭😭😭😭
Dưới đây là hình ảnh lúc em vừa mới nâng 1 tháng và video sau 3 tháng mũi e bị tăng sinh mô phải đi phẫu thuật cắt bỏ phần thịt thừa. Loại mũi em nâng là mũi cấu trúc có thu xương. Chị em nào  hiện muốn làm mũi cấu trúc thì nên kiêng kỹ tầm 3 đến 4 tháng vì mũi cấu trúc can thiệp sâu hơn ở đầu mũi lên vết thương lâu lành hơn mũi bọc sụn bình thường chứ đừng để trường hợp như em phải phẫu thuật lại rất buồn ạ.</t>
  </si>
  <si>
    <t>2019-05-04 10:47:35</t>
  </si>
  <si>
    <t>Ny Huỳnh</t>
  </si>
  <si>
    <t>100004908252427</t>
  </si>
  <si>
    <t xml:space="preserve">#nangmui #ask </t>
  </si>
  <si>
    <t>Mấy chị cho em hỏi với 
Tự nhiên má em lên cục mụn như vậy nhưng nó không có nhân,ấn vào thì đau. Em bị mấy hôm rồi mà nó không to lên cũng không xẹp đi tí nào. Em phải làm gì đây ạ hic 
#ask
#mụn</t>
  </si>
  <si>
    <t>2019-12-15 01:15:34</t>
  </si>
  <si>
    <t>Chan Chan</t>
  </si>
  <si>
    <t>100021937539534</t>
  </si>
  <si>
    <t>#help #trimun
 Mọi người ơi cho em hỏi đây là mụn nội tiết hay do không hợp mỹ phẩm vậy ạ. 
Em đang dùng kcn senka, tt loreal hồng, srm hadalabo, serum loreal
Cho em xin tip khắc phục với ạ</t>
  </si>
  <si>
    <t>2019-10-05 05:43:45</t>
  </si>
  <si>
    <t>Hồng Ngọc</t>
  </si>
  <si>
    <t>100035159632382</t>
  </si>
  <si>
    <t xml:space="preserve">#trimun #help </t>
  </si>
  <si>
    <t>Mong admin duyệt ạ! 
Cho em hỏi nổi mụn này là gì v ạ😣😣😣</t>
  </si>
  <si>
    <t>2019-11-13 11:31:13</t>
  </si>
  <si>
    <t>Huỳnh Lâm Tố Ngân</t>
  </si>
  <si>
    <t>100011079489980</t>
  </si>
  <si>
    <t>Xin chào mọi người e năm nay 19t
Em xin chia sẻ một chút về da của e ạ : 
Da e trước đây từng xài thuốc rượu. Xong có xài Mai Thảo Mộc rồi sài thuốc trị mụn nghe ngkhac bảo nên e cũng dùng đến sp này đến sp kia, hết mụn rất đẹp,  sau đó bị ngứa nổi mụn lại và đã ngưng và da mặt e bây giờ như trên hình đó ạ bị bào mòn da mỏng đi còn không đều màu sạm da nữa :(( stress nặng luôn ấy ạ . 
Em thuộc da dầu, có rất nhiều mụn ẩn, thâm mụn, lcl to, lâu lâu nổi vài cái mụn viêm nữa ạ Và hiện tại e chỉ dùng srm và tẩy trang . K biết dùng gì cả sợ da bị tệ hơn ạ
Em nên bắt đầu chăm sóc da ntn đây ạ . Mỗi khi đi ra ngoài e tự ti với khuôn mặt mộc của mình lắm :((  Giúp e  với mn ơi 😢
Tiện thể cách làm giảm mắt thâm nữa ạ :(( mắt em thâm đen như gấu trúc luôn rồi ạ 😭 
E  năm nay mới 19t thôi ạ mà nhìn già như 25 ấy ạ 😭</t>
  </si>
  <si>
    <t>2019-12-20 09:33:47</t>
  </si>
  <si>
    <t>Ha Hi</t>
  </si>
  <si>
    <t>100044082338669</t>
  </si>
  <si>
    <t>#cười
Góc cười xấu, có ai bị như em ko có nên đi cắt lợi ko mmng ơi, và cắt ntn vậy ạ, có đau ko :(((
Em cứ vui quá là cười kiểu này nhìn khiếp quá :))))</t>
  </si>
  <si>
    <t>2019-12-08 00:43:57</t>
  </si>
  <si>
    <t xml:space="preserve">#cười </t>
  </si>
  <si>
    <t xml:space="preserve">
#trimun
Ai cứu rỗi cuộc đời em với !
Chuyện là tháng trước em có dùng bha2% và từ mụn ẩn nó thành sưng lên và không thấy cồi ạ. Có bạn bảo là bị mụn chai rồi, phải ra spa xử lí. Còn bạn thì bảo dùng benzoyl peroxide hay adapalene. Nếu dùng thì em nên chọn sp nào ạ? ( differin, klenzit, oxy 5...)
Với lại dạo này em không thường cấp ẩm mấy, nhưng dùng nia của TO thấy không đổ dầu luôn ạ.</t>
  </si>
  <si>
    <t>2019-12-24 22:44:26</t>
  </si>
  <si>
    <t>Phùng Vy</t>
  </si>
  <si>
    <t>100012002382485</t>
  </si>
  <si>
    <t xml:space="preserve">
#ask
#muncocochan
Cả nhà cho e hỏi xíu ạ
Ck e có bị cái lỗ như hình nghi là mụn cóc, ngày càng to. Chị e nào đã bị v cho e hỏi có cách nào trị ko ạ. 
Em cảm ơn cả nhà.</t>
  </si>
  <si>
    <t>2019-06-06 15:52:30</t>
  </si>
  <si>
    <t>100035689782805</t>
  </si>
  <si>
    <t xml:space="preserve">#muncocochan #ask </t>
  </si>
  <si>
    <t>Em nhớ da em của ngày xưa quá 😭😭😭
Mặt mũi thì thâm mụn, dị ứng các kiểu cuối năm đi làm bận bịu chẳng có thời gian chăm sóc. Tết nhất tới nơi rồi, anh chị nào có phương thức chăm da tại nhà siêu lành ko chỉ em với. 
Lần đầu tiên trong cuộc đời cảm thấy căng thẳng vì da như này.</t>
  </si>
  <si>
    <t>2019-12-21 13:17:45</t>
  </si>
  <si>
    <t>#hoidap #giamcanhieuqua
Mọi người ơi cho mình hỏi các spa thường chạy quảng cáo dịch vụ dùng công nghệ mới gì gì đó có thể làm tan mỡ mà không cần phải phẫu thuật.
Nó có tác dụng thật ko ạ?? :v</t>
  </si>
  <si>
    <t>2019-12-14 13:24:38</t>
  </si>
  <si>
    <t>Nguyễn Ngọc Minh Tuyền</t>
  </si>
  <si>
    <t>100004096081224</t>
  </si>
  <si>
    <t xml:space="preserve">#giamcanhieuqua #hoidap </t>
  </si>
  <si>
    <t>Hello mọi người, không biết trong group có bạn nào phẫu thuật cận thị xong bị tái cận và phải bắn laser bổ sung không ạ? Có thể cho mình ít review được không? Cảm ơn cả nhà. ❤
Mình từng phẫu thuật cận thị bằng phương pháp femto lasik. Tuy nhiên chỉ khoảng 6 tháng sau thì mắt mình yếu dần, thị lực giảm đều 2 mắt. Tái khái thì bác sĩ bảo có khả năng phải bắn bổ sung. Hem biết trong group có ai gặp trường hợp như mình chưa?</t>
  </si>
  <si>
    <t>2019-12-20 22:18:28</t>
  </si>
  <si>
    <t>Thy Phạm</t>
  </si>
  <si>
    <t>100005206273950</t>
  </si>
  <si>
    <t>#goctuti #matlac
Xin chào các chị iêm, nếu bài này được duyệt thì rất cảm ơn ad xinh gái.
Năm nay t 24 tuổi thôi nhưng xin phép xưng mày tao ạ.Trong các mày có đứa nào bị như tao không, mắt tao bị lác hay còn gọi là mắt lé đó chúng mày. Từ khi sinh ra tao đã bị rồi, nghe mẹ tao nói hình như là lúc mẹ tao bầu tao sau ra đồng nên hít phải mùi thuốc sâu, nên mắt tao bị vậy. Tính tao vốn ít nói gặp phải mắt tao bị vậy nữa nên cực kỳ tự ti, mặt tao nói chung cũng không đến nỗi nào ( mọi người đánh giá vậy) nhưng cứ nghĩ đến mắt tao là tao cực kỳ tự ti. 
Giá như ngày xưa bố mẹ tao biết đến việc chữa mắt miễn phí cho trẻ em thì có khi tao lại có được một đôi bắt bình thường, nhưng tiếc là bố mẹ ở quê cơm ko đủ ăn nói gì đến chữa mắt. Bây giờ bệnh viện chữa được nhưng kinh tế không cho phép nên đành thôi. 
Tao đã nghe ko biết bao nhiêu câu trêu trọc " mắt e bị làm sao thế" " nhìn bát canh nhưng lại gắp miếng thịt"... Tao cũng chỉ cười cho qua thôi nhưng cũng buồn lắm. Đỉnh điểm là đợt đi làm ở cty nọ bà quản lý nói tao gì đó sau tao quay lại vâng và nhìn bà ý nhưng chắc do nhìn ngang nên giống như tao đang lườm bà ý, bà ấy kêu tao lườm bà ấy và tao đã bật khóc luôn tại trận các mày ak, hazz sao hôm ấy yếu đuối ghê. 
Giờ tao đi làm ở công ty mới rồi không biết có bị trêu như vậy nữa không, các mày ạ sau này nếu có gặp người bị mắt lác như tao thì đừng mỉa mai họ nhé, sinh ra đâu ai muốn mình bị như vậy phải không?
Edit: mọi người nói mình mới biết sau dễ bị nhược thị, trước mắt mình nhìn mọi thứ rất rõ, nhưng nay mình nhìn ở xa tì đã bị mờ hơn rất nhiều, mình có đi đo cận thì thấy mình không hề bị cận chút nào luôn, ko biết có phải bị nhược rồi không nữa.
Cảm ơn m.n đã động viên mình, cũng hơi bất ngờ vì nhiều người bị giống mình vậy luôn, cùng cố gắng ko quan tâm đến lời nói của người khác nhé các đồng dâm 😘😘</t>
  </si>
  <si>
    <t>2019-03-27 15:04:24</t>
  </si>
  <si>
    <t>Bắp Cải</t>
  </si>
  <si>
    <t>100028444899328</t>
  </si>
  <si>
    <t xml:space="preserve">#matlac #goctuti </t>
  </si>
  <si>
    <t>Trước mình bị mụn nhưng ít lắm cũng nghe giới thiệu dùng cái mai thảo mộc lúc ý chưa bị bóc phốt mà da mình thuộc da nhạy cảm. Ngưng dùng gần tháng nay mà giờ mặt bung bét mụn tùm lum sợ lắm! E có đi khám mà bsi bảo về bôi thuốc mụn. Chị em có cách gì giúp em đỡ đỡ đi được không ạ 😞😞</t>
  </si>
  <si>
    <t>2019-10-28 12:46:05</t>
  </si>
  <si>
    <t>Bùi Phương Thảo</t>
  </si>
  <si>
    <t>100028618117211</t>
  </si>
  <si>
    <t xml:space="preserve">
Mọi người có cách nào trị mất ngủ không ?! Chỉ em với. Cứ đến đêm em lại trằn trọc khó ngủ 😞 nằm mãi 3-4 tiếng k ngủ được. Mặc dù rất mệt😫 😖</t>
  </si>
  <si>
    <t>2019-11-04 14:49:50</t>
  </si>
  <si>
    <t>Phạm Thảo Nhi</t>
  </si>
  <si>
    <t>100030766485291</t>
  </si>
  <si>
    <t xml:space="preserve">
#suatam #lotion #bodymist
Mọi người cho em xin review vài loại mùi hương của Bath&amp;Body works với ạ gồm sữa tắm, lotion và body mist của hãng này luôn ạ !
Em cảm ơn !</t>
  </si>
  <si>
    <t>2019-06-23 09:43:53</t>
  </si>
  <si>
    <t xml:space="preserve">#bodymist #lotion #suatam </t>
  </si>
  <si>
    <t>Vẫn là câu chuyện về bắp tay to. 
Em là dân chơi cầu lông lâu năm, bắp tay nó cuộn lên như đàn ông, xong lại còn to lệch, nhiều lúc muốn diện áo dây áo hở vai như các bạn mà chỗ bả vai nó to và bắp tay thì gồ lên. 😢
Em đang định nghỉ cầu để đi tập gym xem bắp tay nó có bé lại không, mn cho em lời tư vấn xem lgi để bắp tay nhỏ lại ạ. Nghỉ thể thao 1 thời gian dài thì cơ bắp có mềm có bé đi lại không ạ. E mông lung quá😩. Bắp chân em cũng không kém, cả đùi nữa,như đùi ếch. Ví dụ năm sau có e bé thì có thể tiếp tục đi tập gym hoặc yoga đc k ạ😭</t>
  </si>
  <si>
    <t>2019-12-25 04:10:20</t>
  </si>
  <si>
    <t>Phạm Hồng Vân</t>
  </si>
  <si>
    <t>100005694194796</t>
  </si>
  <si>
    <t>Mong ad duyệt bài giúp em ạ. 
Gần tháng nay tóc em bị rụng rất nhiều 😭😭
Em sợ quá ạ. Tóc em không nhuộm , chỉ uốn đuôi . Và uốn cũng 4-5 tháng rồi.
Em đang sử dụng dầu gội đầu Sunsilk.
Mỗi lần gội đầu xong là rụng tóc rất nhiều. Vuốt đuôi tóc nhẹ là tóc rơi ra rồi. Em đang rất lo lắng 😢😢😢</t>
  </si>
  <si>
    <t>2019-11-03 11:54:37</t>
  </si>
  <si>
    <t>Ki Babie</t>
  </si>
  <si>
    <t>100008277824901</t>
  </si>
  <si>
    <t>#đẹpchanhxa
#phốiđồ
Chuyện là còn vài tháng nữa là đến Tết. Tết thì ai cũng sẽ mặc đồ đẹp phải không ạ. Em lên đây là để xin cách phối đồ cho người gầy ạ. Vì em có bệnh về tiêu hóa nên ăn mãi chả béo lên cân nào nên chị em đừng bảo em ăn nhiều sẽ béo 😂 em dành cả thanh xuân để lên cân đây :&lt; ,em cao tầm m62-63 nặng 42-43kg. Em 16 tuổi nên e thích mặc gì đừng già quá ấy ạ.
Em cảm ơn trước ạ 🙆‍♀️
Mong ad duyệt chứ em cũng vã lắm rồi :(</t>
  </si>
  <si>
    <t>2019-11-13 04:16:10</t>
  </si>
  <si>
    <t xml:space="preserve">#phốiđồ #đẹpchanhxa </t>
  </si>
  <si>
    <t>#đepchanhsa #tuvanlamdep
Mọi người cho e hỏi mặt e ntnay để kiểu tóc gì hợp ạ? Và mọi người chăm sóc da mặt ntao để da trắng đẹp mịn màng căng bóng ạ?
Dưới là kiểu 2 năm gần đây mình thử. Hic!</t>
  </si>
  <si>
    <t>2019-12-17 09:56:17</t>
  </si>
  <si>
    <t>Hana Nguyen</t>
  </si>
  <si>
    <t>100007338127960</t>
  </si>
  <si>
    <t xml:space="preserve">#tuvanlamdep #đepchanhsa </t>
  </si>
  <si>
    <t>có aii chỉ em cách tăng chiều cao không ạ em 18t cao chỉ có m52 :((</t>
  </si>
  <si>
    <t>2019-10-07 07:29:26</t>
  </si>
  <si>
    <t>Khả Lê Vy</t>
  </si>
  <si>
    <t>100012653712999</t>
  </si>
  <si>
    <t>Em bị tràm môi các chị ạ Bị hơn một năm rồi Cứ ngứa với môi nứt nẻ quanh năm K dùng đuọc son Có chị nào bị rồi chữa khỏi không ạ? Chỉ có em với 
Em cảm ơn!</t>
  </si>
  <si>
    <t>2019-11-18 23:52:16</t>
  </si>
  <si>
    <t>Đỗ Thảo Liên</t>
  </si>
  <si>
    <t>100038901346531</t>
  </si>
  <si>
    <t>Cẩn thận lại dính vào MTM này các mày ơi.
Bị dồn dập quá MTM thay luôn cả tên sp,tên công ty các kiểu này, các chị gr mình bóc vụ thành phần phải ghi pháp danh quốc tế, rồi lỗi chính tả này kia nên nay nó đú chuyển qua tiếng anh, t cười quá các mày ạ, chiêu “rượu cũ bình mới” nè.</t>
  </si>
  <si>
    <t>2019-12-04 08:36:27</t>
  </si>
  <si>
    <t>Ánh Dương</t>
  </si>
  <si>
    <t>100030862564436</t>
  </si>
  <si>
    <t>#ask 
#help
#kcnkhôngnângtone
Chào mn, da em là da dầu. Rất đau dầu khoản kcn. Thật sự e chỉ muốn tìm kcn không nâng tone, không cần nâng tone không cần che khuyết điểm gì hết ạ. Đó là tiêu chí hàng đầu e mong luôn. Giá tầm dưới 250k vì e đang còn đi học và kiềm dầu ổn định. Da mặt e bth để mặt mộc đã trắng bệch rồi (mn toàn nghĩ e bôi kem này nọ), lại từ bé chủ quan ko che chắn tay chân nên da mặt trắng hơn da cổ tay chân 2-3 tông luôn :(( 
E có dùng rất nhiều loại kcn từ nâng tone nhẹ đến kcn che khuyết điểm như kem nền (Australian Gold Tinted) mặt đều thành trắng xoá như vôi =)) Nhìn rất ghê mn ah. Mọi ng có biết loại nào hay ho mà ko nâng tone ko gì hết mách em với. Em cảm ơn rất nhiều luôn
Mong ad duyệt bài giúp em ❤</t>
  </si>
  <si>
    <t>2019-09-16 12:10:37</t>
  </si>
  <si>
    <t xml:space="preserve">#kcnkhôngnângtone #help #ask </t>
  </si>
  <si>
    <t>Sắp tết rồi cả nhà ạ..
Mụn em thế này e nên dùng gì ạ ?😥😥😥</t>
  </si>
  <si>
    <t>2019-12-01 14:05:28</t>
  </si>
  <si>
    <t>Hạ Mây</t>
  </si>
  <si>
    <t>100034544539876</t>
  </si>
  <si>
    <t>Đã có chị nào dùng sp này chua ạ , có tốt và giảm cân k ạ . Em cảm.ơn</t>
  </si>
  <si>
    <t>2019-10-28 11:37:29</t>
  </si>
  <si>
    <t>100016545873622</t>
  </si>
  <si>
    <t>#ask 
Các anh chị em có tips làm trắng răng nào mà nghiêng về thiên nhiên hay cách lành tính nhất không ạ mà không cần đi nha khoa í. Cũng vệ sinh răng sạch sẽ ngày hai lần, phần con gái nữa mà răng cứ vàng vàng như người hút thuốc lá ấy😭😭. Mọi người help em với. Vấn đề này em nghĩ chắc cũng nhiều người bị lắm  Mong được duỵêt ạ.</t>
  </si>
  <si>
    <t>2019-08-19 23:21:25</t>
  </si>
  <si>
    <t>Các chị em cho mình xin các tips làm giảm thâm môi với.Cảm ơn trước nhiều.
Ảnh này là ảnh mạng để minh họa thôi ạ nhưng môi mình cũng thâm hệt vậy,không đánh son là mặt cũng vì môi thâm mà đen với tàn tạ lắm.
#Xin_ý_kiến</t>
  </si>
  <si>
    <t>2019-09-14 15:18:44</t>
  </si>
  <si>
    <t>Phan Minh Trang</t>
  </si>
  <si>
    <t>100035730877358</t>
  </si>
  <si>
    <t xml:space="preserve">#Xin_ý_kiến </t>
  </si>
  <si>
    <t xml:space="preserve"> #BlackRouge #Check
- mấy chị check dùm em cây này son fake hay real với ạ! Em mua ở 1 shop khá uy tín chỗ em ( tại em chưa thấy có phốt ) Em thấy lạ vì tem son dán khá méo, nhưng đây lần đầu em mua son này nên em cũng không biết phải fake không ạ! Mấy chị check dùm em. Và chỉ dùm em các điểm để e còn báo lại với shop ạ! Em chân thành cảm ơn các chị rất nhiều</t>
  </si>
  <si>
    <t>2019-07-31 09:32:08</t>
  </si>
  <si>
    <t>Trà My Thị Trần</t>
  </si>
  <si>
    <t>100011347017628</t>
  </si>
  <si>
    <t xml:space="preserve">#Check #BlackRouge  </t>
  </si>
  <si>
    <t xml:space="preserve">
Mọi người trong gr mình ai đã dùng thử mặt nạ đất set này chưa ạ, cho em xin cảm nhận với. Nhất là những bạn da dầu mụn ý ạ</t>
  </si>
  <si>
    <t>2019-10-22 14:33:49</t>
  </si>
  <si>
    <t>#ask #help
Anh chị có cách nào giảm thâm quầng mắt không ạ? Em dùng mấy cách trên mạng và ngủ trước 11h rồi  nhưng kh thấy hiệu quả lắm (em là học sinh nên 1 ngày đi học rồi học thêm tối về làm bài tập nữa nên không ngủ sớm đc ạ, cố gắng trước 11h là nỗ lực lắm r ấy :(( )</t>
  </si>
  <si>
    <t>2019-11-17 13:01:04</t>
  </si>
  <si>
    <t xml:space="preserve">
Em chào mọi người ạ em học lớp11. Chuyện là mọi người có thế tư vấn giúp em kiểu tóc mà nhìn nó không già và hợp với mặt em được không ạ, tóc em là loại tơ mỏng.  Em đã từng uốn cụp như ảnh dưới và giờ muốn thay đổi 1 chút ạ. Mong mọi người giúp em. Em cảm ơn ạ. 
#help</t>
  </si>
  <si>
    <t>2019-11-26 02:12:16</t>
  </si>
  <si>
    <t>Hạnhh Kookiee</t>
  </si>
  <si>
    <t>100020098291085</t>
  </si>
  <si>
    <t>#lep #đepchanhsa 
Mong ad duyệt bài em gấp lắm roi ạ
Các chị trong hội có cách nào tăng kích thước vòng 1 tự nhiên chỉ giúp em với ạ huhu
Em 20t cao 1m58 nặng 44kg v2 60cm, v3 89cm mà ngực thẳng tưng luôn ạ 😑
Sắp tới mặc váy cưới em sợ đệm 20 miếng đệm mất 😭</t>
  </si>
  <si>
    <t>2019-09-05 16:09:13</t>
  </si>
  <si>
    <t>Nguyễn Thị Trang</t>
  </si>
  <si>
    <t>100008650212978</t>
  </si>
  <si>
    <t xml:space="preserve">#đepchanhsa #lep </t>
  </si>
  <si>
    <t>Các chị cho e hỏi lỗ chân lông to mụn đầu đen và thâm thì làm cách nào ạ</t>
  </si>
  <si>
    <t>2019-12-24 14:55:22</t>
  </si>
  <si>
    <t>Trịnh Ngọc</t>
  </si>
  <si>
    <t>100004038152610</t>
  </si>
  <si>
    <t>Mong add duyệt bài giúp e ạ 😥. Tết sắp đến đít rồi mà em bị nổi mụn đỏ đỏ như vậy xung quanh hàm và dưới cằm ạ 😢😰. Đợt trước em có bị 1 lần rồi mà trị lâu lắm ạ, còn để lại thâm nữa hjx, lần này mọc lên nữa em không biết phải làm sao :&lt; . Mong anh chị trong group giúp e để em có cái Tết ngon lành ạ huhu 😭. Hình em bị lúc trước em up dưới cmt cho mấy anh chị xem giúp e nhé :&lt;</t>
  </si>
  <si>
    <t>2019-12-21 18:05:44</t>
  </si>
  <si>
    <t>100011301522656</t>
  </si>
  <si>
    <t>#đepchanhsa
#review_kemduongmat
🥑🥑Các chị đẹp review giúp e loại kem dưỡng mắt nào tốt vs ạ?
Mắt e có quầng thâm và đã có vài nếp nhăn 😩😩</t>
  </si>
  <si>
    <t>2019-08-17 03:51:36</t>
  </si>
  <si>
    <t>Nồi Đất Nhỏ</t>
  </si>
  <si>
    <t>100004907079601</t>
  </si>
  <si>
    <t xml:space="preserve">#review_kemduongmat #đepchanhsa </t>
  </si>
  <si>
    <t>Chia sẻ với mn tips chỉnh ảnh sưu tập sống ảo
♥ Beauty cam: chỉnh lông mi, phấn má, mắt, lông mày
Kéo phần bóp cằm mũi môi mặt xuống 0 hết cho giống nguyên bản nha ce
♥️ chụp chân dung iphone: thích hợp chụp dáng, xa mặt, back groud đẹp, chỉnh sáng, chỉnh màu bằng iphone luôn cũng rất đẹp rùi nè
🖤 Lightroom: thích hợp chỉnh màu mè, so deep một chút nè, có cảnh đẹp đẹp chút. Chỉ nên chỉnh bằng ảnh gốc chưa chụp qua app thui k vỡ hết hình nha mn. Hội nghiện chỉnh ảnh Việt Nam đã đưa e sa ngã vào cái app này mn ạ. Chỉnh ảnh mà cảm tưởng trình photoshop lên 1 đỉnh cao mới cho những con gà công nghệ như e ♥️♥️♥️
P/s: cả 3 tips trên đều có thể kết hợp cùng nhao để ra bức hình so deep, e chỉnh bằng đt hết nha
 #apps #sodeep</t>
  </si>
  <si>
    <t>2019-11-28 23:56:31</t>
  </si>
  <si>
    <t>Nguyễn Kim Tuyến</t>
  </si>
  <si>
    <t>100003637928207</t>
  </si>
  <si>
    <t xml:space="preserve">#sodeep #apps  </t>
  </si>
  <si>
    <t>Mong ad dyệt bài ạ! Có anh chị nào mặt bị nổi mạch máu như e không ạ. Em bị từ nhỏ đến lớn luôn mà không biết làm sao hết. Nó có nguy hiểm gì đến sức khỏe không ạ, ai biết cách trị hết chỉ e với.</t>
  </si>
  <si>
    <t>2019-11-25 00:35:32</t>
  </si>
  <si>
    <t>Mn ơi có cách nào hay sản phẩm nào giúp tóc mềm mượt hơn không ạ, tóc em nhiều mà khô sơ  lắm 😭 mn giúp em với.. Cảm mn nhiều!!</t>
  </si>
  <si>
    <t>2019-11-24 14:03:25</t>
  </si>
  <si>
    <t>Thanh Trúc</t>
  </si>
  <si>
    <t>100029043472743</t>
  </si>
  <si>
    <t>#help #tuvanda
Hello mn.
Hiện tại mặt em đang bị như này. Chỉ bị ở bên má trái và dưới cằm thôi ạ.
Ai có thể cho e xin review  làm sao để giảm bớt tình trạng này ko ạ.
Em cám ơn &lt;3</t>
  </si>
  <si>
    <t>2019-12-03 08:04:30</t>
  </si>
  <si>
    <t>Cua Cua</t>
  </si>
  <si>
    <t>100003555972963</t>
  </si>
  <si>
    <t xml:space="preserve">#tuvanda #help </t>
  </si>
  <si>
    <t>#help #nhuomtoc 
Xin chào mng. Mọi người có thể cho mình xin ít kinh nghiệm khi nhuộm tóc ombre không ạ? Mình muốn thử tự nhuộm ở nhà nhưng còn lúng túng quá với cũng không có kinh nghiệm gì ấy 😢 Đó giờ mình để tóc đen, chưa tẩy tóc, chưa nhuộm màu lần nào. Da mình thuộc kiểu hơi ngăm, nên mình cũng muốn tìm những màu vừa phải (mình đang tia màu tóc kiểu hơi xám xám í) chứ không cần nổi quá như pastel, nếu là màu không cần tẩy vẫn lên thì càng tốt ạ. 
Mong mọi người sẽ tư vấn cho cô pé ngốc nghếch này từ A-Z những điều cần biết khi muốn tự nhuộm tóc ạ. Cảm ơn cả nhà nhiềuuuu.</t>
  </si>
  <si>
    <t>2019-11-18 12:05:42</t>
  </si>
  <si>
    <t>Lâm Nguyệt Quỳnh</t>
  </si>
  <si>
    <t>100014173994517</t>
  </si>
  <si>
    <t xml:space="preserve">#nhuomtoc #help </t>
  </si>
  <si>
    <t>Mấy bạn có ai có cách trị nám không ạ!
Mình mười mấy năm đi nắng không đeo khẩu trang, kem chống nắng nên giờ 25t mà má bị nám, mà khổ cái má phải bị rất nhiều( hình phải), trong khi má trái( hình trái) thì lún phún nhẹ vài nốt, nên nhìn mặt như mèo cào, hai bên không tương đồng màu.
Hồi trc mình bị cái bớt to ở mũi đã đi viện vật lí y sinh ở sài gòn bắn, nó đã hết và không sẹo! Giờ mẹ mình hối mình đi bắn nám mà mình sợ bắn dc 1-2 năm đẹp, sau đó tăng sắc tố da lại nặng thêm.
Mình còn bị mụn thịt dưới mắt nên nhìn già đi vài tuổi, không biết có ai xài lá tía tô mà hết chưa nhỉ!
P/s -mong các bạn không chỉ spa dùng kem trộn
- không chỉ sản phẩm là kem trộn.
Mọi phản biện rằng kem nào chả trộn mình đều thấy là cùn, vì mình và nhiều người nữa đều mặc định kem trộn là kem có corticoid! Bạn dùng thấy da trắng da mịn da hết nám không có nghĩa nó tốt!
Tất nhiên mình nhìn qua hầu như đều biết là nó trộn hay ko! Nhưng mình ko muốn những bạn khác đọc cmt rồi mua dùng và tàn phá da!như vầy mình gián tiếp hại mấy bạn đó!
Mình cám ơn mọi người!</t>
  </si>
  <si>
    <t>2019-11-29 00:28:27</t>
  </si>
  <si>
    <t>Di Nhiên</t>
  </si>
  <si>
    <t>100001127351776</t>
  </si>
  <si>
    <t xml:space="preserve">
#tuvan
#skincare
Các chị em trong hội có ai dùng collagen 82x này chưa ạ?
Em hiện 28t, trước da em bị nhiều mụn, da yếu hay bị mụn kích ứng. Bây giờ mụn đã giảm đi đáng kể nhưng còn nhiều vết thâm. Da em là da dầu, yếu, cực kỳ nhạy cảm nên giờ chỉ dùng tẩy trang bioderma nắp xanh, srm cetaphil và toner mamonde, còn lại em không dám dùng gì sợ kích ứng.
Ko biết em uống collagen 82x có tác dụng gì ko ạ, và nên skincare như thế nào để an toàn cho da ạ?</t>
  </si>
  <si>
    <t>2019-09-13 07:55:30</t>
  </si>
  <si>
    <t>Ngu Tieu Moc</t>
  </si>
  <si>
    <t>100007137436591</t>
  </si>
  <si>
    <t>#tuvan
Mng tư vấn giúp e với ạ. Đầu tháng 3 e có đi bắn laze tẩy mụ ruồi( mặt e rất nhiều nốt ruồi ạ),ngta bắn cho e rất sâu và cùng thời gian ý e đang bị nóng trong người nên mụn mọc rất nhiều. Dù cố skincare nhưng nó cũng chỉ dừng lại ở mức "cải thiện " thôi chứ ko tài nào quay trở lại đk như trước,da e trước đây mặc dù nhiều nốt ruồi nhưng lại khá tốt. 2 ảnh đầu là ảnh e mới bắn laze sau 1 tháng, 2 ản cuối là ảnh e vừa chụp. Mng giúo e đón tết an lành với😭😭😭
Mong ad duyệt giúp ạ,e cảm ơn</t>
  </si>
  <si>
    <t>2019-11-30 00:53:08</t>
  </si>
  <si>
    <t>Mandy Mai</t>
  </si>
  <si>
    <t>100036572843887</t>
  </si>
  <si>
    <t>#help
Chào mọi người. 
Cách đây một tuần, con gái mình ngủ dậy bỗng thấy ngứa và gãi rất nhiều. Gãi một hồi thì nổi như trong  hình. Lúc đầu là ngứa ở tay rồi lan dần khắp người. Mình nghĩ là mề đay nên thử chà lá khế chua, tắm bằng trầu không nhưng đến giờ vẫn không hết, chỉ thuyên giảm một ít. Mình đưa cháu đi khám, bs có kết luận là dị ứng không rõ nguyên nhân và cho thuốc uống nhưng vẫn không hết. Thời gian trước đó, cháu ăn uống bình thường và chưa bao giờ bị dị ứng kiểu vậy cả.
Cơn ngứa tuỳ thời điểm. Có lúc, cháu ngứa ở tay, lúc sau lại ngứa ở chân, hoặc ngứa cả vùng đùi, bụng.
Mong mọi người giúp đỡ.
Cám ơn mọi người.</t>
  </si>
  <si>
    <t>2019-06-08 08:42:15</t>
  </si>
  <si>
    <t>Hồng Liệu</t>
  </si>
  <si>
    <t>100022693470006</t>
  </si>
  <si>
    <t>Các chị cho em hỏi làm thế nào để giảm được nọng cằm và mỡ bụng với ạ. Em ko có tgian tập thể dục, mà có tập thì nọng cằm cũng không giảm được ạ. Thật sự rất chán🤧
Em thấy nhiều chị mặt đầy đặn nhưng nhìn eo rất thon. nhìn ngưỡng mộ quá mà ko biết làm cách nào. Nhờ các chị chỉ em với. Em cảm ơn ạ❣️
Nhớ ad duyệt bài giúp em</t>
  </si>
  <si>
    <t>2019-11-26 06:45:03</t>
  </si>
  <si>
    <t xml:space="preserve">
Đây là da em hiện tại, đã qua điều trị mụn tại da liễu 2 tháng và bây giờ đã ngưng điều trị. Cải thiện hơn nhiều, nhưng lỗ chân lông to và nhiều sẹo rỗ. Hiện giờ em chỉ sử dụng nước tẩy trang của bioderma màu hồng, sữa rửa mặt cetaphil và toner thayer màu tím. Mọi người tư vấn giúp em với ạ
Edit: em có cần sd dưỡng ẩm hay kem chống nắng, mặt nạ gì không ạ? Mọi người tư vấn giúp em với ạ 😭</t>
  </si>
  <si>
    <t>2019-12-08 05:43:31</t>
  </si>
  <si>
    <t>Minh Huyền</t>
  </si>
  <si>
    <t>100033092132364</t>
  </si>
  <si>
    <t>Đây là da e sau 1 tháng khắc phục hậu quả của thần dược MTM ạ. 
Em biết trong hội có nhiều bạn đang lao đao về vấn đề này nên e muốn chia sẽ cho mọi người các bước skincare của e. Còn tuỳ vào cơ địa của từng người nữa nhưng e mong sẽ giúp được mọi người phần nào.
Da e là da dầu mụn lúc dậy thì da nhiều mụn e có đi theo liệu trình của bác sĩ Thuỷ ở Biên Hoà nữa năm thì hết mụn tuy nhiên thỉnh thoảng da vẫn nổi mụn 1 ít. 
Cách đây 3 tháng e có sử dụng MTM loại mix (theo e thấy thì hình như dạng mix hậu quả nó để lại đỡ hơn dạng nguyên chất 1 tẹo). E sài đc 3c tới chai thứ 4 vừa mua về thì e được hội mình khai sáng nên e vứt thẳng tay ko thương tiếc luôn.
Sau đó khoảng 3 ngày thì chuyện gì đến cũng đến da e bắt đầu sần rồi mụn kéo tới da đổ dầu kinh khủng e mới bắt đầu tìm hiểu và mua sp về skincare. 
Ko nói dài dòng nữa đây là các bước skincare của e:
☘️tẩy trang senka
☘️tẩy tbc huxley (5ngay e tẩy 1lan)
☘️srm BT thái lan chiết xuất lá trà xanh em có trộn thêm bột neem vào rửa và rửa bằng miếng mút silicon
☘️toner kiehl’s
☘️tinh chất suiskin
☘️kem chấm mụn Pimplit shishedo
🎉🎉🎉 tadaaaa và đây là da sau 1 tháng cố gắng của em dù vẫn chưa đẹp hoàn toàn nhưng da e đã căng bóng lại chỉ còn thâm ở mấy nốt mụn thôi. Chúc các anh chị thành công nha
#Đẹp_Chanh_Sả</t>
  </si>
  <si>
    <t>2019-09-03 13:05:28</t>
  </si>
  <si>
    <t>Rubi Phạm</t>
  </si>
  <si>
    <t>100005920834166</t>
  </si>
  <si>
    <t>Nhờ mọi người tư vấn dùm mình nên để tóc kiểu gì cho hợp khuôn mặt với ạ. Nhìn mình bị quê quê mà ko biết nên cải thiện ntn. Mình da ngâm thì nên phun môi màu nào hợp vậy ạ. Cảm ơn các bạn trước!</t>
  </si>
  <si>
    <t>2019-11-24 10:44:40</t>
  </si>
  <si>
    <t>Ductrung Nguyen</t>
  </si>
  <si>
    <t>100039424278124</t>
  </si>
  <si>
    <t xml:space="preserve">
#help 
#blackrouge 
Mn cho em hỏi son black rouge có hai tem như thế này thì cái nào là auth ạ. Với lại nếu không nhìn tem thì có cách nào để phân biệt đâu là auth đâu là fake không ạ 😞😞😞</t>
  </si>
  <si>
    <t>2019-08-04 08:03:28</t>
  </si>
  <si>
    <t>Hann</t>
  </si>
  <si>
    <t>100016831895463</t>
  </si>
  <si>
    <t xml:space="preserve">#blackrouge #help </t>
  </si>
  <si>
    <t xml:space="preserve">
#Ask
Cả nhà mình có biết loại thuốc nào uống và bôi teo TRĨ không ạ!!
Vấn đề nhạy cảm và em đâu ngờ 1 ngày mình lại bị sau 1 thời gian táo bón..ai biết chỉ em với ạ 😭😭😭
 Xin duyệt bài giúp em.</t>
  </si>
  <si>
    <t>2019-11-04 05:28:05</t>
  </si>
  <si>
    <t>Thụy Châu</t>
  </si>
  <si>
    <t>100035948687776</t>
  </si>
  <si>
    <t xml:space="preserve">- các bác cíu em với, em sắp trầm cảm đến nơi r :(( em bị ngã và vết thương đóng vảy rồi nhưng nó không khô mà hnao bên trong cũng chảy ra mủ trắng 😫 em có nặn ra và lau bằng nmsl nhưng k có tác dụng ạ, em cũng kiêng đồ ăn rất cẩn thận :(( ai có cách nào cho nó ngừng chảy mủ và mau lành k ạ, em cảm ơn rất nhiều :((
#ask </t>
  </si>
  <si>
    <t>2019-12-15 01:15:24</t>
  </si>
  <si>
    <t>Mào Phượng</t>
  </si>
  <si>
    <t>100014012940142</t>
  </si>
  <si>
    <t>#skincare #review
Da em cực nhiều mụn ẩn và mụn đầu đen. Da dầu, em đang tìm sữa rửa mặt phù hợp ạ. Bữa da e hết mụn khá đẹp em đổi qua toner Klairs thấy dùng hơi dính dính giờ lên mụn lại từ đầu. Mọi người cho e lời khuyên với ạ. Em có serum C20 và kem dưỡng nhưbg nghe mn nói bị mụn k dùng đc C nên e định ngưng duoc khong ạ. E cảm ơn</t>
  </si>
  <si>
    <t>2019-12-19 08:05:05</t>
  </si>
  <si>
    <t>Trần Thị Cẩm Tú</t>
  </si>
  <si>
    <t>100006664590262</t>
  </si>
  <si>
    <t xml:space="preserve">#review #skincare </t>
  </si>
  <si>
    <t>Đông đến r ce có ai như e k, tóc kiểu bị tích điện ấy, xong bị dựng hết lên, chán ghê cơ 😭 ai có cách hay mẹ j hay để tóc k như thế nữa k chỉ e với 😭😭😭 
E cảm ơn ad đã duyệt bài ak 😘</t>
  </si>
  <si>
    <t>2019-12-06 14:57:08</t>
  </si>
  <si>
    <t>Hà Thu</t>
  </si>
  <si>
    <t>100043738367076</t>
  </si>
  <si>
    <t>E moi bi te xe..gio vết thương lành rồi.. Nhung còn sẹo ntn. Mn bít thuốc nào trị sẹo hay chỉ e với ạ..</t>
  </si>
  <si>
    <t>2019-11-11 12:37:22</t>
  </si>
  <si>
    <t>Ut Kiều</t>
  </si>
  <si>
    <t>100006964898448</t>
  </si>
  <si>
    <t xml:space="preserve">
#goccantuvan
Chào m.n trong gr ạ, cháu là thành viên mới ạ, cháu xưng cháu vì cháu mới có 15t thôi ạ😓
Cháu lên đây vì có mong muốn m.n tư vấn cho cháu về sử dụng kem chống nắng ạ
Cháu đang cần mua loại kem có nâng tone da mặt ý ạ vì cháu không dám dùng phấn và đây cũng là lần đầu cháu sử dụng kcn luôn ạ
Cháu được các bạn giới thiệu là sử dụng kem Cell Fusion C nhưng do chưa sử dụng bao giờ nên cháu hơi lo ạ
Da cháu là da thường, không có dầu hay mụn ạ....mong các cô, các bác và các chị trong gr tư vấn cho cháu với ạ
Cháu xin cảm ơn🙆</t>
  </si>
  <si>
    <t>2019-10-20 14:07:49</t>
  </si>
  <si>
    <t>mọi người ơi, mặt em to thế này thì để tóc kiểu gì hợp ạ??? tóc em đang màu đen và dài qua vai một tẹo. mọi người cmt tư vấn giúp em với, em cám ơn ạ.
edit lại là em đã từng để tóc ngắn rồi giờ em muốn thử để tóc dài mà làm kiểu ý mn.</t>
  </si>
  <si>
    <t>2019-11-23 14:06:12</t>
  </si>
  <si>
    <t>100021722850811</t>
  </si>
  <si>
    <t>Cho em xin 1001 tips làm tóc nhanh dài đi ạ :((( lầm lỡ tí mà cái đầu em giờ như cái gáo dừa rồi :((
#ask #help</t>
  </si>
  <si>
    <t>2019-10-01 00:20:14</t>
  </si>
  <si>
    <t>100013109194603</t>
  </si>
  <si>
    <t>#ask
#suaongchua
 Cả nhà có ai đã và đang dùnng VIÊN UỐNG SỮA ONG CHÚA này không ạ ? . Hiện e đã uống được khoảng 4-5 tháng rồi, cũng gần hết hộp . Em đang thắc mắc là không biết uống cái này có cần cách ra vài tháng rồi uống tiếp không ? Hay có thể uống liền tù tì cả năm được ? ( vì theo như e biết mấy loại tpcn kiểu này , ví dụ như colagen là ko nên uống liên tục ) . Vậy chị nào đã dùng rồi giải đáp giùm e nhé. E có lên mạng tìm hiểu nhưng cũng mơ hồ, vào đây hỏi mn cho rõ ạ . E cảm ơn mn !</t>
  </si>
  <si>
    <t>2019-12-09 00:31:41</t>
  </si>
  <si>
    <t>Vân Lương</t>
  </si>
  <si>
    <t>100006944142949</t>
  </si>
  <si>
    <t xml:space="preserve">#suaongchua #ask </t>
  </si>
  <si>
    <t xml:space="preserve"> #help #body #bapduito #bapchanto
Em cao m55 nhưng đùi 57-58cm và bắp chân 36-37cm ạ (bố em cũng to như vậy và nói là do gen), em bị mn bodyshaming nên rất tự ti,khi bóp thì rất chắc, em không chắc đó là cơ vì em vận động rất ít chỉ có đi học suốt. 
Em muốn tìm cách để làm nhỏ lại bắp đùi cũng như bắp chân ạ. Em đọc một số bài nói rằng chỉ có tiêm botox mới nhỏ lại nên rất hoang mang ạ.
Em 17t mong mọi người giúp đỡ ạ! Em cảm ơn mọi người ạ!</t>
  </si>
  <si>
    <t>2019-09-28 07:44:37</t>
  </si>
  <si>
    <t>Phạm Vy</t>
  </si>
  <si>
    <t>100032231694093</t>
  </si>
  <si>
    <t xml:space="preserve">#bapchanto #bapduito #body #help  </t>
  </si>
  <si>
    <t xml:space="preserve">
#ask
Mn cho mình hỏi mình bị lên nốt tàn nhanh ở cổ từ nhỏ như trong hình ạ vậy có thuốc nào làm giảm hay phương pháp nào không tư vấn mình với . 
Cảm ơn ad đã duyệt bài</t>
  </si>
  <si>
    <t>2019-08-24 23:42:28</t>
  </si>
  <si>
    <t>Lâm Tùng Dương</t>
  </si>
  <si>
    <t>100012128105245</t>
  </si>
  <si>
    <t xml:space="preserve">
#trietlong
Có anh chị nào mua máy triệt lông mini về triệt chưa ạ? Loại công nghệ laser ấy :( Em định mua mà không biết có hiệu quả không 
Anh chị nào dùng rồi cho em xin ít review với</t>
  </si>
  <si>
    <t>2019-10-22 15:53:01</t>
  </si>
  <si>
    <t>Duyệt bài hộ em với . e nặng mụn do để lại sẹo rỗ .vs thâm có sản phẩm nào dùng hết không ạ 😥</t>
  </si>
  <si>
    <t>2019-12-24 10:43:32</t>
  </si>
  <si>
    <t>Ngọc Kem</t>
  </si>
  <si>
    <t>100036849286683</t>
  </si>
  <si>
    <t>Mn ơi có cách nào giúp mắt e bớt sưng thâm như này đc ko ạ
E ngủ nhiều cũng bị mà ngủ ít cũng bị, cười ra làm bọng mắt to với cả nhìn già thêm mấy tuổi nữa😭😭 chụp vô nhìn ít thấy hơn ở ngoài rồi đó ạ</t>
  </si>
  <si>
    <t>2019-12-19 23:23:11</t>
  </si>
  <si>
    <t>100027423965245</t>
  </si>
  <si>
    <t>#goctuvan
Chuyện là đang là đầu tháng đó mọi người nên lương về túi lại khiến em bị ngứa tay muốn mua đồ. Dạo gần đây em đang xài black rouge a12 nhưng không biết có ai bị như em hay không, vừa dùng lên thì son mịn thật nhưng chừng 1 2 tiếng sau là môi em bắt đầu bị bong da ra liên tục, dù có tẩy tbc và mỗi tối em đều dưỡng môi, trước khi xài son cũng dưỡng môi rồi thì vẫn y như vậy nên em quyết định đổi loại khác. Hiện tại vẫn có quá nhiều sự lựa chọn, em địa cây dior lips tatoo 421 lâu rồi nhưng chưa dám vì nghe nhiều ý kiến trái chiều quá. Giờ thì em có thêm option là son kem của bobbi brown thấy bảng màu cũng khá đẹp. Các chị các bạn đã sử dụng qua hay có loại nào ít gây khô môi thì recommend cho em với ạ. Em cảm ơn mọi người đã đọc ❤ À hầu bao của em khoảng 1tr đổ lại 💄💄
Ảnh nhặt từ pinterest.</t>
  </si>
  <si>
    <t>2019-05-08 11:54:38</t>
  </si>
  <si>
    <t>Mì Mí Mi</t>
  </si>
  <si>
    <t>100013667920114</t>
  </si>
  <si>
    <t xml:space="preserve">
#diung
Gấp ạ.
Các chị ơi cứu em với. Có ai da mặt đã từng bị mẩn đỏ toàn mặt mà k rõ nguyên nhân chưa ạ? Đặc biệt mẩn nhiều vùng quanh mắt và k hề ngứa. Em mấy lần trước có bị vài vết nhưng tầm 1 lúc nó mờ. Lần này bị toàn mặt mà từ đêm qua đến giờ càng đỏ. Em k ăn gì lung tung và sd mĩ phẩm gì lạ. Em đọc gg thì thấy có thể bị dãn mao mạch nhưng khi ấn tay vào vết đỏ k mất đi. Chị nào đã từng bị giúp em với ạ. Do tuần này em đang thi, đêm lại đi làm nên em k đi viện được luôn ạ. 
Mong ad duyệt bài cho em với</t>
  </si>
  <si>
    <t>2019-12-16 02:38:28</t>
  </si>
  <si>
    <t>Nguyễn Thị Thu Hà</t>
  </si>
  <si>
    <t>100004328257254</t>
  </si>
  <si>
    <t>#khautrang
Mọi người cho e hỏi là có nên sử dụng thường xuyên khẩu trang y tế không ạ? Giữa khẩu trang y tế và khẩu trang vải thì nên dùng loại nào? 
Mấy tháng nay e hay dùng khẩu trang y tế nhưng mặt lại mọc mụn ẩn,rồi da bị sạm đi.Mỗi khi nói chuyện là khẩu trang cọ vào mặt rát rát rồi đúng chỗ đó lại bị mọc mụn bọc.
Mọi người bảo 1 ngày chỉ nên rửa mặt 2 lần nhưng e đi ngoài đg cả ngày,buổi trưa về thì có nên rửa mặt không ạ?
Mong ad duyệt bài giúp e ạ!</t>
  </si>
  <si>
    <t>2019-09-17 15:05:52</t>
  </si>
  <si>
    <t>100023337615467</t>
  </si>
  <si>
    <t xml:space="preserve">#khautrang </t>
  </si>
  <si>
    <t>Mọi người ơi cứu em với..
Mặt em bị dính rượu thuốc cách đây 1 năm.
Mụn h toàn nổi ở quai hàm dù có trị thế nào cũng k giảm.Trước đây em đã đi khám ở da liễu và điều trị ở spa nhưng k hết và lại bị tái lại😭😭
Cả nhà có ai bị như em tư vấn trị với ạ😊😊
#munviem
#thamdomun</t>
  </si>
  <si>
    <t>2019-12-22 09:37:51</t>
  </si>
  <si>
    <t>Thoai Hoang</t>
  </si>
  <si>
    <t>100038003653149</t>
  </si>
  <si>
    <t xml:space="preserve">#thamdomun #munviem </t>
  </si>
  <si>
    <t>Mọi người cho em hỏi có ai từng bị nv chưa ạ. Kiểu họt li ti thành mảng ấy ạ</t>
  </si>
  <si>
    <t>2019-11-30 04:46:18</t>
  </si>
  <si>
    <t>Trần Thị Ngọc Yên</t>
  </si>
  <si>
    <t>100004731310584</t>
  </si>
  <si>
    <t>M.n ơi em tính đi nhuộm tóc và phân vân giữa màu nâu lạnh và nâu sương mù. Có ai nhuộm rồi cho em xin ý kiến được k a. ?</t>
  </si>
  <si>
    <t>2019-12-21 02:39:20</t>
  </si>
  <si>
    <t>Nguyễn Quế Trân</t>
  </si>
  <si>
    <t>100006318821568</t>
  </si>
  <si>
    <t>#ask
#kemchốngnắng
Cho em xin vài kem chống nắng vật lý cho da thường, hơi khô nhạy cảm đi ạ
Giá tầm 400k đổ lại thôi ạ huhu không tìm được cái nào ưng ý. Em không dùng được KCN hóa học vì bị dị ứng ạ.
Em đã thử tham khảo qua Neutrogena nhưng mà thứ nhất nó là hóa học thứ hai nó có paraben, biore thì toàn dòng cho da dầu, Cell Fushion cũng cho da dầu nốt,  em tuyệt vọng quá ai giúp em với.
Em cảm ơn trước ạ
P/s: Vui lòng các chị bán hàng không pr vào đây ạ
Ad duyệt giúp em với ạ, em không tìm được loại nào phù hợp với mình cả, em sắp cháy nắng cả người rồi huhu</t>
  </si>
  <si>
    <t>2019-04-30 19:32:14</t>
  </si>
  <si>
    <t>Ngọc Anh Nguyễn</t>
  </si>
  <si>
    <t>100005008623707</t>
  </si>
  <si>
    <t xml:space="preserve">#kemchốngnắng #ask </t>
  </si>
  <si>
    <t>#review
#7day #v7
Góc xin review.
Mọi người ai dùng 2 loại này rồi có thể cho review giúp mình được không. Dùng cả bộ của nó luôn có ok không hả mọi người???</t>
  </si>
  <si>
    <t>2019-03-07 07:02:03</t>
  </si>
  <si>
    <t>Trúc Lam</t>
  </si>
  <si>
    <t>100026676213319</t>
  </si>
  <si>
    <t xml:space="preserve">#v7 #7day #review </t>
  </si>
  <si>
    <t xml:space="preserve">
#dưỡngmi 
mọi người ơi cho e xin review về loại huyết thanh dưỡng mi này của eveline với ạ. mi e vốn dĩ đã ngắn rồi mà sau khi nối mi nó còn rụng thêm nữa 😭 các c còn biết loại nào dưỡng dày và dài mi nữa mách e nhé ❤️❤️</t>
  </si>
  <si>
    <t>2019-09-08 05:00:12</t>
  </si>
  <si>
    <t>Vy Ha</t>
  </si>
  <si>
    <t>100010194272076</t>
  </si>
  <si>
    <t xml:space="preserve">#dưỡngmi </t>
  </si>
  <si>
    <t xml:space="preserve">
Chào ad. Mong ad duyệt bài giúp em. Chào mọi người. Cho e tham khảo ý kiến chút ạ. Da mặt e xài srm Cetaphil mk bị dị ứng đỏ hết mặt luôn. Có bạn nào bị giống em k? Và cách điều trị ntn vậy ạ? Hiện tại da mặt e nổi mẫn đỏ hơi nhức 1 xíu. Hiện tại e đang uống thuốc. Mọi người có cách nào điều trị cho hết k ạ? Em đang stress quá. Sắp tới e có rất nhiều cviec mk mặt nv em rất tự ti 😢</t>
  </si>
  <si>
    <t>2019-11-20 13:21:11</t>
  </si>
  <si>
    <t>Như Pink</t>
  </si>
  <si>
    <t>100012289992362</t>
  </si>
  <si>
    <t>❤️❤️❤️
Các chị có kinh nghiệm cho e hỏi sau sinh trong tháng cần chuẩn bị những gì cho đẹp lại vậy mấy c??? Bữa giờ có bầu e xấu xí kinh khủng , chẳg bjk sanh xong lấy lại được như lúc con gái k nữa, tự ti quá ak....</t>
  </si>
  <si>
    <t>2019-05-04 08:11:30</t>
  </si>
  <si>
    <t>Tuyết Tuyết</t>
  </si>
  <si>
    <t>100004628804047</t>
  </si>
  <si>
    <t>Xin phép ad 
Các bạn cho mình hỏi chút có ai đi triệt lông nách chưa ạ, với triệt thì có được không? Mình đang cho con bú đi triệt có sao không nhỉ</t>
  </si>
  <si>
    <t>2019-12-16 02:16:17</t>
  </si>
  <si>
    <t>Hồ Hồng</t>
  </si>
  <si>
    <t>100003761740396</t>
  </si>
  <si>
    <t>#tamsulanda #hoidap #xaphongtrimun
E bị mụn ở ngực nhiều, vài cái ở lưng với cả mông... Mụn của e ngoài những nốt sưng đỏ, có nhân thì vùng da bị mụn của mình nó sần sần như kiểu bị viêm lỗ chân lông ấy. E đã dùng cả mướp đắng, lá khế giã ra rồi nấu nước tắm, tắm chanh, muối biển các kiểu cũng không đỡ. Thấy mọi người dùng For Back của Nhật nhiều lắm nhưng e không dám thử vì chứa Triclosan là chất cấm ở Mỹ, dùng sướng bây giờ nhưng về sau mới biết hậu quả... Huhu có anh chị nào trị khỏi mụn lưng, mụn body rồi thì cho e xin routine trị mụn hay sản phẩm trị mụn nào tốt tốt với ạ! Giá cao hay thấp e cũng không quan trọng lắm nhưng mà chữa được làn da khổ sở của e là e sướng rồi!
P/S: Da e là da siêu siêu nhạy cảm, không dùng được mấy sản phẩm nhiều hoá chất kiểu AHA, BHA, SLS,...  Dùng xong mấy loại sữa tắm trị mụn trong viện da liệu e chẳng thấy đỡ gì mà da khô và căng khó chịu lắm... Nên giờ chỉ tìm đến sản phẩm nào càng tự nhiên càng tốt thôi ạ!</t>
  </si>
  <si>
    <t>2019-08-08 09:30:30</t>
  </si>
  <si>
    <t>Lê Trần Thảo Nguyên</t>
  </si>
  <si>
    <t>100004920134810</t>
  </si>
  <si>
    <t xml:space="preserve">#xaphongtrimun #hoidap #tamsulanda </t>
  </si>
  <si>
    <t>Tránh xa lũ lừa đảo này ra mọi người nhé</t>
  </si>
  <si>
    <t>2019-12-10 03:45:50</t>
  </si>
  <si>
    <t>Thanh Trinh</t>
  </si>
  <si>
    <t>100006362523766</t>
  </si>
  <si>
    <t>Mng ơi! Các chị em ơi! Help me pls
Tay e khoảng 3 tháng nay các ngón tay lần lượt bị như vầy 😔😔 có lúc tét ra chảy máu ko co hoặc sinh hoạt gì đc luôn. 
Mấy c e có pít thuốc or mẹo gì thì giúp em vs nhé!!! Cám ơn hội mình 💖
#HộiChịEm 
#ĐẹpChanhXả</t>
  </si>
  <si>
    <t>2019-11-21 11:06:43</t>
  </si>
  <si>
    <t>Sô Đặng</t>
  </si>
  <si>
    <t>100026797545572</t>
  </si>
  <si>
    <t xml:space="preserve">#ĐẹpChanhXả #HộiChịEm </t>
  </si>
  <si>
    <t>#Ask #Help #bỏng #Đẹp_chanh_sar
Em chào mn ạ. Chuyện là chiều nay em có bị tai nạn xe, k may bị bỏng bô. Em đắp lô hội lên mà nó vẫn bị lên bọng nước
Cơ địa em thì dễ bị sẹo lồi ( ng em nhiều sẹo lắm rồi ) nên em muốn tham khảo cách trị sẹo ngày từ bây h ạ huhu. H em nên làm gì để nó k bị thâm và thành sẹo lồi ạ.
Sẹo của em ngày đùi nên lộ.liễu lắm, lên sẹp chắc em k dám mặc váy mất T.T
Em cảm ơn nhiều ạ</t>
  </si>
  <si>
    <t>2019-12-23 12:54:52</t>
  </si>
  <si>
    <t>100009122456640</t>
  </si>
  <si>
    <t xml:space="preserve">#Đẹp_chanh_sar #bỏng #Help #Ask </t>
  </si>
  <si>
    <t>#ask #toner
Mng recommend giùm em loại TONER nào dành cho da dầu khi apply lên da mà khô thoáng với ạ. Em dùng Beauty Water mà nó cứ dính dính ẩm ẩm quá 😢 . Dạo này da em mau đổ dầu khiép ý, sẵn chỉ em cách skincare hay sp nào hay ho cho da bớt ra dầu với ạ . Em cảm ơn mng</t>
  </si>
  <si>
    <t>2019-05-16 07:57:51</t>
  </si>
  <si>
    <t xml:space="preserve">
#gochoidap
Ce cho e hỏi bây giờ ở chỗ e đang nổi cái lột da này thì mn có biết cái này n ntn  k ạ? 
Mong ad duyệt bài</t>
  </si>
  <si>
    <t>2019-10-08 10:03:36</t>
  </si>
  <si>
    <t>Phan Thu Phương</t>
  </si>
  <si>
    <t>100030707556315</t>
  </si>
  <si>
    <t>Mọi người cho e hỏi là da trong hình đang bị gì ạ và làm gì hay sử dụng sản phẩm gì cho hết vậy ạ
Em xin cảm ơn ạ</t>
  </si>
  <si>
    <t>2019-12-08 14:45:00</t>
  </si>
  <si>
    <t>Vân Dương</t>
  </si>
  <si>
    <t>100028827232249</t>
  </si>
  <si>
    <t>Các chị em giúp em với. Da em mới bị lên mụn như này do mấy hôm trời hanh em dùng dầu dừa để dưỡng. Đây có phải mụn ẩn không ạ? Và làm sao để hết mụn nhanh ạ. Em đang không dám dùng bất kì kem dưỡng gì cả. Dùng mỗi kem chống nắng ban ngày thôi ạ. Tối về thì rửa mặt rồi nước hoa hồng nhưng hơn 1 tuần rồi vẫn chưa hết ạ.</t>
  </si>
  <si>
    <t>2019-11-26 13:29:16</t>
  </si>
  <si>
    <t>Túi Trữ Sữa Sunmum</t>
  </si>
  <si>
    <t>100009795750001</t>
  </si>
  <si>
    <t>Lên hội tìm tòi được mấy sản phẩm thích hợp với da tối qua mua về dùng. Mình thuộc dạng da dầu dễ mụn. Mong các ce xem và chỉ giúp mình nên xài thêm bước nào nữa với nhé. Vaf xài trên mặt có cần bôi xuống dưới cổ luôn ko ah. Cảm ơn ce nhiều. Mình 34 tuổi. ☺️
Mong ad duyệt bài mình với, thanks ad nhiều nhiều 😊</t>
  </si>
  <si>
    <t>2019-11-24 03:23:37</t>
  </si>
  <si>
    <t>NY Phạm</t>
  </si>
  <si>
    <t>100006469530152</t>
  </si>
  <si>
    <t>Sau vi kim phá đáy lỗ chân lông có lẽ em sắp thành mặt rỗ cmnnr 😞.
Đi đâu mấy đứa cũng bảo sao mặt c dạo này kinh thế .
Nản lcl còn to hơn cả lúc chưa làm .</t>
  </si>
  <si>
    <t>2019-11-20 02:15:25</t>
  </si>
  <si>
    <t>Lê Thu Hương</t>
  </si>
  <si>
    <t>100008737332031</t>
  </si>
  <si>
    <t>#makeup #chiase #lookatmyeyes #thaodiep
🎵🎵 Làm thế nào để những tông màu trầm và gam màu có nhũ trở nên lung linh mà k bị sến, tự nhiên mà k bị quá già?! 
🎵🎵 Hôm nay Thảo xin chia sẻ kiểu đánh mắt đơn giản gam mùa thu đông để bạn vẫn là chính mình nhưng đẹp hơn cho những nàng bận rộn, k có thời gian để kẻ eye liner nhé!
🎵🎵 Các sp mình sd:
❤Kẻ mày chì xé
❤Phấn mắt Menard Jupier Eye Color Compact gồm 3 màu kèm cọ dễ dùng, tiện dụng có thể mang theo mọi nơi, độ bám cao, mình dùng 2 ô để lên tông đất, ô còn lại có nhũ lung linh tiện làm highlight luôn nha
❤Phấn mắt Cezanne mình dùng màu đậm nhất để kẻ liner cho tự nhiên nhất có thể
❤ Nhũ mắt Odbo giá rẻ nhưng xài ngon 👍
❤ Mascara Menard Jupier Volume bao dài và tơi mi, chuốt đến đâu dài đến đó :))
🎵🎵 Cám ơn mọi người đã xem bài chia sẻ của mình, hẹn gặp cả nhà ở các bài make up sau hen ❤❤❤</t>
  </si>
  <si>
    <t>2019-10-12 02:27:09</t>
  </si>
  <si>
    <t>Chào cả nhà,
Cách đây vài tháng mình có đi trị mụn ở Ula HouseSpa, lúc đầu quyết định đi là thấy tin quảng cáo 450K cho liệu trình 20 bước, vào thì nhân viên soi da và tư vấn liệu trình Lazer-CO2 với giá 2tr2 và giới thiệu 2 loại thuốc sử dụng trong quá trình trị là tế bào gốc 1 chai khoảng 2,4tr, kem trị mụn được tặng hủ 300k nếu mua lớn thì 1tr2. Mình đồng ý vì nghĩ chạy liệu trình rồi chắc da sẽ đỡ lắm mua 1 chai tế bào gốc với kem mụn tặng là được, sau đó sẽ sử dụng mỹ phẩm đã mua ở nhà. 
Nhưng, sau khi chạy liệu trình CO2 thì giá 2tr2 đó chỉ gồm nặn mụn và bắn lazer, sau đó chị tư vấn( ở đó gọi là bác sĩ ) kêu mình phải mua tối thiểu 5-7 chai TBG cho 3 ngày đầu sử dụng, sau đó mua thêm dùng thêm, rồi chị tư vấn nâng gói lên 30tr để được tặng 1 dịch vụ miễn phí rồi bảo hành da. Do không chuẩn bị trước, mà chị cứ nói không đủ 5 chai da không khỏi, nên đành chấp nhận mua 5 chai đó. 
Đến lần tái khám( sau 3 ngày ), thì hủ kem mụn tặng cũng hết, nên mình đành mua hủ 1tr2( như hình dưới, mình đã sử dụng, bỏ ngăn đá nên nó như vậy tan ra rồi thì kem 1 bên nước chảy ra 1 lớp và có vẻ như không thấm nổi, da mình thì lại dầu nhờn nữa). Và ép mình mua TBG tiếp nhưng mình từ chối vì còn. Lần tái khám thứ 2 mình thấy mụn lên rất nhiều, càng lấy tay càng lên nên mình quyết định đi liệu trình 20 bước 450K kia được giảm 100k do lần 2( mình nhắc nó mới giảm chứ không cũng lấy mình 450K như bình thường rồi), trong lúc làm hỏi mình thải chì không cho sạch da bla bla giảm giá còn 200K, đắp nạ phục hồi không 200K, mình nói không vài lần chị nhân viên mới suggest cuối là nạ ngũ hoa 90K( về xem lại clip mình mới thấy nạ này đã bao gồm trong 20 bước-450K như đã pr) nhưng thôi. Sau lần đó dù spa gọi nhiều lần mình vẫn không ra. Tổng thiệt hại khoảng 15tr cho gần 1 tháng.
Mình vẫn sử dụng các sản phẩm đã mua ở spa. Nhưng thấy không cải thiện còn có xu hướng nổi mụn hơn, da dầu hơn. Mình quyết định ngưng nhưng không dám bỏ vì khá tiếc tiền. Thay vào đó mình chỉ sử dụng các sp của innisfree và naruko. 
Thì nay mới thấy cảnh báo về thuốc bắc ở các spa. 
Nên mình muốn hỏi kem này có đúng là thuốc bắc như đã nói?
Cũng như cho mọi người có ý định đi spa thì nên giữ ý định ban đầu nếu như kinh tế không cho phép. 15tr đó mình dùng mua skincare sử dụng chắc cả năm :( 
#ask #Ulahousespa</t>
  </si>
  <si>
    <t>2019-10-26 03:37:34</t>
  </si>
  <si>
    <t>Nguyễn Hân</t>
  </si>
  <si>
    <t>100029987175647</t>
  </si>
  <si>
    <t xml:space="preserve">#Ulahousespa #ask </t>
  </si>
  <si>
    <t>Hix hối hận nhất là đi làm chân mày á 😥 ai cũng bảo già hơn. Với bản thân thấy xấu mà nay trổ ra màu đen đen xám xám. Muốn xóa hẳn ko làm gì nữa. Ai từng xóa chưa cho mình xem hình với. Với lại xóa phương pháp gì là hết hẳn hả mọi người ơi.mình làm 3 năm rồi. Giờ nó cũng phai mờ hơn hy vọng xóa hết dc.</t>
  </si>
  <si>
    <t>2019-10-18 15:43:06</t>
  </si>
  <si>
    <t>Xuân Cuxi</t>
  </si>
  <si>
    <t>100004930295988</t>
  </si>
  <si>
    <t>Tình trạng mặt e như này. Hôm nay em đi khám da liễu ở số 2 nguyễn thông. Bs chỉ nhìn e 5s rồi kê toa thuốc không nói gì thêm và kêu e đi ra. Như này chỉ cần uống thuốc bsi đưa thôi hay có cần đi nặn mụn hok ạ? Hay có skin care j được hok ạ?</t>
  </si>
  <si>
    <t>2019-11-12 03:50:00</t>
  </si>
  <si>
    <t>100041869984799</t>
  </si>
  <si>
    <t>Em là mẹ bỉm sữa mới sinh em bé được 3 tháng, mới tập tành skincare thôi ạ . E không rành về mĩ phẩm nên rất mong được mọi người giúp em chọn sản phẩm phù hộ để sử dụng lâu dài . Da e là da khô, mụn ẩn, thâm. E dùng srm centaphil, ttbc Nhật và dùng 3 loại ở dưới. E cần dùng thêm serum hay kem dưỡng gì ko ạ.  Cảm ơn ad duyệt bài</t>
  </si>
  <si>
    <t>2019-12-23 16:10:37</t>
  </si>
  <si>
    <t>Thu Thủy</t>
  </si>
  <si>
    <t>100016893123502</t>
  </si>
  <si>
    <t>Mọi người cho em xin ý kiến 😥
Mặt em vuông trán ngắn nên để kiểu tóc gì xinh xẻo đón tết ạ 💕</t>
  </si>
  <si>
    <t>2019-12-17 23:10:37</t>
  </si>
  <si>
    <t>Chi Bâu</t>
  </si>
  <si>
    <t>100026250197431</t>
  </si>
  <si>
    <t>@depchanhsa
@nhuomtoc
Chuyện là gần tết rồi và mình đang rất muốn mần tóc xinh xắn ăn tết. Mà khổ nổi tóc mình đã nhuộm đen được hơn 7 tháng rồi mà giờ nó phai ra ánh đỏ đỏ vàng vàng trên tóc. Cao nhân nào có ý kiến nên nhuộm màu gì hay kiểu nào trông xinh xinh chỉ em với ạ!? Chứ em sợ tóc em như vậy nhuộm 1 màu nó không ra đều nguyên đầu. Huhuhu 😭 
Chan thành cảm ơn admin xinh đẹp đã duyệt bài giúp em ạ 😍</t>
  </si>
  <si>
    <t>2019-12-23 16:17:05</t>
  </si>
  <si>
    <t>Mọi người có thuốc gì trị thâm hiệu qủa không ạ??? Giúp em với.
Đợt vừa rồi em bị dị ứng (ra hiệu thuốc họ bảo do thời tiết)  khắp người ngứa gãi nhiều quá bị xước da sau đó bị thâm như này ạ :((   chân tay bụng mông...Cứ hễ ngứa em gãi là thành nốt thâm như ảnh 😑 thực sự là chẳng giám mặc váy hay quần đùi gì luôn ạ. 
#hỏiđáp
#giúpđỡ</t>
  </si>
  <si>
    <t>2019-11-25 02:56:43</t>
  </si>
  <si>
    <t>Hoàng Thị Hà</t>
  </si>
  <si>
    <t>100037415587032</t>
  </si>
  <si>
    <t>Mọi người ơi cho em hỏi với ạ : 
Omega3 có giúp làm giảm mụn nội tiết không ạ vì em là đứa lười ăn cá và bị mụn dù bôi cái gì nó cũng tự lên ạ 
Trước em có uống isotrenoin nên lớp skin barrier nó cũng bị yếu đi thì mình nên dùng mỹ phẩm gì ạ ( hiện em đang dùng centaphil, muji, bioderma là chủ yếu) và em không dùng kem chống nắng vì dùng càng lên mụn ạ</t>
  </si>
  <si>
    <t>2019-12-20 05:39:19</t>
  </si>
  <si>
    <t>Nguyễn Duy Anh</t>
  </si>
  <si>
    <t>100027319023303</t>
  </si>
  <si>
    <t>Mọi người có cách nào cứu tóc ko ạ? Tóc mình mấy năm nay đều tan nát như vậy. Chả dài nổi, tới salon nào ngta cũng lắc đầu. 
Mình đã thử qua rất nhiều xịt tóc ủ tóc và hay hấp dầu mà càng lúc càng yếu, mỗi năm mình đều duỗi và nhuộm 1 lần ( salon bảo combo duỗi phục hồi mà ko thấy phục hồi gì cả).Mỗi lần tỉa hi vọng nó ra tóc mới mà càng lúc càng ngắn. 
Muốn tóc dài để uốn mà mấy năm nay chả dài và phục hồi nổi. 
Có ai dung sp gi ma phục hồi được tóc hư tổn giúp mình với.
Chị Hằng duyệt bài dùm em nha chị.</t>
  </si>
  <si>
    <t>2019-12-10 11:46:09</t>
  </si>
  <si>
    <t>Đặng Thị Mỹ Lộc</t>
  </si>
  <si>
    <t>100004600562877</t>
  </si>
  <si>
    <t>Ai có cách gì hay thuốc làm hết nẻ quanh miệng đc ko ạ??? Em dùng nhiều cách lắm rồi uống nước rồi dưỡng ẩm. Bth em dưỡng ẩm toàn dùng cả gel với oil kết hợp rồi cả thuốc nữa nặng đô lắm rồi mà cứ đêns tầm trưa là nó lại thâm hết lại thành 1 đường troing mất thẩm mĩ lắm ạ:((( huhu nhìn cả ngoài trông còn kinh hơn luôn ý ạ</t>
  </si>
  <si>
    <t>2019-12-03 15:29:27</t>
  </si>
  <si>
    <t>Dươngg Dương</t>
  </si>
  <si>
    <t>100004248452797</t>
  </si>
  <si>
    <t>Mọi người ơi cho e xin ít review về thuốc bổ cho mẹ bầu với ạ, e thấy nhiều loại quá mà ko biết loại nào oke</t>
  </si>
  <si>
    <t>2019-12-20 05:43:07</t>
  </si>
  <si>
    <t>Ngân Móm</t>
  </si>
  <si>
    <t>100010844953002</t>
  </si>
  <si>
    <t xml:space="preserve">Các chị trong hội có ai đi cắt mí thì review cho em xem có bị như này k ạ :((( e mới đi cắt mà nhìn sưng to với cắt cao quá k biết sau này có đẹp được k nữa  😭😭 nhìn mất hết thẩm mĩ
</t>
  </si>
  <si>
    <t>2019-08-19 15:10:11</t>
  </si>
  <si>
    <t>Xuân Hoa</t>
  </si>
  <si>
    <t>100011265480374</t>
  </si>
  <si>
    <t>#răng_khôn
#nhổ_răng_khôn
Dạ chào mọi người ạ, sau khi nằm vùng ở group khá lâu. Nay em xin mạn phép chia sẻ kinh nghiệm nhổ răng ngu của em ạ.
Chả là e có 2 răng ngu mọc lệch ở hàm dưới, bên trái ( như hình ), bên phải thì khá khẩm hơn. Em đang trong thời gian niềng răng nên bác sĩ chỉ định nhổ đi, chứ thật ra em nhát , sợ đau nên k dám nhổ răng ngu của em. Sau khi đi khám 2 3 nơi thì em chọn BV RĂNG HÀM MẶT TPHCM , ở đường Trần Hưng Đạo để giải quyết 2 e. 
Thật ra e sợ đau cực kỳ, trước khi tiểu phẫu e coi clip trên youtube này kia rồi xem review của những bạn từng nhổ, em bị tâm lý luôn ấy ạ, cứ sợ nhổ xog đau rồi bị biến chứng này kia. 
Em hơi dài dòng rồi, em vô vấn đề chính đây ạ. Đầu tiên e vào mua sổ và bốc số đợi nhập hồ sơ bệnh án. Sau khi nói em muốn khám răng khôn, em được chỉ định lên lầu 3, phòng phẫu thuật trong miệng. Bác sĩ khám và bảo em đi chụp x-quang để kiểm tra mức độ răng của em. Vì em thấy 2 bên của em đều lệch nên muốn nhổ cả 2 răng luôn ạ . Sau khi xem phim chụp x-quang thì bs nói em chỉ cần tiểu phẫu răng bên trái thôi, bên phải do hồi nhỏ e có nhổ 1 cây răng nên giờ nhổ luôn răng khôn thì sẽ bị thiếu răng, và răng khôn này còn chữa được thì không cần phải nhổ.
Sau khi xem xong hình chụp x-quang, bs kêu e đi đóng viện phí và xét nghiệm máu, làm xong mọi thứ thì em bắt đầu lên bàn mổ. Đầu tiên mọi người sẽ được chích 2 liều thuốc tê vào 4 góc của chân răng, bước này ai có nhổ răng rồi thì sẽ biết được độ đau của chích thuốc tê ạ, sau đó bạn sẽ nằm đợi khoảng 2p để thuốc tê ngấm. Sau đó sẽ bắt đầu nhổ, do che mặt nên e cũng k rõ trình tự nhổ ra sao, chỉ thấy không đau gì hết, chỉ đau hàm lúc bác sĩ nạy chân răng lên thôi ạ.
( À, MỌI NGƯỜI NHỚ THẢ LỎNG KHI NHỔ NHA ) Vì em nhát nên khi nhổ e căng thẳng, dẫn đến khi nhổ xog e bị căng cơ cổ. 
Sau khi nhổ xong bác sĩ dặn về nhà chườm đá liên tục, ăn uống bình thường, nhưng chỉ ăn đồ nguội , uống thuốc theo chỉ định.
Sau khi nhổ xog, do thuốc tê còn và trog lúc nhổ em bị căng thẳng nên bị căng cơ cổ rồi khó nc nữa. Về nhà em chườm đá liên tục 2 tiếng. Sau đó húp cháo loãng để uống thuốc giảm đau và chống viêm.
Cảm nhận của em sau khi nhổ 1 ngày là, chỉ ê và nhói khi hết thuốc giảm đau. Còn lại mọi thứ vẫn bt, mọi người chỉ nên ăn cháo loãng ,k nêm gia vị nhiều, và để thật nguội mới ăn nha, và tuyệt đối k xúc miệng bằng nước muối, em thì ăn uống , uống thuốc xog thì tối đánh răng bt, và sáng nay ngủ dậy k thấy cảm giác gì hết. Em vẫn ăn cháo loãng để tránh ảnh hưởng và làm viêm ổ răng mới nhổ.
Tổng chi phí em tiễn em răng ngu là
2000K - tiền tiểu phẫu
280k - tiền xét nghiệm máu
#2️⃣270K - tiền chụp x-quang
#4️⃣43K - tiền sổ khám.
Tuy giá cao hơn bên ngoài 1 tí, nhưng vào bv lớn nhổ vẫn cảm thấy yên tâm hơn ạ.
Cảm ơn mọi người vì đã đọc bài review hơi dài của em ạ ❤❤❤</t>
  </si>
  <si>
    <t>2019-07-29 06:16:22</t>
  </si>
  <si>
    <t>Nguyệt Nhiếp</t>
  </si>
  <si>
    <t>100004135770130</t>
  </si>
  <si>
    <t xml:space="preserve">#4 #2 #nhổ_răng_khôn #răng_khôn </t>
  </si>
  <si>
    <t>#tritham #trimun 
Chào mn~~  Tình là da khá mỏng chỉ cần mọc 1 cục mụn hoy là xung quanh nó cũng đỏ choét à😭😭 e cũng có thử qua nhiều loại trị thâm và mụn nhưng k hiểu sao sau khi dùng thì da nó đỏ tấy lun. Chưa kể đợt vừa r e dùng kcn somebymi thì vị breakout kinh khủng :(((( 
Bây giờ thì e chỉ dùng mỗi srm cerave thoy. Mn ai biết sp trị mụn hay trị thâm nào hiệu quả và dịu nhẹ thì giúp e vớiii ạ ~~~~</t>
  </si>
  <si>
    <t>2019-12-20 09:35:15</t>
  </si>
  <si>
    <t>Tina Nguyễn</t>
  </si>
  <si>
    <t>100010199383589</t>
  </si>
  <si>
    <t xml:space="preserve">#trimun #tritham </t>
  </si>
  <si>
    <t>Mọi người coi giùm e có nên cắt ngắn luôn k hay nuôi dài ak.tóc e mỏng lm</t>
  </si>
  <si>
    <t>2019-11-09 11:19:32</t>
  </si>
  <si>
    <t>Kiêu Cực Kì</t>
  </si>
  <si>
    <t>100007891274978</t>
  </si>
  <si>
    <t>#help #dadau #skincare #gochoidap
Hello mọi người, chẳng qua là da em là da dầu tiết rất nhiều vào buổi sáng và trưa luôn ạ 😭 Cứ chuẩn bị tới tháng lại còn nổi thêm cả mụn đầu đen, bị lỗ chân lông to 1 bên má nữa 😩 
Em chưa có kinh nghiệm skincare nên đăng bài mong mọi người cho em ít sản phẩm và các bước skincare với ạ. À còn thêm cả kem chống nắng cho da dầu nữa. Em cám ơn nhiều ❤️</t>
  </si>
  <si>
    <t>2019-08-15 15:52:43</t>
  </si>
  <si>
    <t>Lý Thuỵ Thuỳ Linh</t>
  </si>
  <si>
    <t>100005744029103</t>
  </si>
  <si>
    <t xml:space="preserve">#gochoidap #skincare #dadau #help </t>
  </si>
  <si>
    <t>Em đag dùng bộ sp của some by mi trị mụn . Với srm centaphil . Kem nghệ thorakao .  Nhưng chả thấy đỡ .  Da e từg dính kem trộn 6th ạ . Ac tư vấn giúp e da e nên dùg gì ạ . Em bị lỗ chân lông to nửa ...</t>
  </si>
  <si>
    <t>2019-12-24 13:18:01</t>
  </si>
  <si>
    <t>Nguyễn Thị Hồng Huệ</t>
  </si>
  <si>
    <t>100014089037374</t>
  </si>
  <si>
    <t>Mong ad duyệt ạ 
Em ngại nên dùng nick ảo
- Hiện tại da em mụn ẩn, lỗ chân lông to và da dầu, thân mụn nhiền em đang ngưng skincare bây giờ chẳng biết sử dụng gì 😭 tết tới nơi mọi người giúp em với</t>
  </si>
  <si>
    <t>2019-12-19 23:23:30</t>
  </si>
  <si>
    <t>#ask
Có ai bị như em không ạ???
(Ảnh minh hoạ)
Em năm nay 20t, trước đây lúc dậy thì e bị rạn da rất nhiều từ đầu gối lên tới mông vì cao lên đột ngột trong thời gian ngắn, không hề tăng cân nhanh. Em đã rất tự ti về những vết rạn da ấy, em đã thử bôi dầu dừa và một số kem trị rạn da hiệu quả thì không có nhiều mà bị mọc lông lên rất nhiều, dạo gần đây em lại bị rạn thêm mặc dù đã 20t không tăng cân chiều cao cũng k biết có tăng lên phân nào không. Có ai chỉ cho em cách làm mờ các vết rạn được không ạ?? Vì theo em đc biết thì nó không thể nào hết được. Cảm ơn ạ</t>
  </si>
  <si>
    <t>2019-10-12 15:32:23</t>
  </si>
  <si>
    <t>100041973202327</t>
  </si>
  <si>
    <t>#ask #chaynang
Cho em hỏi làm cách nào để tay trắng lại ạ . Em bị cháy nắng cả 2 tuần nay rồi mà vẫn không nhả nắng :(((</t>
  </si>
  <si>
    <t>2019-12-15 05:54:50</t>
  </si>
  <si>
    <t>Chuột Đen</t>
  </si>
  <si>
    <t>100009902377252</t>
  </si>
  <si>
    <t xml:space="preserve">#chaynang #ask </t>
  </si>
  <si>
    <t>Có ai có cách nào để trị hết sẹo thâm ko ạ.. Sắp tết rồi e muốn mặc váy huhu...
Mong ad duyệt bài ạ</t>
  </si>
  <si>
    <t>2019-12-15 14:47:48</t>
  </si>
  <si>
    <t>100031026130142</t>
  </si>
  <si>
    <t>Mọi người cho e hỏi, có ai bị đồi mồi như này k ạ, dùng gì cho tốt ạ, e cảm ơn</t>
  </si>
  <si>
    <t>2019-12-13 09:34:35</t>
  </si>
  <si>
    <t>100009073950901</t>
  </si>
  <si>
    <t>Nhờ chị em tư vấn giùm mình kiểu tóc mình sinh 96 mẹ 2 con - mình tính cắt ngắn ngang vai nhuộm xám khói ko biết hợp ko ạ - cam thường nhìn mặt dại dại</t>
  </si>
  <si>
    <t>2019-12-19 23:24:21</t>
  </si>
  <si>
    <t>Trần Như</t>
  </si>
  <si>
    <t>100024181486207</t>
  </si>
  <si>
    <t>Da mặt em chưa dùng qua loại mỹ phẩm nào nhưng từ lúc lên sài gòn da nổi mụn và lỗ chân long  to mn giúp em cải thiện đón tết với ạ. Hiện tại em đang dùng 
Srm hadalabo xanh lá cây
Toner klair loại k hương liệu
Serum the ordinary niacinamide 10% zinC 1%
Kem dưỡng ẩm klair 
Kem chống nắng Cell fusion C
Tẩy trang loreal nắp xanh nhạt 
‼️‼️⚠️⚠️mn giúp em với ạ. Em cảm ơn</t>
  </si>
  <si>
    <t>2019-12-10 04:19:16</t>
  </si>
  <si>
    <t>Trần Thị Tú Linh</t>
  </si>
  <si>
    <t>100002982652387</t>
  </si>
  <si>
    <t xml:space="preserve">
#ask
Các xị đẹp trong nhóm mình đã có ai uống những loại collagen dưới đây chưa ạ? Cho em xin chút review được ko ạ? 27t r nên cũng muốn uống thêm ạ.
Hien tại em đang uống tinh dầu hoa anh thảo,E đỏ và cấp nước r ạ. Tks các chị đẹp ❤️</t>
  </si>
  <si>
    <t>2019-10-23 05:28:46</t>
  </si>
  <si>
    <t>Nguyễn Thuỳ Trang</t>
  </si>
  <si>
    <t>100002284640149</t>
  </si>
  <si>
    <t>#thammun
Xin phép ad ạ
Xin chào mọi người ạ, mình mong mọi người có thể giúp mình, chuyện là mình có đi lấy nhân mụn, sau khi bong mài thì để lại những vết thâm như này (cũng được khoảng 5 ngày),  mình không biết đây có phải là thâm đỏ hay không? Mình có thể dùng sản phẩm nào để cải thiện không ạ? Mình có xem 1 cái vlog của chị Mai Vân Trang thì có nói là để thời gian cũng sẽ hết nhưng cũng khoảng mấy tháng, khi mình hỏi 1 spa khác thì ngta bảo thâm này cần phải hút sạch máu thâm ra, để lâu sẽ khó trị ( ở đó người ta nói làm 5 buổi rồi đưa thuốc về cho mình sứt, mình cũng nghĩ là hàng trộn nên chưa đi)
Cảm ơn ad ạ &lt;3</t>
  </si>
  <si>
    <t>2019-12-15 04:35:40</t>
  </si>
  <si>
    <t xml:space="preserve">
#SữaRửaMặt
Các chị tư vấn giúp em xin ít tip sữa rửa mặt Hàn hợp dùng cho da khô và nhạy cảm trong mùa đông với ạ. Em dùng srm Nivia Thái được tặng mùa hè ko sao, mới chớm đông đã nổi nốt đỏ, chóc vảy trắng ra rồi ạ. Hic
Em cảm ơn các chị và Hội ạ :(
P/s: em lấy hình mạng gần giống mặt em ạ.</t>
  </si>
  <si>
    <t>2019-09-27 00:04:08</t>
  </si>
  <si>
    <t>Ngoc Ha</t>
  </si>
  <si>
    <t>100011434065203</t>
  </si>
  <si>
    <t xml:space="preserve">#SữaRửaMặt </t>
  </si>
  <si>
    <t>#help #đepchanhsa
Làm gì để da đẹp bây giờ mọi người ơi, giúp e với ạ, 
Da e là da dầu trước da đẹp thì đổ nhiều dầu lắm. Dạo gần đây bị mụn thì da trở nên khô khốc hơn, đầu tiên nó mọc mụn vùng trán  giờ lan ra cả 2 bên má và bây giờ đang mọc ở cằm
Nữa ạ
E chỉ rửa mặt và aply toner ạ. Không dùng cái gì nữa mà mụn càng ngày càng lên. 
E được chị ở ngoài hiệu thuốc chỉ cho dùng chấm mụn klenzit C mà e cũng k thấy hiệu quả với e tí nào mà da nó càng khô hơn
Mn ai bị như e k ạ. Tết sắp đến nơi rồi mà chán quá 😔😔😔😔</t>
  </si>
  <si>
    <t>2019-12-05 09:00:23</t>
  </si>
  <si>
    <t>Thu Xuxu</t>
  </si>
  <si>
    <t>100008175939314</t>
  </si>
  <si>
    <t>#maithaomoc Các bác xem thành phần của sữa rửa mặt Mộc Thảo Mai sản xuất tại You Ét Ây có kì lạ không ạ :))))</t>
  </si>
  <si>
    <t>2019-11-06 11:55:36</t>
  </si>
  <si>
    <t>Nguyen Viet Anh</t>
  </si>
  <si>
    <t>100025765042828</t>
  </si>
  <si>
    <t xml:space="preserve">#maithaomoc </t>
  </si>
  <si>
    <t>#viênuốngtrắngda
 Các chị em em xin Review các loại viên uống trắng da mà các chị thấy cải thiện với ạ. 
Ai đã dùng loại này chưa ạ. E định uống thử mà k biết có cải thiện k</t>
  </si>
  <si>
    <t>2019-09-18 08:27:38</t>
  </si>
  <si>
    <t>Đỗ Dung</t>
  </si>
  <si>
    <t>100008346068169</t>
  </si>
  <si>
    <t xml:space="preserve">#viênuốngtrắngda </t>
  </si>
  <si>
    <t>Em bị rạn da sau sinh. Dùng nhiều loại thuốc nhưng k khỏi. Điều kiện cũng k có. Mong mấy chị chỉ giúp em sản phẩm hoặc cách chữa rạn được k ạ. Mấy chị bán hàng k hiệu quả chỉ mong lợi nhuận cho bản thân thì né em ra dùm ạ.em khá khó khăn r  . Em cảm ơn ạ.</t>
  </si>
  <si>
    <t>2019-11-22 12:56:13</t>
  </si>
  <si>
    <t>Nguyễn Thị Hiền Linh</t>
  </si>
  <si>
    <t>100023830236736</t>
  </si>
  <si>
    <t>#tiemngua #hpv 
Group mình có ai tiêm ngừa vaccine ngừa ung thư cổ tử cung chưa ạ ? Vì sắp tới mẹ dẫn em đi tiêm mà em thắc mắc lúc người ta thăm dò bệnh án có kiểm tra bộ phận sinh dục của mình không ạ ... vì em hơi ngại cái đó .. Với cả sau khi tiêm có triệu chứng gì không ạ? Mong admin duyệt bài, em cảm ơn ạ</t>
  </si>
  <si>
    <t>2019-09-29 15:11:21</t>
  </si>
  <si>
    <t>100010520230505</t>
  </si>
  <si>
    <t xml:space="preserve">#hpv #tiemngua </t>
  </si>
  <si>
    <t>#toc 
Em uốn tóc mà giờ tóc khô quá.
Nên gội và xả loại nào tốt ạ. 
Em biết bí quyết giúp tóc vào nếp thì chỉ em với.
Em cảm ơn nhiều</t>
  </si>
  <si>
    <t>2019-12-18 05:20:24</t>
  </si>
  <si>
    <t xml:space="preserve">
#mat
Ai đã bị lão hóa da vùng mắt ntn chưa ạ ? Ace cứu e với. E con gái.mắt e bị thâm nữa ạ .e
 mới 20 thôi ạ 😭😭😭.
 (Ảnh này e lấy trên mạng, của e cũng ntn ạ :( )</t>
  </si>
  <si>
    <t>2019-10-17 06:48:09</t>
  </si>
  <si>
    <t>Vũ Văn Nguyệt</t>
  </si>
  <si>
    <t>100025452226561</t>
  </si>
  <si>
    <t xml:space="preserve">#mat </t>
  </si>
  <si>
    <t>#tuvan #amidanhoc #hoimieng #phauthuatcatamidam
Chào mọi người, mình vừa đi nội soi vòm họng thì phát hiện có 2 amidan hóc nên rất lo lắng. Mình từng đọc đc 1 bài viết trong nhóm là nếu cắt bỏ amidan thì sẽ hết hôi miệng, nó làm mh rất tự ti và ảnh hưởng nhiều đến cs.
Mình muốn hỏi là trong nhóm đã ai đi CẮT AMIDAN  chưa ạ? có thể tư vấn cho mh xem có nên cắt hay không? 
Mình cảm ơn</t>
  </si>
  <si>
    <t>2019-08-09 17:54:14</t>
  </si>
  <si>
    <t>100040384152544</t>
  </si>
  <si>
    <t xml:space="preserve">#phauthuatcatamidam #hoimieng #amidanhoc #tuvan </t>
  </si>
  <si>
    <t xml:space="preserve">Xin chào mng, năm nay em 16t. Dạo gần đây em có nghe mng nói làm đẹp trị mụn bằng cách xông mặt bằng chanh sả 😥 Em cũng rất muốn thử nhưng sợ làm kh đúng cách sẽ hư mặt 😩 Nếu xông mặt nhân mụn trồi lên thì mình tự nặn hay ra tiệm nặn an toàn hơn ạ? Sau khi xông mng có thể chỉ em một số mặt nạ tự nhiên hay giá hợp lí để đắp đc k??? 😢 Vì còn là hs nên em k có điều kiện huhu :(( Mong mng giúp đỡ ❤ em c.ơn nhiều ạ
#Help
</t>
  </si>
  <si>
    <t>2019-07-08 09:49:54</t>
  </si>
  <si>
    <t>Khả Hânn</t>
  </si>
  <si>
    <t>100012833040040</t>
  </si>
  <si>
    <t>#ask
Mọi người cho em hỏi đã có ai xài loại thuốc nhỏ mắt này chưa ạ, em nghe quảng cáo hỗ trợ hồi phục thị lực này nọ, mà không biết nó ntn, có chị nào ở Nhật biết sp này cho e thông tin với</t>
  </si>
  <si>
    <t>2019-11-15 23:29:37</t>
  </si>
  <si>
    <t>Mọi người ơi cứu em với ạ !!! 😭😭
Chuyện là sau khi mua và dùng thử sữa rửa mặt,toner và serum của Some by mi thì em hối hận cực độ,mặt em như muốn nở hoa luôn ấy ạ.Trước khi dùng thì chỉ lác đác vài cục mụn mà sau khi dùng lại ra nông nỗi như vậy.Nếu có sản phẩm nào trị mụn tốt mọi người review em với ạ chứ em quá mệt với mụn rồi 😭😭😭</t>
  </si>
  <si>
    <t>2019-11-14 14:30:29</t>
  </si>
  <si>
    <t>Nguyễn Thanh Loan</t>
  </si>
  <si>
    <t>100010769491035</t>
  </si>
  <si>
    <t>Mọi người ơi có ai bị dị ứng thuốc bôi trị sẹo như mình không,mình bị thủy đậu và bôi Hirusca tầm gần tuần thì xung quanh mấy nốt đã bôi thuốc bị ửng đỏ hết và nổi những mục nhỏ li ti xung quanh,ngứa mình đã ngưng sử dụng và đã uống thuốc dị ứng và hết ngứa nhưng da vẫn ửng đỏ như vậy hoài không biết có ai từng bị giống mình không cho mình xin ý kiến với
Mong ad duyệt vì e đăng mấy lần rồi không đuợc duyệt :'(</t>
  </si>
  <si>
    <t>2019-11-27 14:03:45</t>
  </si>
  <si>
    <t>Lê Nhí</t>
  </si>
  <si>
    <t>100040996566447</t>
  </si>
  <si>
    <t>#help #viemlotuyen
Chào mn, e năm nay 22t, đã qhtd. Gần đây e vì trễ kinh nên đi khám ở phòng khám tư, siêu âm và kết luận e bị viêm lộ tuyến ctc cấp độ 2. Bác sĩ có tư vấn các phương pháp như đốt điện và leeps và bảo e cấp độ 2 này thì đặt thuốc cũng không khỏi😭 Do chi phí đắt mà e chưa đủ tiền nên về nhà. Sáng đi khám thì chiều e có kinh, bây h e đã hết kinh, e muốn đi khám lại. Mn tư vấn cho e nên đi khám ở bv phụ sản trung ương hay bv phụ sản hà nội ạ?? Và viêm lộ tuyến thì nên chữa bằng phương pháp nào thì tốt ạ 😭</t>
  </si>
  <si>
    <t>2019-08-11 12:17:34</t>
  </si>
  <si>
    <t>Nguyễn Lê Băng Tâm</t>
  </si>
  <si>
    <t>100038194091898</t>
  </si>
  <si>
    <t xml:space="preserve">#viemlotuyen #help </t>
  </si>
  <si>
    <t>#ask #help #dadầu #damụn
hiện em 16 tuổi, tình trạng da em như vậy ạ
lúc trước em có sài thuốc bắc được hơn nữa năm rồi ngừng và từng sài kem trộn ( sài được mấy lần em cũng quăng 1 chổ do tính hơi lười tí nên không có hậu quả gì lắm )
hiện giờ em chỉ sài srm senka và lâu đắp mặt nạ thôi ạ, có chị nào giúp em cải thiện làn da với ạ :(</t>
  </si>
  <si>
    <t>2019-08-17 12:55:30</t>
  </si>
  <si>
    <t>100034061629414</t>
  </si>
  <si>
    <t xml:space="preserve">#damụn #dadầu #help #ask </t>
  </si>
  <si>
    <t>#ĐẹpChanhXả
#Cứuem😭😭
Mng cho e hỏi loại #SERUM nào tốt với hiệu quả cho da mụn🤦🏼‍♀️🤦‍♀️
Da e thuộc da dầu có mụn ẩn, mụn đầu đen, có vết thâm do mụn để lại và lỗ chân lông to
Mỗi lần đắp mặt nạ xong da e khá khô thì e nên dùng loại serum nào cho phù hợp ạ😞😞😞
*Mng kèm ảnh giúp e nhé*</t>
  </si>
  <si>
    <t>2019-10-21 13:50:00</t>
  </si>
  <si>
    <t>Đinh Thu Trang</t>
  </si>
  <si>
    <t>100011537799003</t>
  </si>
  <si>
    <t xml:space="preserve">#SERUM #Cứuem #ĐẹpChanhXả </t>
  </si>
  <si>
    <t xml:space="preserve">
Mn cho e xin các loại srm vs ạ(e đang tính mua mà thấy nhiều sp quá chẳng bt chọn cái nào tốt)e 15t mặt e toàn mụn ẩn,đầu đen,mụn bọc,mụn mủ(ai có tips thì chỉ e vs)loại srm nào sạch mà k bị khô da ạ(e định mua senka nhưng thấy nhiều ng bảo khô,căng da)srm nào mà phù hợp vs giá tiền hs ấy ạ
#mong_ad_duyet_ho_e</t>
  </si>
  <si>
    <t>2019-12-03 12:18:14</t>
  </si>
  <si>
    <t xml:space="preserve">#mong_ad_duyet_ho_e </t>
  </si>
  <si>
    <t xml:space="preserve">
#myphambabau
Chào mọi người, mình năm nay 24, đây là da mặt mình hiện tại, mụn ẩn khá nhiều, ngứa, nhờn, lcl to, và sạm màu, mong mọi người có thể chia sẻ những bộ mỹ phẩm an toàn dành cho bà bầu được ko ạ, tiện thể mình dùng kcn của laroche posay đc k. 
Cảm ơn mọi người trc nhé
Mong ad duyệt bài ạ</t>
  </si>
  <si>
    <t>2019-07-19 04:28:55</t>
  </si>
  <si>
    <t>Nga Piu</t>
  </si>
  <si>
    <t>100006482017071</t>
  </si>
  <si>
    <t xml:space="preserve">#myphambabau </t>
  </si>
  <si>
    <t>Mình bị sẹo này đã hơn 1 năm rồi 
Giờ vết thương đã lành nhưng thẹo vẫn còn
Do ko biết cách ngừa thẹo nên giờ thành ra nv
Ko biết bắn laze hay lăn kim có hết ko ah???
Mn ai có cách gì giúp mình với ah😢😢😢</t>
  </si>
  <si>
    <t>2019-12-13 12:53:24</t>
  </si>
  <si>
    <t>100009122356867</t>
  </si>
  <si>
    <t>#help mn giúp e với
Chân e bị phỏng ống bô e thấy mn tư vấn bôi ngay dầu mù u rồi ngày thứ 2 e bôi liền sẹo luôn mà h dk hơn tháng rồi vết phỏng nó đỏ đậm tím tím😭h làm sao để hết dk mn chỉ giúp e với</t>
  </si>
  <si>
    <t>2019-12-10 11:47:45</t>
  </si>
  <si>
    <t>Ty Thảo</t>
  </si>
  <si>
    <t>100022216662608</t>
  </si>
  <si>
    <t>#cầntưvấn #nhuộmtóc 
Mn ơi chuyện là em định mua thuốc thử nhuộm tại nhà mà nghe bảo sẽ rất khó lên đều màu 😥
Các chị em đã thử nhuộm tại nhà chưa? Nên dùng thuốc nào để đều màu &amp; có dễ tự nhuộm ko hay phải nhờ người khác nhuộm thì mới đều màu ạ &gt;”&lt;????</t>
  </si>
  <si>
    <t>2019-12-21 03:11:22</t>
  </si>
  <si>
    <t>Tiêu Ngọc Vi</t>
  </si>
  <si>
    <t>100001894808330</t>
  </si>
  <si>
    <t xml:space="preserve">#nhuộmtóc #cầntưvấn </t>
  </si>
  <si>
    <t>#hetkinhnhanh
Mọi người ơi, chuyện là cuối tuần này em đi du lịch nhưng mà e lại bị đến kì kinh nguyệt. Mấy chị chỉ giúp em cách nhanh hết kì được không ạ? Bí kíp nào cứu em với. Đã có kì mà lại còn đi biển. 😭😭😭  em có tìm trên mạng, nhưng là những cách e đã làm rồi, không hiệu quả ạ! 
Edit: Dạ hiện tại em đang bị luôn rồi ạ 😞 mới sáng nay thôi. Mà mỗi lần em bị là 7-8 ngày mới sạch được. Trong khi đó thứ 6 em đã đi biển rồi. Em sẽ thử ăn canh rau ngót, dùng cốc nguyệt san và uống nước dừa ạ! 
Em cảm ơn mọi người nhiều ❤️</t>
  </si>
  <si>
    <t>2019-08-27 01:41:24</t>
  </si>
  <si>
    <t>Đặng Thị Kim Yến</t>
  </si>
  <si>
    <t>100004263459028</t>
  </si>
  <si>
    <t xml:space="preserve">#hetkinhnhanh </t>
  </si>
  <si>
    <t xml:space="preserve">Mong ad duyệt giúp em 😭😭
Em hổng biết sao tự nhiên chân em lại bị như này. Ban đầu chỉ ngứa em có gãi sau đó thành cục k nhân sau đó nó có nhân như hình. Em hoan mang quá mn. Mn giúp em với ạ
</t>
  </si>
  <si>
    <t>2019-12-23 16:15:00</t>
  </si>
  <si>
    <t>Trần Lệ Quyên</t>
  </si>
  <si>
    <t>100014257296801</t>
  </si>
  <si>
    <t xml:space="preserve">
#eothondangđẹp
Các chị đẹp ơi, đã ai dùng loại corest hay latex nào chưa?
Cho e xin ít rìviu với.
E cũng tham khảo của Huonglee corest và corest chuẩn nhưng vẫn đang ko biết nên dùng loại nào.
Mong add duyệt bài cho e với</t>
  </si>
  <si>
    <t>2019-08-23 06:14:28</t>
  </si>
  <si>
    <t xml:space="preserve">#eothondangđẹp </t>
  </si>
  <si>
    <t>#tuvan #help
Em bị mụn do nội tiết tố mọc khá nhiều mụn mủ nhân trắng với dạo này mọc thêm nhiều mụn ẩn ở quai hàm và cằm
Tuần trước e có đi bệnh viện da liễu khám thì bác sĩ kê cho e thuốc isotretinoin 10mg 
e uống được 1 tuần cũng thấy đỡ đi đôi chút 
nhưng vẫn còn mụn ẩn
em đọc tác dụng phụ iso mà hãi 
anh chị nào đã sử dụng thuốc này cho e xin ý kiến với ạ 
Và uống thuốc này đièu trị trong bao lâu và ngừng uống có bị nên lại k ạ
Thanks verry much 😊😊😊</t>
  </si>
  <si>
    <t>2019-07-29 05:04:02</t>
  </si>
  <si>
    <t>Nguyễn Thị Hải Yến</t>
  </si>
  <si>
    <t>100016482679074</t>
  </si>
  <si>
    <t xml:space="preserve">#help #tuvan </t>
  </si>
  <si>
    <t xml:space="preserve">
#hoidap
Chào mọi người. Em là boy, công việc phải ra nắng cả ngày, có thể bôi kcn khoảng 80% và che chắn 60% và đây là bộ chăm sóc da của em. Em đang cần mọi người tư vấn cho em thêm mấy món đồ ạ.
1. Em bị viêm lỗ chân lông nhiều với thâm mông, bẹn, đầu gối,... và vài cái sẹo ngã xe từ mấy năm trc nữa. Em đang dùng muối tắm bò sữa để tẩy tbc và dưỡng bằng paula choice, trị sẹo bằng contractubex, em muốn xin thêm 1 loại đặc trị thâm bẹn, mông, đầu gối...
2. Thi thoảng có 1-2 vết thâm trên mặt thì e dùng hirucas, còn sau nặn mụn thì e đang tính bổ sung red c (trc giờ nặn mụn xong toàn bôi hirucas full mặt) ko biết cái đó tốt ko và dùng cái đó trc hay sau toner?
3. Em chỉ muốn mặt hết mụn hết thâm, còn mấy cái chống lão hoá, làm căng bóng mượt da thì em ko cần, như vậy ko biết có cần thiết dùng serum vs kem dưỡng ko, vì em muốn bộ skincare của mình đơn giản nhất có thể
4. Trong bộ mĩ phẩm của em có món nào nên để tủ lạnh ko nhỉ 😅😅
Cảm ơn mọi người 😁😁</t>
  </si>
  <si>
    <t>2019-11-10 13:29:10</t>
  </si>
  <si>
    <t>Xăm Xa</t>
  </si>
  <si>
    <t>100023920763987</t>
  </si>
  <si>
    <t>Mặt mình mới đi lấy mụn về ai có cách nào trị thâm và bớt sưng không ạ
Da mình là da hỗn hợp và dễ kích ứng ạ</t>
  </si>
  <si>
    <t>2019-12-12 08:05:35</t>
  </si>
  <si>
    <t>Bùi Hồng Lê</t>
  </si>
  <si>
    <t>100015852457672</t>
  </si>
  <si>
    <t>#đẹp_chanh_sả #nám 
Mình bị nám da lâu năm, nhưng thời điểm trước các mảng da nám   không đậm màu và lan rộng như bây giờ. Thời gian gần đây, mình gần như hoảng   sợ khi các vết nám đã dần lan rộng sang bên gò má. mình cũng thường xuyên đắp   mặt nạ thiên nhiên dường như cũng chẳng có chuyển biến gì nhiều cả. Mấy bữa   nay mình thấy trên mạng mọi người bảo   nhau có sữa rửa mặt nào đó có khả năng trị nám, tàn nhang rất tốt. Nhưng   không biết có thật sự như vậy hay không nữa? Nếu quả thật có loại sữa rửa mặt   đó thì tốt biết mấy, chị em cũng đỡ phải đắp mặt nạ vừa đỡ tốn công chăm sóc   da. Có loại sữa rửa mặt cho da nám và tàn nhang đó không nhỉ? Mong được   chuyên mục tư vấn ạ! Xin cám ơn!</t>
  </si>
  <si>
    <t>2019-10-18 15:50:16</t>
  </si>
  <si>
    <t xml:space="preserve">#nám #đẹp_chanh_sả </t>
  </si>
  <si>
    <t>Các chị cho em hỏi với ạ. Có ai bị cận loạn nhưng vẫn đeo lens cận không ạ? Đeo lâu có bị làm sao không ạ? Em cận 5 độ và loạn nửa độ, sắp tới chuẩn bị cưới thì em muốn đeo lens nhưng không biết có làm sao không ạ?
#cậnthị #loạnthị #đeolens</t>
  </si>
  <si>
    <t>2019-11-22 17:07:54</t>
  </si>
  <si>
    <t>100035694984344</t>
  </si>
  <si>
    <t xml:space="preserve">#đeolens #loạnthị #cậnthị </t>
  </si>
  <si>
    <t>Mong ad duyệt ạ. Em hay bị mụn thịt thế này thì sử dụng thế nào ạ 😞 em da dầu và thuộc dạng da nhạy cảm</t>
  </si>
  <si>
    <t>2019-11-27 06:37:16</t>
  </si>
  <si>
    <t>Mị Lèn</t>
  </si>
  <si>
    <t>100035094734622</t>
  </si>
  <si>
    <t>Em bị ngã xe 2 tháng trước mà giờ nó lên sẹo lồi ghê quá, mọi người tư vấn giúp em nên dùng cái gì bây giờ ạ?</t>
  </si>
  <si>
    <t>2019-11-05 03:31:17</t>
  </si>
  <si>
    <t>100016273367734</t>
  </si>
  <si>
    <t>Mn trong group cho em hỏi sợi tóc mỏng là do di truyền hay do bản thân mình ạ? Có ai trên đầu có xoáy như em không làm sao để khi thả ra tóc da không có xoáy như vậy đây huhu. Hiện trạng  tóc em mỏng, sơ, nát, gãy rụng có cách nào phục hồi cho sợi tóc chắc khoẻ và dày không mn ?? Em đang dùng dầu gội hoa bưởi thorakao làm tóc mềm thôi chứ tóc vẫn không ổn hơn phần nào. Em không muốn suốt đời đội mũ đâu huhu. Em bị tự ti đến mức stress thật sự 
Tóc e trước đây đã tẩy và nhuộm, giờ thành 2 màu tóc mà em không dám nhuộm đều màu vì muốn nhuộm màu phần đen phải tẩy lần nữa mn ạ 😞 giờ em để vậy luôn , em định cho phần đen nó dài em cắt luôn. Có cách khác không ạ 
Ảnh tự đưa máy lên chụp nên hơi lỗi chút xíu. Mong ad duyệt bài</t>
  </si>
  <si>
    <t>2019-12-06 08:34:28</t>
  </si>
  <si>
    <t>Werty Yuio</t>
  </si>
  <si>
    <t>100041544796760</t>
  </si>
  <si>
    <t>#trịthâm
Cảm ơn ad đã duyệt bài ạ. Vì trên này có nhiều người quen quá nên e xin phép dùng fb phụ ạ. Xin mn gãy giúp e 😭😭
Chuyện là hôm nay e đi spa nặn mụn. Nặn xong thì thấy sạch nhân mụn và mụn có vẻ xẹp bớt r ạ. Nhưng những chỗ nặn nó cứ tím lên. Kiểu như bị ai đánh vào mặt đấy ạ. E có hỏi spa thì ngta bảo là e phải đi phi kim lăn kim gì đó mới hết được. E vô cùng hoang mang luôn đấy ạ. Vậy là mấy vết tím này sẽ ko hết nữa ạ???. E còn phải đi học nữa nên ko thể để gương mặt bầm dập như này đi học được. Xin mọi người giúp e làm sao hết tím với ạ.
Hiện tại nếu bị thâm như vậy thì e có nên dùng megadou để trị thâm ko ạ
E chân thành cảm ơn</t>
  </si>
  <si>
    <t>2019-11-11 15:19:16</t>
  </si>
  <si>
    <t>100036447373688</t>
  </si>
  <si>
    <t xml:space="preserve">#trịthâm </t>
  </si>
  <si>
    <t>ĐÂY LÀ GÓC CẢNH TỈNH CHO NHỮNG CHỊ EM VỪA TỈA LÔNG MÀY VỪA COI PHiM :((((((
Em lỡ tay hơn một tháng rồi mà nó vẫn y nguyên vậy không mọc lại, 2 tháng nữa Tết rồi mà lông mày em mất tiu một khúc như vầy sao mà ăn Tết đây 😩 Giờ đi đâu em cũng phải vẽ thêm dô mà nhìn nó fail chứ hong có đẹp như bình thường .Mọi người chỉ em cách cho nó mau mọc lại với.</t>
  </si>
  <si>
    <t>2019-11-24 02:58:43</t>
  </si>
  <si>
    <t>100010539315044</t>
  </si>
  <si>
    <t xml:space="preserve">
#giamcan
Chào mọi người ạ, tình hình là em sắp tới tháng bị béo mỗi lần như vậy là em phải tăng 3-4kg có khi còn hơn, thế là em vô tình thấy có loại thuốc chống hấp thụ calo của Nhật này mà không biết nó có hiệu qủa thật không, mọi người ơi ai dùng rồi cho em xin ít review được không ạ?</t>
  </si>
  <si>
    <t>2019-11-27 05:33:27</t>
  </si>
  <si>
    <t>Mấy chị cho e hỏi sữa dưỡng thể Haselin, vaselin và nivia loại nào xài k bị mọc lông nhìu vậy ạ 
Mong ad duyệt bài 
 #suaduongthe</t>
  </si>
  <si>
    <t>2019-10-26 08:20:28</t>
  </si>
  <si>
    <t>Trương Ân Pu</t>
  </si>
  <si>
    <t>100012914707961</t>
  </si>
  <si>
    <t xml:space="preserve">#suaduongthe  </t>
  </si>
  <si>
    <t xml:space="preserve"> mn cho em hỏi vơi ạ. E nge mn nói ăn gạo lứt giảm cân nhanh, , nhà e ở nông thôn, trồng lúa, lúa đó đem đi sạc ra thành gạo màu đỏ, cái đó ở nông thôn e kêu là gạo lức. Gạo này quê e bán 1kg có 10k. Ăn gạo này giảm cân đc ko ạ.</t>
  </si>
  <si>
    <t>2019-12-10 01:38:53</t>
  </si>
  <si>
    <t>#help #taytebaochet
Mọi người cho em xin review về các sp tẩy tế bào chết cho da mặt này ạ! (em trừ Cure ra vì giá cao mà date ngắn quá ạ 😭)
Da em là da dầu, có mụn ẩn và lcl to ạ.
Cảm ơn cả nhà ❤️</t>
  </si>
  <si>
    <t>2019-09-01 02:54:02</t>
  </si>
  <si>
    <t>Truc Nhi</t>
  </si>
  <si>
    <t>100010623630429</t>
  </si>
  <si>
    <t xml:space="preserve">#taytebaochet #help </t>
  </si>
  <si>
    <t>Mọi người ơi, thật sự thì em bị áp lực lắm vì mụn ngại gặp bạn bè đi làm thì cũng ngại cảm thấy không còn tự tin giao tiếp luôn 😭😭
Em có đi khám bác sĩ da liễu, bsi kê đơn thuốc và ERYNE gel khô da và còi mụn như em cảm thấy không cải thiện gì hơn, em thì muốn đi lấy nhân mụn nhưng bác sĩ không cho. Cứ nghĩ tết đến với gương mặt đầy mụn này thì stress cực luôn. Anh chị nào có cách nào chỉ giúp em với thật sự em hết cách rồi. Thank mọi người nhiều</t>
  </si>
  <si>
    <t>2019-12-13 14:30:09</t>
  </si>
  <si>
    <t>100044684165706</t>
  </si>
  <si>
    <t>hic mn oi giúp em với ạ :&lt; em 14 tuổi, da hổn hợp thiên dầu, em không biết làm như nào để hết mụn ẩn trên trán luôn í :&lt; 
giờ em chỉ đang sử dụng decumar thui ạ :&lt; mn có thể cho em xin vài tips làm khô cồi mụn ẩn nhanh với 1 số lọai thuốc có giá hssv k ạ ( 
Em đang định dùng thử mask khổ qua rừng của lemon mask + megaduo đuợc k ạ
Mong ad duyệt bài giúp em ạ ❤
#munan</t>
  </si>
  <si>
    <t>2019-11-25 12:44:25</t>
  </si>
  <si>
    <t>Bíchh Giang</t>
  </si>
  <si>
    <t>100039054162543</t>
  </si>
  <si>
    <t>#hair
Em tha thiết tìm loại trị rụng tóc hiệu quả ạ!
Mong đc ad duyệt bài</t>
  </si>
  <si>
    <t>2019-11-15 23:25:11</t>
  </si>
  <si>
    <t>Samantha Pham</t>
  </si>
  <si>
    <t>100007915245655</t>
  </si>
  <si>
    <t xml:space="preserve">#hair </t>
  </si>
  <si>
    <t xml:space="preserve">
#kichungda
#help
Mọi người ơi da em kích ứng với bông tẩy trang. Sử dụng được 3 ngày em biết bị kích ứng thì dừng lại. Lúc đó da mặt bị nổi nhiều mụn nước li ti. Xong em có thử dùng nước muối sinh lý rửa mặt thì ra như vậy ạ 😢 giờ mặt bị nổi nhiều mụn đỏ em không biết phải mụn ẩn không. Với mụn nước li ti vẫn rất nhiều. Em nên làm gì bây giờ ạ??? 
Mọi người giúp em với. Tết sắp đến rồi nữa 😔</t>
  </si>
  <si>
    <t>2019-12-02 13:32:50</t>
  </si>
  <si>
    <t>Bình An An</t>
  </si>
  <si>
    <t>100031268749017</t>
  </si>
  <si>
    <t xml:space="preserve">#help #kichungda  </t>
  </si>
  <si>
    <t>#Helpme m.n giúp em với, không hiểu sao mấy tháng nay em cứ ngủ kiểu không được sâu giấc đấy ạ, cứ khoảng 1-2h sáng là em bị tỉnh giờ đó, riết rồi hai con mắt em như gấu trúc 😭😭. 
#m.n có cách nào giúp giấc ngủ sâu không ạ sẵn tiện chỉ em vài cách trì quần thăm tự nhiên với :(( em cám ơn m.n nhiều nhiều .
#depchanha Mong ad duyệt bài giúp em với ạ !</t>
  </si>
  <si>
    <t>2019-11-29 03:48:37</t>
  </si>
  <si>
    <t>Nguyễn Hoàng Nhi</t>
  </si>
  <si>
    <t>100038497210825</t>
  </si>
  <si>
    <t xml:space="preserve">#depchanha #m #Helpme </t>
  </si>
  <si>
    <t>#trimun
Xin chào mọi người, da em là da dầu, e bị nổi mụn như vậy nè.
M.n chỉ cho e cách hết mụn và dưỡng trắng da đươc không.
E cảm ơn m.n nhiều</t>
  </si>
  <si>
    <t>2019-12-12 12:24:21</t>
  </si>
  <si>
    <t>Bảo Trâm</t>
  </si>
  <si>
    <t>100027196760754</t>
  </si>
  <si>
    <t>Cho em xin ít kinh nghiệm về tắm trắng ở spa được không ạ
#tamtrang</t>
  </si>
  <si>
    <t>2019-11-16 10:17:44</t>
  </si>
  <si>
    <t xml:space="preserve">#tamtrang </t>
  </si>
  <si>
    <t xml:space="preserve">
Mọi người ơi cho em xin ít review của che khuyết điểm này với ạ 😊
Mong add duyệt bài 😊😊😊</t>
  </si>
  <si>
    <t>2019-08-06 08:51:07</t>
  </si>
  <si>
    <t>Lep Tran</t>
  </si>
  <si>
    <t>100006644492337</t>
  </si>
  <si>
    <t xml:space="preserve">
#trimuntham
Mọi người cho em vài sp trị mụn thâm với ạ 😞 da em trước co sd thuốc rượu ạ 😢sắp tết đến nơi rồi e ngại ra đường quá 😞</t>
  </si>
  <si>
    <t>2019-11-14 22:42:42</t>
  </si>
  <si>
    <t>Chin Chin</t>
  </si>
  <si>
    <t>100011397623300</t>
  </si>
  <si>
    <t xml:space="preserve">#trimuntham </t>
  </si>
  <si>
    <t>Mn ơi cho e hỏi serum nào trị mụn thâm tốt ạ?(da e da dầu ạ)  =(</t>
  </si>
  <si>
    <t>2019-12-08 09:34:58</t>
  </si>
  <si>
    <t>Đồng Thanh Duyên</t>
  </si>
  <si>
    <t>100013864538339</t>
  </si>
  <si>
    <t>Mọi người cho em hỏi, môi của em phun khử thâm cũng được 5 ngày rồi ạ và em thấy nó cũng thâm như lúc ban đầu thì nên làm thế nào đây ạ? Hay phải kiên nhẫn chờ thêm thời gian hả mng?</t>
  </si>
  <si>
    <t>2019-12-19 14:00:39</t>
  </si>
  <si>
    <t>Hân Thị Phùng</t>
  </si>
  <si>
    <t>100028567900252</t>
  </si>
  <si>
    <t>Help mn ơi help 
- từ ngày xưa đến nay mặt e chưa bao giờ nỗi mụn kiểu này , 
Lần đầu sai trúng cái rượu thuốc tái tạo da gì ah , banh chah cái mặt , 
Lần 2 : về Sài thêm bộ bio essence tiếp tục lên mụn 
Lần 3 : vì để giảm mụn cho lần đầu tiếp tục ngu nghe ng ta giới thiệu mai thao mộc trị mụn , sai đc nữa chai thì e biết đến nhóm này và dừng ngay 
Lần 4 : skincare dzo 1 bạn rất dễ thương trên hội chỉ e về loại mỹ phẩm eucerin về Sài để bớt mụn 
Lần 4: ngựa ngua nghe bảo mua máy phun sương ( xog nóng bag máy )  mặt cho nhah hết mụn ẩn , cuối cùng là ngày phun nữa tiếng ( 2 lần 1 ngày ) phun xog k thoa đá và đắp mặt nạ để làm khít lỗ chân lông , kết quả mụn nỗi tè le hot me , 
 Tưởng đâu  loại mỹ phẩm eucerin k hợp thế là vứt sang 1 bên , 
Lần 5 : sấm tiếp trọn bộ mỹ phẩm hàn quốc ( the face shop ) 
Sài đc hơn nữa thì thấy mặt cũng k khả thi , mua thêm may rửa mặt luna3 ( tự đặc trên trang web của hag foreo )  
Lần 7 : đi sấm cây nặn mụn tự đè ra nặn , riết cái mặt vừa thâm vừa nhiều mụn , 
E khỗ qua mà , có ai giúp e k ? E dag có ý đi cấy PRP để giảm mụn nhưng k biết có nên hay k ? 
MN thương e giúp e với , sai nhưng gì ? Sài thế nào ? Ai thương e chỉ dẫn tận tình e mag ơn ah ! Chứ e khỗ quá</t>
  </si>
  <si>
    <t>2019-11-16 14:04:27</t>
  </si>
  <si>
    <t>Mai Huyền Trinh</t>
  </si>
  <si>
    <t>100005893599507</t>
  </si>
  <si>
    <t>Mn ơi chân mình cứ hay bị nứt vậy, có khi chảy máu luôn ạ. Mn có cách gì hay chỉ cho mình với ạ. Mình Cảm ơn nhiều ạ.</t>
  </si>
  <si>
    <t>2019-11-26 02:07:21</t>
  </si>
  <si>
    <t>Milo Nguyen</t>
  </si>
  <si>
    <t>100032965084604</t>
  </si>
  <si>
    <t>Em theo đội múa dâng hoa của nhà thờ từ khi còn bé xí quỳ nhiều nên giờ đầu gối bị chai, thâm xấu xí pà cố luôn . Thêm cái tật chống tay nên cùi chỏ cũng bị chai sạm . Em đã thử ttbc đều đặn nhưng không ăn thua . Con gái gì mà cùi chỏ, đầu gối, bàn chân chai gớm ghiếc ghê :(( Mấy chị bày cách trị thâm và chai cho e với hiuhiu</t>
  </si>
  <si>
    <t>2019-11-30 23:54:18</t>
  </si>
  <si>
    <t>Da em hiện tại (ảnh) có mụn ẩn, mụn đầu đen, mụn sưng đỏ và mụn cám rất nhiều m.n ơi. Da em thuộc da hỗn hợp thiên dầu vùng chữ T, da vừa mụn lại còn nhạy cảm nữa m.n ạ, cứ mùa nóng quá hoặc lạnh quá là nó bị tróc da ngay vành mũi khiến em rát vô cùng. Và mấy cái mụn sưng đỏ 2 bên má cũng làm em rát và khó chịu lắm, đã hơn 2 tuần mà nó vẫn vậy. Mn chia sẻ giúp em với, em đang dùng srm của senka màu xanh lá cây nhưng do khi rửa làm khô da quá làm em đổi qua srm trà xanh của Innisfree thấy cũng ổn nên em đang sd. Mn nghĩ em có nên dùng tẩy trang với toner không ạ, nếu dùng thì em nên dùng loại nào phù hợp với da và giá tiền thì học sinh xíu ạ vì em vẫn còn đi học ạ !! Em camon m.n !
#mun</t>
  </si>
  <si>
    <t>2019-12-14 13:24:32</t>
  </si>
  <si>
    <t>Tuyết Ngân</t>
  </si>
  <si>
    <t>100020768132921</t>
  </si>
  <si>
    <t xml:space="preserve">
#Tuvan
Mọi người cho em hỏi, loại viên uống này có phải hàng chất lượng không ạ. Vì giá khá chát nhưng em đọc rv thấy cứ kiểu như kem trộn ạ? 
Em cảm ơn mọi ngưòi</t>
  </si>
  <si>
    <t>2019-06-07 11:09:45</t>
  </si>
  <si>
    <t>Phương Duy</t>
  </si>
  <si>
    <t>100026954443835</t>
  </si>
  <si>
    <t xml:space="preserve">#Tuvan  </t>
  </si>
  <si>
    <t>_hochoikinhnghiem
Chào mọi người, em hiện tại đang là sinh viên. Em viết bài này xin một số ý kiến của các chị có kinh nghiệm trong gr để lựa chọn sản phẩm tốt nhất cho da mình.
Da em thuộc da dầu(dầu kinh khủng luôn ý ạ) và có mụn ở vùng cằm và vùng trán. Em có đọc tham khảo trên gg thì tìm ra được 2 sản phẩm này phù hợp với da dầu mụn.
Một số ý kiến em đọc được bình Cetaphil có 3 thành phần không tốt cho da(có thể gây ung thư vú,... Em hơi hoang mang)
Còn bình CeraVe thì review rằng không mấy hiệu quả.
🙈Trình diễn đạt của em còn kém, nên viết còn rời rạc. Mong được sự trợ giúp từ các anh/chị trong gr. Em xin cảm ơn ạ ❤❤
Rất cảm ơn ad đã duyệt bài của em</t>
  </si>
  <si>
    <t>2019-07-31 15:21:44</t>
  </si>
  <si>
    <t>Lê Thị Bích Thảo</t>
  </si>
  <si>
    <t>100014482122669</t>
  </si>
  <si>
    <t xml:space="preserve">_hochoikinhnghiem </t>
  </si>
  <si>
    <t>Xin chào anh chị ạ....Em thuộc tuýp da hỗn hợp thiên dầu-mụn....Em mới nặn mụn về dc 3 ngày ùi ạ và lỗ chân lông em bị to ạ
Em mong mọi người chỉ em những loại dưỡng da skincare từ: tt-srm-ttbc-mask-toner-kem dưỡng-serum-kem chống nắng ạ
    Mong add duyệt bài giúp em ạ 😭😭
❤️</t>
  </si>
  <si>
    <t>2019-12-05 08:58:51</t>
  </si>
  <si>
    <t>Hoàng Thanh</t>
  </si>
  <si>
    <t>100025302246034</t>
  </si>
  <si>
    <t>Rất mong ad duyệt bài hộ em để mng có thề giúp em được nhiều hay ít 😞 
Em năm nay 20 , hồi em học thi đh em bị stress thế nên em bị mất ngủ . Cũng gần 2 năm rồi , sau đó em có đi khám bsi thì thời gian đầu em ngủ rất tốt nhưng dần dần hơn 1 năm nay nó lại bắt đầu bị mất ngủ lại . Đêm nào cũng 5 6h sáng em mới ngủ đc 😞 mà ngủ ko ngon giấc , nhiều ngày tỉnh dậy em cứ tự hỏi là đêm qua không biết em có ngủ không , nhiều ngày 6h dậy đi học mà 4h sáng em mới ngủ được . Nên lúc nào em cũng mệt mõi đau đầu hết , thực lòng em kh muốn phụ thuộc vào thuốc vì sử dụng thuốc thời gian dài sẽ bị nghiện 😞 nên em ko muốn sử dụng thuốc suốt đời . Em đã thử rất nhiều cách dân gian như ngâm chân nước nóng , ăn chè hạt sen , uống nước ấm mật ong , thậm chí ai chỉ gì em đều thử hết mọi cách mà vẫn không ngủ đc 😞 em nghe nói uống saffon dễ ngủ nhưng em chưa dám vì em đang uống nghệ với cao ách mẫu , ko biết uống saffon có hợp ko 😞 mng có còn cách nào để dễ ngủ ko ạ 😞 tình trạng này kéo dài hơn nửa năm rồi nên em thực sự rất kiệt sức , em còn bị ám ảnh câu nói thức khuya là lên bàn thờ sớm mà do em ko ngủ đc chứ ko phải e ko muốn ngủ 😞 
Mong mng có thể chỉ em vài cách chứ em thật sự kiêt sức rồi 
Em cảm ơn ạ</t>
  </si>
  <si>
    <t>2019-12-19 23:20:33</t>
  </si>
  <si>
    <t>Hoàn Nhi</t>
  </si>
  <si>
    <t>100037950259226</t>
  </si>
  <si>
    <t>Lời đầu tiên em xin chào các anh/chị trong nhóm ạ.
Da mặt em bị mụn 6 năm rồi ạ (em năm nay lớp 11)
Mọi người có thể tư vấn giúp em là em có nên đi nặn mụn hay không ạ, nếu nặn thì mình cần cân nhắc điều gì ạ ( em ít dùng sửa rửa mặt lắm ạ)
Em từng uống thuốc trị mụn này nọ nhưng không hết ạ... 
(em thuộc da dầu ạ) 
Và mọi người chỉ em cách dưỡng lại da mặt với 😢😢😢
Cho em cảm ơn 💕
#help
#đẹp_chanh_sả</t>
  </si>
  <si>
    <t>2019-11-11 14:09:35</t>
  </si>
  <si>
    <t>Trâm Trần</t>
  </si>
  <si>
    <t>100037730774285</t>
  </si>
  <si>
    <t xml:space="preserve">#đẹp_chanh_sả #help </t>
  </si>
  <si>
    <t>Xin chào cả nhà mình. Em mình 23t vừa bị mụn da đỗ rất nhiều dầu. Mấy ngày nay thời tiết trở lạnh da khô hơn, bong lột da căng rất nhiều.Lột ra lớp da này, nó lại bong lớp da khác. Có bạn nào bị như vậy ko ? Cho mình xin cách điều trị và loại dưỡng ẩm danh cho da. Cám ơn add và mn.
🌺🌺🌺🌺</t>
  </si>
  <si>
    <t>2019-12-05 08:58:18</t>
  </si>
  <si>
    <t>Trần Thị Tuyết Vân</t>
  </si>
  <si>
    <t>100008425953805</t>
  </si>
  <si>
    <t>Tết nhất tới nơi , chị em chia sẻ thực đơn bí kíp giảm cân ăn kiêng cho người ko thể đi gym mà có thể nào oánh bay 5kg từ giờ tới tết đc ko chứ em sắp lăn đi rồi 😂 
Trời thì lạnh hở tí đói bụng lại phải đập tí bánh tráng đồ ăn vặt vào . Dù hãm lắm rồi mà vẫn đứt phanh trên bàn cân , đến khổ vì cái miệng cứ thích ăn linh tinh ( ko ăn dầu mỡ đồ béo bánh ngọt trà sữa ) cứ thèm chân gà sốt thái với cả bánh tráng ớt tắc bò khô gà khô hay là mấy đồ chua chua cay cay mặn mặn</t>
  </si>
  <si>
    <t>2019-11-29 00:26:07</t>
  </si>
  <si>
    <t>- Mong ad duyệt bài. Mặt e sài sp trị mụn được một thời gian giờ mặt nổi nhiều mụn ẩn, đỏ hai bên cánh mũi ,.. mn có sp nào giúp giảm mụn ẩn trị thâm ko ạ chỉ e vs :((</t>
  </si>
  <si>
    <t>2019-12-21 13:15:13</t>
  </si>
  <si>
    <t>Hoàng Thị Thu Hiền</t>
  </si>
  <si>
    <t>100030305013919</t>
  </si>
  <si>
    <t xml:space="preserve"> #hoidap
 Xấu hổ vì đầu gối thâm sì các chị em ạ. 
 Toàn bị bọn nó chọc ghẹo là “quỳ” nhiều mà em ức. Nhìn con gái nhà người ta váy vóc lụa là tung tăng khắp nơi mà ngẫm mình chán vc. Toàn phải mặc quần để che đi cái sự chán đời. Mà được cả thằng nyc em nó cũng nói em con gái mà suốt ngày mặc quần dài k có chút nữ tính gì. Chẳng nhẽ lại bảo vì đầu gối thâm k dám mặc váy @@
 Các chị em hãy cứu rỗi cô gái yếu đuối có cặp đầu gối thâm sì như em với. Em đang tham khảo 3 loại xà phòng trị thâm Cleansing Soap For Black Spot, Pelican Soap với cả Medimix Turmeric &amp; Argan Oil. Các chị em đã ai dùng 3 loại này rồi cho em xin miếng rì viu hiệu quả đi L</t>
  </si>
  <si>
    <t>2019-12-18 01:58:02</t>
  </si>
  <si>
    <t>Nguyễn Thị Lan Anh</t>
  </si>
  <si>
    <t>100026009951725</t>
  </si>
  <si>
    <t>#ask #dakho #nhaycam #Larocheb5
Ai dùng rồi cho e xin review vs ạ
Da em là da khô nhạy cảm và thỉnh thoảng khô quá nên nó có tiết dầu nhẹ ở 2 bên má và chóp mũi 
Lcl khá to và trong lcl 2 bên má nặn ra có nhân cứng 
E rất ít khi có mụn viêm nhưng có mụn ẩn ạ
Mng biết kem dưỡng ẩm nào cho da khô nhạy cảm mà giá ko quá chát hssv thôi chỉ e với ạ
Với e 16 tuổi thì có nên tẩy da chết hóa học ko ạ và tình trang trong lcl có nhân cứng làm thế nào để hết ạ
P/s: em nghe nói đắp mask đất sét sẽ thu nhỏ đc lcl nhưng e ko biết da khô dùng đc mask đất sét ko nữa
Cảm ơn ad đã duyệt bài ạ
Em rất lười uống nước em đang khắc phục tình trạng đó đây hic</t>
  </si>
  <si>
    <t>2019-11-01 14:22:36</t>
  </si>
  <si>
    <t>Hồng Nguyễn</t>
  </si>
  <si>
    <t>100040286813658</t>
  </si>
  <si>
    <t xml:space="preserve">#Larocheb5 #nhaycam #dakho #ask </t>
  </si>
  <si>
    <t>#ask #toc
Em cần mọi người giúp ạ. Ai có bí quyết gì giúp tóc nhanh dài không?? Tóc em lâu dài kinh khủng khiếp 😞
Ảnh 1 em chụp ngay túc ở salon làm tóc dịp trước tết
Ảnh 2 mới chụp gần đây
Tức là 2 ảnh cách nhau khoảng 7-8 tháng mà tóc em mới dài thêm được tý tẹo
Khoảng 2 tháng nữa em đi chụp ảnh+cưới nên muốn tóc dài chút làm tóc cho đẹp để có một bộ ảnh để đời 😞 
Mong ad duyệt ạ
Edit tâm sự chút ạ: Em xin chân thành cảm ơn vì tất cả cmt của mn ạ. Nhiều quá e đọc k kịp luôn ☺️ Em sẽ thử một số cách. Trước giờ e k để ý tóc dài nhanh hay chậm vì em cũng lười đi làm tóc, thấy càng lâu k phải cắt tóc càng tốt nên càng k để ý. Dạo này sắp cưới nên em tìm hiểu ảnh, makeup và tóc nhiều hơn. Em biết trong 2 tháng tới không thể dài thêm nhiều dc nên cũng chỉ mong nó dài thoát vai để ít nhất có thể búi lên dc thôi ạ. Em sẽ suy nghĩ thêm về việc dùng kẹp tóc giả. Cảm ơn mn ❤️</t>
  </si>
  <si>
    <t>2019-08-16 10:23:27</t>
  </si>
  <si>
    <t>Nhung Đàm</t>
  </si>
  <si>
    <t>100030591348808</t>
  </si>
  <si>
    <t xml:space="preserve">Mọi người ơi cho em hỏi vì sao sau khi bôi kem chống nắng xong makeup thì bị vỡ lớp nền ạ, kiểu nó cứ bị bợn bợn như đậu phụ kết tủa ấy, nếu không bôi kem chống nắng thì không bị, với cả sau khi đánh phấn phủ một thời gian cũng vậy nên bình thường em chỉ dùng mỗi kem lót với kem nền thôi. Phấn phủ em dùng laura mercier ấy ạ.
</t>
  </si>
  <si>
    <t>2019-10-29 05:45:29</t>
  </si>
  <si>
    <t>Đặng Thị Quế Trân</t>
  </si>
  <si>
    <t>100010009771750</t>
  </si>
  <si>
    <t xml:space="preserve">
#gocthacmac
#gocsansi
Ok do mn bảo sửa stt nên mình sửa lại ạ
Vì chẳng qua thấy chị này bảo đi học bên mỹ phẩm chăm sóc Da rồi sản xuất mp thiên nhiên trị mụn , dưỡng da ...
Vậy Sp chị ấy có phải hàng chất lượng ko mn !
Nên thắc mắc hỏi thôi ạ !</t>
  </si>
  <si>
    <t>2019-12-14 10:53:39</t>
  </si>
  <si>
    <t>Ái Nhi Bùi</t>
  </si>
  <si>
    <t>100042970280099</t>
  </si>
  <si>
    <t xml:space="preserve">#gocsansi #gocthacmac </t>
  </si>
  <si>
    <t>Duyệt bài giúp mình nha admin 😞 mình muốn có vài câu hỏi muốn giải đáp giúp mình . Mình cảm ơn rất nhiềuuuu
 Thứ 1: cách trị thâm đầu gối
Mình bị thâm đầu gối lâu rồi , tay chân trắng nhg riêng đầu gối thì rất là đen , nhưng mình đã peel ở spa , tẩy da chết , bôi các kiểu từ a-z nhưng k thể hết đc thâm , ace có cách nào giúp hết thâm ko ạ 😞 
Thứ 2 : mỹ phẩm dưỡng da mặt
Da mặt của e thuộc tip da rất khô , có mụn ẩn ... đến mùa đông nứt nẻ lắm ạ , ace có biết mỹ phẩm nào như : nước hoa hồng , serum , kem dưỡng ẩm , dành cho da khô , hết mụn ẩn tốt ko ạ
À ngoài lề 1 chút : em gái em trước đục tinh thể mắt trái , mà giờ đã hơn chục năm mắt mờ đi , ko biết giờ mổ cận có được không ạ?
E cảm ơn ac!!</t>
  </si>
  <si>
    <t>2019-12-19 23:22:36</t>
  </si>
  <si>
    <t>Minh Nguyễn Anh</t>
  </si>
  <si>
    <t>100005399130830</t>
  </si>
  <si>
    <t xml:space="preserve">Bị dính kem trộn và thuốc rượu
Da mỏng và rất yếu. Xin ít review về sp phục hồi da trị mụn và trị thâm tốt ạ. Da e khô ạ. E k có skincare
</t>
  </si>
  <si>
    <t>2019-12-04 13:39:01</t>
  </si>
  <si>
    <t>100005806022435</t>
  </si>
  <si>
    <t>Dạ em chào mọi ng ạ
Hiện tại em đang nuôi tóc dài(em là nam ạ)... được tầm hơn 2 tháng rồi và hiện tại tóc em đang mọc kiểu như là nhìn rất chán ý ạ... ai nuôi tóc từ lúc tóc ngắn như tóc nam thì chắc cũng sẽ hiểu em nói gì... đội tóc giả như trong hình em thấy nó rất nóng và nhiều bất tiện...  em xin hỏi có cách nào hay sản phẩm gì khiến tóc có thể mọc nhanh đc ko ạ hay là cứ để như v? Em lo tới tết tóc em vẫn chưa thoát khỏi tình trạng lởm dởm như bây giờ nữa nên em xin phép hỏi mọi ng ạ... 
#Hair</t>
  </si>
  <si>
    <t>2019-10-04 04:24:29</t>
  </si>
  <si>
    <t>Lộc Tiến Trần</t>
  </si>
  <si>
    <t>100009307558344</t>
  </si>
  <si>
    <t xml:space="preserve">#Hair </t>
  </si>
  <si>
    <t>#tips #skincare #thammui #mun
Xin chào mọi người. Em năm nay 17 tuổi ạ. 
Mũi em bị thâm từ năm cấp 2 rồi và mụn từ lúc nhiều lúc ít (em nghĩ là do stress và kinh nguyệt). Phần mũi của em vào mùa đông thâm ghê hơn mùa hè rất nhiều và thỉnh thoảng nếu ăn đồ bốc khói như bún, phở thì ngứa. Thỉnh thoảng thì còn bị bong vảy ạ.
Em trước đã từng đi bác sĩ và được kê iso cho uống. Em đỡ mụn được một thời gian nhưng mũi thì cũng không hết thâm, rồi sau đó đâu lại vào đó hết. 
mọi người cho em lời khuyên với ạ thực sự em vô cùng tự ti :(( em cảm ơn mọi người nhiều.</t>
  </si>
  <si>
    <t>2019-12-03 09:57:32</t>
  </si>
  <si>
    <t>Ngoc Quynh</t>
  </si>
  <si>
    <t>100032887690914</t>
  </si>
  <si>
    <t xml:space="preserve">#mun #thammui #skincare #tips </t>
  </si>
  <si>
    <t>Anh chị nào có thể cho em vài tips ngủ ngon và sâu đc không ạ
- Dạo nào em ngủ lúc 9h giật mình giậy lúc 11h có khi 2h sáng. Hôm ngủ muộn hơn thì giật mình dậy lúc hơn 3h. 
Mắt em giờ thâm hơn trong ảnh nhiều 😢</t>
  </si>
  <si>
    <t>2019-11-24 00:39:51</t>
  </si>
  <si>
    <t>#ask #dakho #munan
Mong đc add duyệt bài ạ
Vì lý do cá nhân nên em xin phép dùng nick ảo. Chả là mùa đông đến rồi , da mặt em mùa đông thì khô và bông tróc , 2 bên má thì có lớp da khô gờ vào cứng cứng í ạ. Hicc và thêm nữa là mụn bắt đầu nổi mặc dù lúc trc em có nhưng k lên nhiều như bây giờ đa số là mụn ẩn và sưng to đau lắm ạ. Em chỉ xài mỗi tẩy trang bioderma hồng mỗi tối và rửa mặt vs nước thôi ạ. Mọi người chỉ em những sản phẩm nào cấp ẩm và trị mụn giá sinh viên đx không ạ hicc em cảm ơn mng nhiều ạ !</t>
  </si>
  <si>
    <t>2019-12-10 02:39:16</t>
  </si>
  <si>
    <t>Hoài Trương</t>
  </si>
  <si>
    <t>100018840199456</t>
  </si>
  <si>
    <t xml:space="preserve">#munan #dakho #ask </t>
  </si>
  <si>
    <t>Các bác cho em xin ít thông tin sản phẩm trị gàu và dụng tóc với ạ 😪</t>
  </si>
  <si>
    <t>2019-12-06 07:44:25</t>
  </si>
  <si>
    <t>Lê Huyền Trang</t>
  </si>
  <si>
    <t>100009458857811</t>
  </si>
  <si>
    <t>Mn ơi cứu da e vs e dừng thuốc rượu đc hơn 2 tháng giờ nó lên nhiều mụn ,ẩn mụn liti lắm ạ😭
Và cho e xin một vài sp serum b5 để phục hồi da nữa ạ giờ da e yếu lắm lun</t>
  </si>
  <si>
    <t>2019-12-25 08:01:44</t>
  </si>
  <si>
    <t>Ly Đào</t>
  </si>
  <si>
    <t>100044934675942</t>
  </si>
  <si>
    <t>#Ask #Help
mọi người ơi , da đầu mình gần đây ngứa ngáy khó chịu nhưng ko phải gàu , cũng ko phải chấy 😭 
Mình có gội selsun nhưng chả hề hấn gì , thậm chí ngứa dữ hơn , ngứa kiểu dữ dội 
Tóc mình cũng kh có vết gì , nhìn kh khác thường mấy , kb là bị gì 
Ai từng bị chia sẻ ít kinh nghiệm vs ạ 😢
edit: Cảm ơn Nguyên Hà đã duyệt bài giúp mình</t>
  </si>
  <si>
    <t>2019-08-30 09:10:24</t>
  </si>
  <si>
    <t>Rosa Julia</t>
  </si>
  <si>
    <t>100038615949800</t>
  </si>
  <si>
    <t xml:space="preserve">
#cantuvan 
#phụchồida 
Mình muốn hỏi về 3 sản phẩm này loại nào phục hồi da tốt nhất vậy mọi người . 
💊 B5 Timeless 
💊 B5 Laroche-posay 
💊 Bioderma 
 Da mình mỏng nổi gân đỏ bẩm sinh .  một phần do trước đây ăn cá ngừ bị dị ứng điều trị một thời gian nên đã mỏng lại càng mỏng thêm . 
Nay da mặt mỏng lắm rồi thêm gân đỏ hầu như khắp mặt . 
Mình muốn tìm một sản phẩm để phục hồi da nên đang phân vân 3 loại này . 
 ( hiện tại mình ngưng tất cả các sản phẩm chỉ xài duy nhất srm + bộ Laneige để cấp ẩm cho da . ) 
 Mong được mọi người giúp đỡ ạ .!!</t>
  </si>
  <si>
    <t>2019-05-23 07:56:50</t>
  </si>
  <si>
    <t>100006851130325</t>
  </si>
  <si>
    <t xml:space="preserve">#phụchồida #cantuvan </t>
  </si>
  <si>
    <t>Vẫn là em chuyên mục nhờ mọi người check ạ 
Cho em hỏi dòng nhũ và dòng thường khác nhau ạ hic hay lọ thường của em là fake ạ</t>
  </si>
  <si>
    <t>2019-12-11 23:31:14</t>
  </si>
  <si>
    <t>Nguyễn Hoà</t>
  </si>
  <si>
    <t>100008307970313</t>
  </si>
  <si>
    <t>#help 
Em hiện tại 17 tuổi, em có lăn kim 1 lần và spa họ cho hũ thuốc để bôi để mau tróc da nhanh, sau khi tróc hết thì đã mặt em cảm giác khá mỏng nhưng trắng và rất đẹp, không còn mụn nữa. Xong thì spa nói là đẹp rồi thì sử dụng thuốc để dưỡng đẹp thôi. Vấn đề là hũ thuốc đó nó không có mác gì cả, chỉ có dán số 1, số 2,3 thì em cũng xài cho tới hè khi biết tới nhóm đẹp chanh sả thì dần hoài nghi nên ngưng luôn nên cái mặt ban đầu lâu lâu vài cục mụn giờ nó sần vậy luôn nên rất sợ. Chị em trong nhóm giúp em với ạ</t>
  </si>
  <si>
    <t>2019-08-12 07:16:10</t>
  </si>
  <si>
    <t>Xa Lạ</t>
  </si>
  <si>
    <t>100036957066499</t>
  </si>
  <si>
    <t>Ad duyệt giúp em với ạ.
Em thuộc da dầu , em muốn hỏi các bước makeup ấy ạ , nhưng em thuộc típ dễ ra mồ hôi , mà nó ra nhiều nữa , chỉ cần thoa dưỡng ẩm mà đi nhanh một tí là nó mốc lên nhìn ghê lắm , makeup lên thì nó mốc meo :(( có ai bị giống vậy thì chỉ em cách hết với ạ.</t>
  </si>
  <si>
    <t>2019-12-23 07:55:29</t>
  </si>
  <si>
    <t>#ask #trimun
Em đang bị mụn và thực sự tự ti các anh chị ơi TT TT Tình trạng của em giống như trên ảnh ạ. Mụn sờ vào hơi cứng và đau, lên ở vùng cằm và lên liên tục khắp cằm luôn ạ. Em dùng La Roche Posay Duo+ chấm lên mỗi ngày thì không thấy đẩy nhân lên mà phần da bên ngoài bị khô có thể bóc được luôn ạ, sau một thời gian thì chỗ mụn không đau nữa nhưng để lại thâm và chỗ bị mụn hơi phồng phồng lên nữa ạ.
Các anh chị cho em lời khuyên để trị dứt điểm với ạ. Em cảm ơn nhiều ạ.</t>
  </si>
  <si>
    <t>2019-10-17 12:44:19</t>
  </si>
  <si>
    <t>Khánh Vân</t>
  </si>
  <si>
    <t>100008775888140</t>
  </si>
  <si>
    <t>Mong add duyệt bài giúp e để e thay đổi con người em với ạ. 
Hiện tại tóc em như ảnh mặt e kia, nó dạng xoăn tự nhiên nhưng tóc e mỏng và sơ khô lắm ạ. Trc e có ép nhưng 4 năm rồi em nuôi và giờ đi đâu cũng hay kết tóc dết nên giờ nó thành nếp như vậy luôn😢 
Cho e hỏi là tóc e như thế có nên kiểu kia thì kiểu nào ổn hơn ạ😪 chứ e nhìn e thèm những ng tóc thẳng😭
Nỗi khổ của những ng tóc xoăn tự nhiên, gội xong nó xù như con sư tử😂</t>
  </si>
  <si>
    <t>2019-12-21 08:12:06</t>
  </si>
  <si>
    <t>Mọi người ơi giúp em
Chuyện là em có đứa em trai 17 tuổi bị mụn, nó nghe lời người ta dùng Mai Thảo Mộc.
Nó là kem trộn đúng ko cả nhà
#maithaomoc</t>
  </si>
  <si>
    <t>2019-10-22 12:46:56</t>
  </si>
  <si>
    <t>Nguyễn Hà Nhi</t>
  </si>
  <si>
    <t>100005795054382</t>
  </si>
  <si>
    <t>#ask
*cho em xin phép được dùng acclone vì trong đây có người quen em ạ*
chuyện là trường em có quy định mặc váy khi đi học nhưng dạo gần đây người em có phần hơn tăng cân so với ngày trước( nhất là ở phần đùi) vậy nên việc mặc váy có hơi khó khăn với em. 
khi mặc váy, lúc em kéo tới đùi thì lại chật ních(đến nỗi mẹ em vừa bóp lại thì lúc em mặc thử nghe cái rẹttt), qua được đùi thì lại rộng thênh thang. 
vậy nên em cần lời khuyên, tư vấn của mọi người để giúp em giảm mỡ đùi ạ. hoặc mọi người cho em một vài tips mặc sao cho dễ dàng hơn ý ạ.
cảm ơn mọi người đã đọc post của em.</t>
  </si>
  <si>
    <t>2019-12-09 00:32:15</t>
  </si>
  <si>
    <t>La Désespoir</t>
  </si>
  <si>
    <t>100032876687274</t>
  </si>
  <si>
    <t>Hi mn. M đang phân vân có nên nối tóc hay ko??? Đợt trước lỡ cắt tóc tomboy rồi. Giờ chờ dài lâu quá. 
M có thấy nhiều shop bán tóc kẹp. Đã có b nào sử dụng tóc kẹp rồi cho m xin ít review ko ạh? 
Thanks cả nhà.
Ảnh lúc từ toac dài thành ngắn.từ ngắn thành siêu ngắn.
Còn hiện tại nó lỡ cỡ lỡm chỡm thấy ghê nên ko dâm chụp ảnh. Hjc hjc</t>
  </si>
  <si>
    <t>2019-11-07 09:00:23</t>
  </si>
  <si>
    <t>Có cách nào tóc con mọc dài ra và chắc khoẻ lên không ạ. Có bạn nam nào bị như vậy mà tóc mọc lên hai bên trán không ạ</t>
  </si>
  <si>
    <t>2019-11-27 10:20:16</t>
  </si>
  <si>
    <t>Mạnh Cường</t>
  </si>
  <si>
    <t>100021577909409</t>
  </si>
  <si>
    <t>#ask #cocnguyetsan
Xin chào mấy chị xinh đẹp ạ. Chẳng là e đang tìm hiểu cốc nguyệt san ạ. 
Mà em phân vân nhiều loại quá. Không biết Sibell hay Clari hay Lincup phù hợp với phụ nữ VN ạ. 
Em cũng hơi rén nhưng mà dùng bvs thì cực quá. Tốn tiền mà lại hơi ẩm ướt nữa. 
Mong mấy c review giúp em 1 bé cns xinh xắn dễ dùng  với ạ. 
Xin 500 review từ mấy chị ạ. Em cảm ơn.</t>
  </si>
  <si>
    <t>2019-11-03 05:11:03</t>
  </si>
  <si>
    <t>Trúc Uyên</t>
  </si>
  <si>
    <t>100009288956045</t>
  </si>
  <si>
    <t xml:space="preserve">#cocnguyetsan #ask </t>
  </si>
  <si>
    <t>#phanbiet #fake #real
Xin phép ad và mn cho mình dùng nick phụ ạ, vì nick chính mình đg tạm khóa :(( Cho mình hỏi chị em ai rành về 2 loại son Bbia vs black rouge xem giúp mình có cây nào fake không với ạ. Vì tầm 1 tháng nay mình dùng 2 cây này thì môi mình bị khô, bóc da, môi thâm hơn trc rất nhiều ý ạ. Mn xem giúp mình với, mình cảm ơnnn</t>
  </si>
  <si>
    <t>2019-10-30 11:54:19</t>
  </si>
  <si>
    <t>Ha Thi Nguyen</t>
  </si>
  <si>
    <t>100028532961091</t>
  </si>
  <si>
    <t xml:space="preserve">#real #fake #phanbiet </t>
  </si>
  <si>
    <t>Em bị té xe 2 tuần rồi ạ
Em có rửa vết thương và bôi dầu mù u 
Hôm qua e lỡ thấm nước nên bị bong ở phần đỏ kia
Em sợ để lại sẹo hay mảng đỏ , đen lắm 
Chị em có kinh nghiệm hay cách nào chỉ em với ạ 
Nên bôi gì và ntn em con gái nếu để lại mảng đỏ chắc không dám mặc váy mất 😥</t>
  </si>
  <si>
    <t>2019-12-08 14:43:45</t>
  </si>
  <si>
    <t>Mấy bạn ơi cho mình hỏi ngoài việc uống dhc rau củ để mát người đẹp da thì nên uống thêm loại nào kết hợp cho trắng da nhỉ</t>
  </si>
  <si>
    <t>2019-03-07 06:47:16</t>
  </si>
  <si>
    <t>Miên Thuỳ</t>
  </si>
  <si>
    <t>100030912760600</t>
  </si>
  <si>
    <t>#icheck #innissfree #checkmavach
Mọi người cho em hỏi là em có mua hàng trên shoppe khi nhận hàng check mã vạch thì 2 sp có thông tin nhưng chai dầu argan thì ko tìm đc tất cả sp mình mua check tại Icheck như bên dưới. Vậy mình có mua hàng fake ko ạh. Em hoang mang quá ạh.</t>
  </si>
  <si>
    <t>2019-05-30 11:07:09</t>
  </si>
  <si>
    <t>Ngọc Linh Lê</t>
  </si>
  <si>
    <t>100009063913806</t>
  </si>
  <si>
    <t xml:space="preserve">#checkmavach #innissfree #icheck </t>
  </si>
  <si>
    <t>Mọi người ơi có ai dùng mặt nạ ngủ yến tươi này chưa ạ ? Cho em xin ít ý kiến với. 
Em cảm ơn ạ
#tuvan</t>
  </si>
  <si>
    <t>2019-06-22 07:05:17</t>
  </si>
  <si>
    <t>Tú Linh Võ</t>
  </si>
  <si>
    <t>100033891594185</t>
  </si>
  <si>
    <t>Em chào các chị ạ, lại là em đây, hôm bữa em có tâm sự với các chị về vấn đề tóc xoăn tự nhiên đấy ạ. Hôm nay em có 1 dự định trong đầu, muốn tham khảo ý kiến của các chị ạ. 
Dự định của em là: em định không duỗi tóc nữa mà thay vào đó em sẽ uốn đuôi để cho nó tệp với phần tóc xoăn đang mọc ra được không ạ, vì đuôi tóc của em duỗi vẫn đang còn thẳng mà chân tóc thì bắt đầu xoăn nên thấy hơi kì ấy ạ. 😭 Mong các chị cho em xin ý kiến. 
À không biết trong group mình có chị nào tự nhuộm tóc tại nhà chưa ạ, cho em xin ít review đi ạ 😍</t>
  </si>
  <si>
    <t>2019-11-25 05:43:04</t>
  </si>
  <si>
    <t>#ask
Có chị em nào có cách lùi ngày kinh không ạ, tháng sau e có chuyến du lịch biển mà lại bị ngay đúng ngày luôn. E chưa lập gia đình nên sợ uống thuốc lắm, các chị có cách nào tự nhiên mà an toàn ko chủ giúp e với ạ.</t>
  </si>
  <si>
    <t>2019-11-10 02:06:21</t>
  </si>
  <si>
    <t>Bông Bụp</t>
  </si>
  <si>
    <t>100004247190709</t>
  </si>
  <si>
    <t>Gấp gấp! Xin admin duyệt bài giúp em với!
Ai dùng Thảo dược trị mụn Phương Anh rồi cho em review với ạ??
Vì đứa em em đang đòi bán sản phẩm này. Em
em thì nó tốt bụng chứ ko phải dạng lừa đảo gì mà tại nó tin cái sản phẩm này tuyệt thật.
Nó dùng 5 tháng rồi nó bảo là tốt- đỡ mụn này kia. Mà em thì can ngăn vì em sợ nó bán kem trộn. 
Mà nó lý luận như ảnh tin nhắn em đăng đó. Mọi người nghĩ sao?
1. Xin lỗi bên cty Thảo dược Phương Anh nếu em có sai nha. Em ko khẳng định mà chỉ thắc mắc thôi, vì em có google ra một số thông tin ko hay.
2.Vì em ko muốn em mình bán một sp có hại cho người ta nên em rất cần tham khảo ý kiến của mọi người 
Mong mọi người giúp đỡ ạ!</t>
  </si>
  <si>
    <t>2019-03-24 15:20:19</t>
  </si>
  <si>
    <t>100023636710457</t>
  </si>
  <si>
    <t>#helpme
#mẩnngứa
Mấy hôm nay thời tiết miền Bắc lạnh, chân e bị nổi mần như thế này, không biết có phải là dị ứng thời tiết không ạ?
Bác nào có cách làm giảm nổi mần và bớt ngứa không chỉ e với ạ! Chứ không e gãi tan nát cái chân mất 😭😭😭</t>
  </si>
  <si>
    <t>2019-12-09 02:48:57</t>
  </si>
  <si>
    <t>Nguyễn Na</t>
  </si>
  <si>
    <t>100044526939875</t>
  </si>
  <si>
    <t xml:space="preserve">#mẩnngứa #helpme </t>
  </si>
  <si>
    <t>#ask 
#help
Mng cứu em với ạ 😞 em stress quá! Dạo 3 tháng trở lại đây tự nhiên mặt em lanh tanh bành ra thế này. 1 năm trc thì em có dính phải magic skin 😭 
Tại lúc đó em ngu quá ạ. Rồi 3 tháng trc em có mua bộ dược mĩ phẩm laroche posay gồm tt, srm,toner, kem chấm mụn duo+. Dùng cũng ko thấy đỡ, mà mấy mụn ở xương hàm nó cứ lên rồi lại lặn(mụn đó e thấy ngứa lắm ạ). Rồi e dùng cả KlenzitC cũng ko thấy tiển triển gì. Em cũng muốn đi khám da liễu mà đi khám thì xa quá phải ra Hnoi 😞 Chỗ e thì ko có chỗ nào trị mụn uy tín cả. Đa số e thấy toàn dùng đồ trộn e sợ quá rồi ạ 😞 
Hiện tại e chỉ tẩy trang vs lau nước muối sinh lí, xông da nữa ạ. Em mong mng giúp e chứ sắp tết rồi e lo quá.</t>
  </si>
  <si>
    <t>2019-12-25 04:10:44</t>
  </si>
  <si>
    <t>Hằng Thị Nguyễn</t>
  </si>
  <si>
    <t>100025094924578</t>
  </si>
  <si>
    <t>#nhuomtoc #thanchi
Mn có ai nhuộm mày than chì này chưa ạ? Cho e hỏi nhuộm màu này có phải tẩy tóc k, có giữ đc màu lâu k ạ</t>
  </si>
  <si>
    <t>2019-12-09 02:55:26</t>
  </si>
  <si>
    <t>Trúc Nhi</t>
  </si>
  <si>
    <t>100014804318366</t>
  </si>
  <si>
    <t xml:space="preserve">#thanchi #nhuomtoc </t>
  </si>
  <si>
    <t xml:space="preserve">
Da mặt em thuộc da nhạy cảm ạ. Giờ da mặt em 2 gò má cứ bị đỏ hồng , em thấy tự ti lắm ạ. Không biết đó là do mặt em bị dị ứng thời tiết hay làm sao ạ. Nhiều lúc em thấy mặt mình nóng bừng lên ạ 😩
Ai biết sản phẩm nào giúp giảm hay hết ₫ỏ da mặt cho e xin review ạ 😐
Help me huuu
Mong add duyệt bài em...</t>
  </si>
  <si>
    <t>2019-12-08 11:40:49</t>
  </si>
  <si>
    <t>Trần Mai Phương</t>
  </si>
  <si>
    <t>100039761835072</t>
  </si>
  <si>
    <t>Cả nhà giúp mình với, năm nay mình 22 tuổi vừa sinh xong da bị tàn nhang như vậy dùng gì để hết ạ.
Trước đây e có dùng mà khoobg hết nổi, đẻ xong thay máu cũng không hết được, cả nhà giúp e vs ạ
Quản trị viên duyệt vài cho em vs ạ</t>
  </si>
  <si>
    <t>2019-12-20 13:30:22</t>
  </si>
  <si>
    <t>Nguyễn Thị Hiền</t>
  </si>
  <si>
    <t>100005269877405</t>
  </si>
  <si>
    <t>MỌI NGƯỜI GIÚP EM VỚI 😔
Da em hhtd. Lúc trước mặt em bị nổi mụn ẩn đỏ đỏ nhìn rất khó chịu, em quyết định mua srm naruko về sd và gần hết chai rồi thì nó như thế này đây ạ, sờ vào chỉ thấy sần sần chứ cũng không có nhân, nhìn trong gương không thấy rõ mụn, chỉ thấy đỏ đỏ thôi, chụp vô camera thì nó như thế này đây ạ. Mọi người bày em cách trị với
2 ảnh đầu chụp dưới đèn, 2 ảnh sau chụp flash
Routine buổi tối:
Tẩy trang eveline
Srm naruko
Tdc huxley (cách 3 ngày sd 1 lần)
Toner simple
Kem dưỡng ẩm gạo keana</t>
  </si>
  <si>
    <t>2019-12-02 00:23:55</t>
  </si>
  <si>
    <t>Nguyen Thi Nguyen</t>
  </si>
  <si>
    <t>100029648641062</t>
  </si>
  <si>
    <t>#differin #trị_mụn 
có mem nào dùng loại thuốc trị mụn này chưa ạ ? Cho e xin ít review với ạ 
( và khi dùng thì có kèm theo toner hay srm được k ạ ?!?)</t>
  </si>
  <si>
    <t>2019-07-22 09:29:13</t>
  </si>
  <si>
    <t>Phạm Ánh</t>
  </si>
  <si>
    <t>100013590364053</t>
  </si>
  <si>
    <t xml:space="preserve">#trị_mụn #differin </t>
  </si>
  <si>
    <t>Các ac cứu em với 😭
Hôm qua e mới bị bỏng máy làm tóc , giờ để lại vết như này... E có rửa qua nước lúc mới bị và bôi mỡ tra mắt ạ 🎊 vì lúc ý chưa kịp mua thuốc bôi.. Em đang lo quá vì sợ để lại sẹo 😭
Giờ e phải làm gì giờ ạ ?
#chuabong
Cảm ơn mn nhiều ạ !!!!!!
P-s : Em chỉnh sửa thêm chút ạ ... Nhiều b hỏi em là sao sơ ý với sao mà để vệt rõ như vậy là do e để nhiệt độ cao quá 220° lận 😭 với vết như này k làm sao để nó hết thâm được ạ mn ?</t>
  </si>
  <si>
    <t>2019-12-25 13:17:42</t>
  </si>
  <si>
    <t xml:space="preserve">#chuabong </t>
  </si>
  <si>
    <t>Mn ơi cuối tháng e cưới rồi mà bh mặt e vẫn như vậy. E stress kinh khung ạ. E đang uống iso 10mg và dùng tẩy trang và nước hh của eucurin. Srm cetaphil. Nhưng chỉ thấy đỡ 1 xíu chưa chưa thấy hiệu quả rõ rệt ạ. Mong mn cho e vài lời khuyên với ạ. E có khám ở viện da liễu r ạ</t>
  </si>
  <si>
    <t>2019-12-01 09:07:06</t>
  </si>
  <si>
    <t>Huyền Bùi</t>
  </si>
  <si>
    <t>100004107525520</t>
  </si>
  <si>
    <t>Tay mình tự nhiên bi vay va trên nách nữa ko biet bi gi co ai bi nhu vầy chưa ah .</t>
  </si>
  <si>
    <t>2019-12-25 13:15:41</t>
  </si>
  <si>
    <t>Nguyễn Nana</t>
  </si>
  <si>
    <t>100030824107928</t>
  </si>
  <si>
    <t xml:space="preserve">
#ask
Cho em hỏi cái này có phải kem trộn không mọi người?? Mẹ em mua với giá 200 mấy 300 nói là mỹ phẩm thái lan, em thấy nó giống kem trộn sao á nên lên đây để mong mọi người giải đáp giúp em:((</t>
  </si>
  <si>
    <t>2019-05-01 14:02:49</t>
  </si>
  <si>
    <t>Đoàn Ngọc Yến Trâm</t>
  </si>
  <si>
    <t>100035999460486</t>
  </si>
  <si>
    <t>Các c đẹp trong nhóm cho e hỏi bị mụn ẩn như này thì h phải làm sao ak
Các c có thể chỉ rõ cho e mk nên dùng loại mĩ phẩm nào của hãng não trong các bước skincare k ak.
Da e là da dầu và nhiều mụn ẩn ạ, còn cả nốt ruồi trên má nữa ạ😭
Lần đầu đăng mong ad duyệt hộ
Gần tết r mà 1 mặt mụn luôn ý ạ😭😭
E cảm ơn mn ạ</t>
  </si>
  <si>
    <t>2019-12-25 04:09:01</t>
  </si>
  <si>
    <t>Na An</t>
  </si>
  <si>
    <t>100040989440970</t>
  </si>
  <si>
    <t>#SOS #tưvấn
Cảm ơn ad đã duyệt giúp em ạ :&lt;
Các chị ơi, em vừa tậu được 1 chai The Ordinary Niacinamide 10 + Zinc 1. Em mới dùng có 3 lần thôi nhưng em thấy mặt bị nổi thêm mụn ấy :(( Có phải là da em bị dị ứng không ạ ? 
Ngoài sp này thì các chị có sp nào trị thâm mà ngon-bổ-chất lượng ok tí không ạ ? Em thử nhiều sp rồi mà da vẫn chả có tí tiến triển gì hết :((
( Da em thuộc da dầu dễ lên mụn và RẤT dễ để lại thâm đỏ )</t>
  </si>
  <si>
    <t>2019-12-12 18:46:51</t>
  </si>
  <si>
    <t>Dieu An</t>
  </si>
  <si>
    <t>100033076243969</t>
  </si>
  <si>
    <t xml:space="preserve">#tưvấn #SOS </t>
  </si>
  <si>
    <t xml:space="preserve">
dạ mọi người giúp em với ạ, em muốn tìm mỹ phẩm cho mẹ em sử dụng, em thấy cái này có các công dụng như làm sáng vết thâm, đều màu da, chống mất nước, giữ ẩm cho da, chống lão hóa, giảm những nếp nhăn nhẹ. Mẹ em sử dụng kem trộn cả thời gian dài, em khuyến mãi mới chịu bỏ, bỏ củng đc 2 3 tháng rồi ạ, k biết sản phẩm này tốt k ạ, em cảm ơn</t>
  </si>
  <si>
    <t>2019-10-01 12:43:03</t>
  </si>
  <si>
    <t>100033395500315</t>
  </si>
  <si>
    <t>E mong ad duyệt bài giúp e ạ . Mẹ em 53t . Da mẹ e không nám gì cả . E muốn tìm 1 loại kem dưỡng da cho mẹ e mà e không biết loại nào ạ .  Mong mọi người tư  ấn giúp e với ạ</t>
  </si>
  <si>
    <t>2019-11-24 10:14:42</t>
  </si>
  <si>
    <t>Anna Honghoai</t>
  </si>
  <si>
    <t>100005693954273</t>
  </si>
  <si>
    <t>#ask #tuvan 
Cho e hỏi chị em mình có ai xài latex hy lạp chưa ạ
E nên chọn 25x hay 29x và 2 loại khác nhau ntn ạ??
Trên mang nói mông lung quá !!</t>
  </si>
  <si>
    <t>2019-12-25 03:33:47</t>
  </si>
  <si>
    <t>100006354515963</t>
  </si>
  <si>
    <t>E bị cục mụn mủ  thế này lsao để hết mà k để lại sẹo  ạ?? N đỏ với trồi hẳn lên 😕</t>
  </si>
  <si>
    <t>2019-12-07 13:31:50</t>
  </si>
  <si>
    <t>100006538936311</t>
  </si>
  <si>
    <t>Cho mình xin kinh nghiệm, tips trị thâm môi và lông mặt với ạ 😭 môi mình làm đủ các bước tẩy tbc, dưỡng ẩm nhưng vẫn ko cải thiện. Cho mình hỏi các bạn dùng dưỡng ẩm môi loại nào với ạ? Lên hình vậy thôi chứ ở ngoài môi trên mình đậm màu lắm. Lông mặt mình cũng khá nhiều nhưng không biết phải làm sao với nó 😑😑</t>
  </si>
  <si>
    <t>2019-12-02 16:08:48</t>
  </si>
  <si>
    <t>Phạm Hồng Nhã Thuyên</t>
  </si>
  <si>
    <t>100004231093863</t>
  </si>
  <si>
    <t>Em bị dính rượu thuốc 2 năm trước ở Spa 
Hiện tại giờ chỉ dùng tẩy da chết và sữa rửa mặt 
Da em thuộc da dầu 
Mong m.n cho em gt em ít sản phẩm ạ 
Em chưa đi gia liễu lần nào</t>
  </si>
  <si>
    <t>2019-12-24 04:44:02</t>
  </si>
  <si>
    <t>#tip
Chào mọi người . Cho em hỏi da bị như này thì nên làm sao ạ, mụn ẩn và mụn đầu đen khá nhiều , trị xong nó lại nổi lên tiếp nữa. Cho em hỏi có cách nào để hết mụn không chứ sắp đến tết rồi :((( Em cảm ơn ạ</t>
  </si>
  <si>
    <t>2019-12-03 15:27:48</t>
  </si>
  <si>
    <t>100014082480622</t>
  </si>
  <si>
    <t>Cháu mình bị ngã xe😓 mọi người có cách nào để không để lại sẹo không ạ😓😓</t>
  </si>
  <si>
    <t>2019-12-16 13:06:07</t>
  </si>
  <si>
    <t>Bobby Chu</t>
  </si>
  <si>
    <t>100021900471433</t>
  </si>
  <si>
    <t>Mọi người ơi em bị mụn ẩn ở trán như này mà chăm sóc mãi ko hết í ạ. Đầu tiên nó chỉ lẻ tẻ vài cái xong mọc 1 rừng trên trán em luôn, thử đủ cách mà ko đỡ . Giúp e với huhu😢😢( e chụp trong ảnh nó còn đỡ chứ ngoài nhìn kinh hơn nhiều ạ)</t>
  </si>
  <si>
    <t>2019-12-01 09:05:27</t>
  </si>
  <si>
    <t>100036033382421</t>
  </si>
  <si>
    <t>Các bạn cho mình hỏi cái sần trắng trắng dưới da như này có cách nào trị hết không ah???</t>
  </si>
  <si>
    <t>2019-11-30 13:58:26</t>
  </si>
  <si>
    <t>Gia Phúc</t>
  </si>
  <si>
    <t>100036540812352</t>
  </si>
  <si>
    <t>Chào mn, gần đây tự nhiên e bị ngứa như muỗi cắn sau đó gãi nhiều thì nó đỏ lên ntn. Lâu lâu ngứa và cũng ít mà cứ bị hoài, để lại thâm. Mn có ai biết cách trị ko chỉ e với😭.</t>
  </si>
  <si>
    <t>2019-11-26 14:25:26</t>
  </si>
  <si>
    <t>Hồng Susy</t>
  </si>
  <si>
    <t>100025298949133</t>
  </si>
  <si>
    <t>#makeup #chiase #thaodiep
🎵🎵 Xin chào cả nhà hôm nay mình chia sẻ kiểu make up dành cho mùa đông này nhé ❤❤
🎵🎵 Vì lần đầu mình thử kiểu chấm tàn nhang này nên hơi fail, mọi người k thích có thể bỏ qua bước đó nhe, iu cả nhà 🥰🥰🥰</t>
  </si>
  <si>
    <t>2019-11-01 03:37:19</t>
  </si>
  <si>
    <t>#ask #help 
Hicc, các chị ơi tư vấn em vụ này với. Chuyện là em vừa mới đi nhuộm tóc hôm t5, mà giờ tự dưng da đầu em nó bung bét ra như thế này thì phải làm sao ạ 😭😭😭 em có gg thì thấy bảo do bỏng hoặc kích ứng với thuốc nhuộm. Nhưng cũng ko có cách giải quyết, ai từng bị thế này cho em xin lời khuyên với. Thật sự thì lần nào đi nhuộm em cũng thấy rất đau, nhưng chưa lần nào bị thế này cả. Từ trước đến nay em không bị gầu, mà gầu nó cũng ko phải kiểu từng mảng từng mảng to như thế này cơ. Bây giờ vạch tóc ra nhìn khủng hoảng thật sự 😭</t>
  </si>
  <si>
    <t>2019-08-04 10:52:10</t>
  </si>
  <si>
    <t>Nhàn Nguyễn</t>
  </si>
  <si>
    <t>100006661050253</t>
  </si>
  <si>
    <t>Mấy chị cho e hỏi chút ạ,chuyện là e đang định đi cắt tóc ngắn lên cỡ ngang trên vai tí mà do mặt e nó tròn đúng kiểu mặt bánh bao đấy ạ, nên e phân vân quá là không biết cắt có hợp k,mấy c nào cắt rồi cho e xin ý kiến vs ạ!! 😞
#hair</t>
  </si>
  <si>
    <t>2019-11-26 14:28:23</t>
  </si>
  <si>
    <t>Tuyết Trần</t>
  </si>
  <si>
    <t>100000322382641</t>
  </si>
  <si>
    <t xml:space="preserve"> #thuoctrimun
Chào cả nhà! 
Mình bị mụn ẩn nhiều thi thoảng có lên hẳn mụn mủ trị mãi không hết. Được người quen chỉ cho sử dụng Retin A. Mà mình có đọc review thấy hoang mang về Retin A quá. Không biết mọi người ai đã sử dụng sản phẩm này chưa. Cho mình xin review và cách sử dụng với ạ😭
Mong ad duyệt bài này ❤️</t>
  </si>
  <si>
    <t>2019-10-29 09:59:09</t>
  </si>
  <si>
    <t>Dự Võ</t>
  </si>
  <si>
    <t>100006113566155</t>
  </si>
  <si>
    <t xml:space="preserve">#thuoctrimun  </t>
  </si>
  <si>
    <t>Các bạn hay mấy anh chị cho mình hỏi có ai bị bạc ở phần chân tóc và bạc nhiều mặc dù tuổi còn trẻ không ạ? Em bị bạc ở chân tóc nhiều và đang tìm hướng để giảm tình trạng bị bạc. Anh chị hay bạn nào đang hay từng bị giống mình mà có cách làm hiệu quả thì giới thiệu cho mình với ạ. Mình đang hoang mang vì tóc bạc nhiều mà nhổ hoài thì sợ sau này sẽ hói nên không biết làm sao.</t>
  </si>
  <si>
    <t>2019-11-24 15:34:21</t>
  </si>
  <si>
    <t>Phi Phụng</t>
  </si>
  <si>
    <t>100012469261422</t>
  </si>
  <si>
    <t>Trong nhóm có ai lông mày bị mọc lệch như này không ạ. Chỉ em cách khắc phục với ạ😑😑😑</t>
  </si>
  <si>
    <t>2019-12-02 10:54:07</t>
  </si>
  <si>
    <t>Trần Quỳnh</t>
  </si>
  <si>
    <t>100034290514605</t>
  </si>
  <si>
    <t>Mọi người ơi, có ai sài nước hoa hồng của huxley này rồi cho em xin ít review với ạ! em search gg mà thấy toàn quảng cáo không thôi à..
Edit: Có loại mini ko ạ? 
r #review</t>
  </si>
  <si>
    <t>2019-10-31 15:15:27</t>
  </si>
  <si>
    <t>Lan Anh Đinh</t>
  </si>
  <si>
    <t>100014092786466</t>
  </si>
  <si>
    <t xml:space="preserve">#review r </t>
  </si>
  <si>
    <t>Mọi người cho em xin tips trị mụn ẩn với ạ, vì trong này có người quen nên e dùng acc clone ạ. Da e là da nhạy cảm hhtd, ngày trước e có bị vài cục mụn ẩn bên má thôi ạ, nhưng từ tháng trước đi học quân sự nên em bị mụn ẩn lan ra khắp má bên hình và cả trán nữa, thật sự e stress kinh khủng luôn, sắp tết nữa, chắc e không dám đi chơi tết luôn mất. E chỉ dùng nước tt byphase và srm innisfree trà xanh thôi ạ (ngày trước e có dùng tonner của innis nhưng vì lên mụn nên e bỏ rồi ạ) 
Với lại mn bày e cách trị quầng thâm mắt với ạ, e bị thâm mắt từ hồi bé rồi ạ, mà dạo này học hành nữa nên e thức khuya và mắt thâm hơn nữa 
Mọi người giúp e với, cảm ơn mn nhiều ạ :((( 
#munan</t>
  </si>
  <si>
    <t>2019-11-28 14:24:26</t>
  </si>
  <si>
    <t>100004684098139</t>
  </si>
  <si>
    <t xml:space="preserve">
#kemduong
Các c cho e xin một số loại kem dưỡng ok cho da hh thiên khô mà giá cũng hợp lý k chát quá ạ. Da e mụn ẩn và nhiều nếp nhăn ở vùng mắt nữa thì nên dùng kem dưỡng gì ạ</t>
  </si>
  <si>
    <t>2019-11-15 15:13:37</t>
  </si>
  <si>
    <t>Hồng Vân</t>
  </si>
  <si>
    <t>100031994251109</t>
  </si>
  <si>
    <t>Mọi người ơi, giúp e với, e đang đau khổ vì mụn ẩn ạ, e bị mụn đã 2 năm lúc trc chỉ vài mụt bây giờ nó lây ra toàn mặt, lúc trước e có dùng bộ some by mi mụn bị đẩy lên kinh khủng luôn cũng đi lấy mụn các kiểu nhưng nó kh hết và thói quen sinh hoạt ăn uống của e cũng rất lành mạnh. Giờ e không biết mình nên đi bệnh viện da liễu hay đi spa trị mụn nữa. Có bạn nào bị giống e mà đi spa hay da liễu trị hết chưa và chi phí điều trị thì ntn. Mụn e ở ngoài nhìn kinh khủng lắm mọi người ạ. Hãy giúp e
Mong ad duyệt bài</t>
  </si>
  <si>
    <t>2019-12-09 00:30:04</t>
  </si>
  <si>
    <t>Uyên Phương</t>
  </si>
  <si>
    <t>100044425121891</t>
  </si>
  <si>
    <t>Em tính mua toner labo labo.Em da thường mùa đông hơi khô một chút và có ít mụn ẩn, lỗ chân lông to. Mọi người cho em xin ít review được không ạ 😥 mong admin duyệt bài giúp em với :((</t>
  </si>
  <si>
    <t>2019-11-14 04:11:17</t>
  </si>
  <si>
    <t>Mộc An</t>
  </si>
  <si>
    <t>100006783214585</t>
  </si>
  <si>
    <t>#tritham
Sau khi vật lộn với đống mụn trên mặt thì da em hiện tại cũng đỡ khá nhiều. Bây giờ em muốn trị thâm đỏ thì nên sử dụng sp gì ạ?
Bên trái là mặt em sau khi bỏ rượu thuốc được 1 tuần😭😭</t>
  </si>
  <si>
    <t>2019-12-21 09:35:29</t>
  </si>
  <si>
    <t>Nguyễn Thị Thúy Vy</t>
  </si>
  <si>
    <t>100025251185458</t>
  </si>
  <si>
    <t>#Cantuvan Mng ơi giúp em với ạ da mặt em hồi đó rất ít mụn nhưng từ lúc e sài sữa rữa mặt Acnes thì bây giờ mặt em lên mụn nát mặt lun cho e hỏi là nó đẩy mụn lên hay sao v ạ  mng tư vấn em với😢</t>
  </si>
  <si>
    <t>2019-10-18 15:52:39</t>
  </si>
  <si>
    <t>Thai Dinh Tuan</t>
  </si>
  <si>
    <t>100016854936081</t>
  </si>
  <si>
    <t xml:space="preserve">#Cantuvan </t>
  </si>
  <si>
    <t>Em khẩn cầu ai ma bị mụn lâu năm chữa khỏi choem sin dc với . E đã bị 3 năm nay chữa các nơi khỏi rồi lại bị lại . Hiện tại mặt cứ nổi thâm và một số mụn ẩn lm e thật stress 
E thấy hoi dùng cái nay bảo ok e cũng dùng mà k thấy đỡ
Họ bảo dùng đỡ thâm mà k thay ổn da e rát la dầu luôn
E mới đổi qua dùng srm soskin 
Đi mall họ tư vấn mỗi lần một loại e hoang mang Kb nên dùng loại nao tốt ạ</t>
  </si>
  <si>
    <t>2019-12-25 08:01:25</t>
  </si>
  <si>
    <t>Hà Mốc</t>
  </si>
  <si>
    <t>100004567604532</t>
  </si>
  <si>
    <t>Mong add duyệt bài ah. 
Xin chào tất cả mọi người của mình đang cần 1 loại kem dành cho body có thể dưỡng ẩm hoặc dưỡng trắng thì càng tốt hoặc làm cách nào có thể cải thiện được làn da ngăm đen của mình thì càng tuyệt hơn nữa.  Da mình thuộc da khô, trước giờ k mấy để ý đến việc chăm sóc, giờ mới thấy hối hận. Gần đến tết rồi cũng muốn được đẹp hơn mong mọi người có thể review cho mình được 1 sản phẩm phù hợp. Cảm ơn tất cả mọi người!</t>
  </si>
  <si>
    <t>2019-11-30 04:42:02</t>
  </si>
  <si>
    <t>100003560668417</t>
  </si>
  <si>
    <t xml:space="preserve">
Vấn đề muôn thở các bạn ơi . 
Mỗi lần chuẩn bị đi tiệc là mình đắp đủ thứ mong đuợc cải thiện . 
Nhưng không ăn thua .</t>
  </si>
  <si>
    <t>2019-11-25 02:55:43</t>
  </si>
  <si>
    <t>#catdayseo #seoro
Con gái mà da dẻ em xấu quá mọi người ơi. Da  em bị như vậy do mụn để lại chữa ko đúng chỗ nên càng nặng thêm giờ bớt mụn nhưng thành sẹo rỗ hết rồi. 
Trong hội có bạn nào có kinh nghiệm về trị sẹo ko. Mình nghe nói là cắt đay sẹo da sẽ đỡ đc phần nào còn có người nói là đừng cắt phí tiênd vì có chữa cũng ko hết đc. 
Ai có kinh nghiệm trị sẹo rỗ thành công cho mình xin đchi uy tín ở sg với ạ
Mình tự ti quá 
Mong chị Hằng duyệt bài em. E đăng lần th3 rồi mà ko đc duyệt 😭😭😭😭😭</t>
  </si>
  <si>
    <t>2019-08-13 12:06:01</t>
  </si>
  <si>
    <t xml:space="preserve">#seoro #catdayseo </t>
  </si>
  <si>
    <t>#ask
Mọi người ai sử dụng sản phẩm Mặt nạ đất sét bùn non Vedet chưa cho mình xin review ạ 😍
Thân ái và bóp đuýt</t>
  </si>
  <si>
    <t>2019-06-07 15:42:00</t>
  </si>
  <si>
    <t>#help
Mn ơi😃  có ai biet cách trị mụn trắng đó ko giúp mình với😅 
Không hiểu lắm là loại mụn gì chỉ thấy nó mọc trên khoé mũi 1 cái rồi nhưng ko có dấu hiệu hết mà lại mọc thêm cái nữa😢 da thuộc da dầu nhiều mụn và lcl to nên tui cũng cố gắng lắm nhưng chỉ đến mức này thôi😅 mấy cái mụn này khó quá mn à😂</t>
  </si>
  <si>
    <t>2019-12-17 05:45:39</t>
  </si>
  <si>
    <t>Trang Sanny</t>
  </si>
  <si>
    <t>100006635320625</t>
  </si>
  <si>
    <t xml:space="preserve"> #help </t>
  </si>
  <si>
    <t>Chia sẻ với mọi người đây là da của em khi mang bầu và sau khi sinh.. em không dùng loại mỹ phẩm nào trong lúc mang thai mà mụn tự hết. 
Nhưng hiện tại để lại thâm rất nhiều và lỗ chân lông to. 
E chụp cam thường ss j4 đó ạ.chứ nhìn ngoài thâm đậm rõ hơn nhiều.
Mn có thêt tư vấn cho em loại mỹ phẩm nào giảm thâm và làm trắng sd an toàn khi e đang nuôi con nhỏ k ạ ❤</t>
  </si>
  <si>
    <t>2019-12-02 06:07:13</t>
  </si>
  <si>
    <t>100006807731691</t>
  </si>
  <si>
    <t xml:space="preserve">
#chắp_lẹo 
Em vừa đi chích chắp lẹo ở viện mắt Trung ương thứ 2 vừa rồi. Cũng 1 tuần rồi mà mắt vẫn có cục như kia ở mắt. Không còn đau nhưng mà nó to như hạt đỗ nhìn mất thẩm mỹ quá các chị ạ 😞 mà bình thường em thấy ngta chích lẹo tầm 3-4 ngày là bình thường. Ngày trước em cũng từng chích ở quê  mà cũng không bị như lần này. 
Cả nhà có ai chích lẹo chắp mà gặp tình trạng như em chưa ạ 😞 chứ giờ em đang mất tự tin kinh khủng. 
Thứ 2 tới em sẽ đi khám lại nhưng vẫn cứ lo là không xẹp đi được :((( 
Em không ăn thịt bò thịt gà rau muống đồ nếp gì cả :(</t>
  </si>
  <si>
    <t>2019-10-19 14:16:45</t>
  </si>
  <si>
    <t>Hương Tây</t>
  </si>
  <si>
    <t>100005425068043</t>
  </si>
  <si>
    <t xml:space="preserve">#chắp_lẹo </t>
  </si>
  <si>
    <t>#kemmat
Mọi người trong group cho e hỏi với ạ. E 22 tuổi mà da mắt có nhiều nếp nhăn chân chim lắm ạ. Mn có cách nào hay kem j dùng bớt nếp nhăn k ạ😂😂😂</t>
  </si>
  <si>
    <t>2019-12-15 14:12:04</t>
  </si>
  <si>
    <t>Nhật Lệ</t>
  </si>
  <si>
    <t>100005735924635</t>
  </si>
  <si>
    <t>#đẹp_chanh_sả
#kẹo_gummies
Mình mới dùng kẹo này được khoảng 10 ngày với tâm trạng rất mong dùng hết 1 hũ (230 viên) sẽ bót rụng tóc và tóc mọc khoẻ hơn. Ai đã xài rồi cho mình xin review dùng khoảng bao lâu thì có kết quả với ạ, với mình có 1 chị bạn cũng dùng thì nghe nói là ngứa đầu do tóc mọc lên, ko biết có ai bị triệu chứng như vậy không ạ?</t>
  </si>
  <si>
    <t>2019-12-20 05:42:30</t>
  </si>
  <si>
    <t xml:space="preserve">#kẹo_gummies #đẹp_chanh_sả </t>
  </si>
  <si>
    <t>ai bị mụn gạo mụn thịt trị hết chia sẽ vs tớ với
đẻ xong nó nhảy khắp lưng và ngực huu.</t>
  </si>
  <si>
    <t>2019-12-14 01:52:35</t>
  </si>
  <si>
    <t>Ốc Sên</t>
  </si>
  <si>
    <t>100027468701317</t>
  </si>
  <si>
    <t>#ask #tócdầu
Cảm ơn ad đã duyệt bài
Mọi người ơi cho e hỏi tip trị da đầu dầu đi ạ, tóc em ngắn thôi nhưng rụng nhiều, tóc mỏng nhưng lại dầu nên nhìn bết bát kinh khủng ấy
E đã từng dùng Nizolra, Selsun và các thể loại H&amp;S, Clear rồi nhưng cũng k cải thiện. Nếu dùng phấn rôm thì lại rất dễ bị gàu và đầu dễ bẩn hơn nữa.
Mong sự tư vấn của mn ạ</t>
  </si>
  <si>
    <t>2019-09-26 09:02:30</t>
  </si>
  <si>
    <t>100006033211954</t>
  </si>
  <si>
    <t xml:space="preserve">#tócdầu #ask </t>
  </si>
  <si>
    <t>#ask #benhphukhoa #ubibuongtrung 
Xin chào mọi người, mọi người cho mình hỏi trong đây có ai đi khám phụ khoa mà lòi ra bị u bì buồng trứng không. Mình bình thường không sao, tiền nhiên 3-4 tháng nay tới kì dâu rụng là đau bụng k chịu nổi, đi khám thì bác sĩ chỉ định mổ cắt u. Trong đây có ai mổ cắt u rồi thì cho mình xin review với, mình nên cắt ở đâu là tốt nhất và chi phí tầm bao nhiêu? Với có ảnh hưởng nhiều đến sinh đẻ không mn?</t>
  </si>
  <si>
    <t>2019-06-23 14:39:01</t>
  </si>
  <si>
    <t>Hà Chi</t>
  </si>
  <si>
    <t>100038298256685</t>
  </si>
  <si>
    <t xml:space="preserve">#ubibuongtrung #benhphukhoa #ask </t>
  </si>
  <si>
    <t>:(( Làm sao cho bắp tay nhỏ lại đây các chị ơi. Em mới có 18t à mà bắp tay bắp chân đô như một người đàn bà lực điền vất vã với cuộc đời vậy á :-( lúc nào cũng chỉ mặt áo có tay với quần dài , muốn mặt đầm dây cho nữ tính . Chuột e còn bự hơn mấy thằng bạn em nữa huhu .
P/s : em không có tập thể dục thể thao hay gym gì hết trơn á.</t>
  </si>
  <si>
    <t>2019-12-25 07:59:51</t>
  </si>
  <si>
    <t>Nhiêu Ái Kim Tuyền</t>
  </si>
  <si>
    <t>100022396116973</t>
  </si>
  <si>
    <t>Em năm nay 16t ạ, da em thuộc loại da ngăm nên che cở nào cũng ngâm hết ạ, con gái nên mong muốn được trắng lên một xíu cho nhìn sáng sủa hơn ạ, em thuộc dạng da dầu nên sử dụng sp nào để dưỡng trắng ạ, em cảm ơn mọi người 😢
#gochoihan</t>
  </si>
  <si>
    <t>2019-12-19 23:24:07</t>
  </si>
  <si>
    <t>Hai Quyen</t>
  </si>
  <si>
    <t>100029341035704</t>
  </si>
  <si>
    <t xml:space="preserve">
#ask
#hairstyle
Chào cả nhà, một kì nghỉ Tết lại sắp đến rồi và chắc chắn tất cả mọi người đều đang rục rịch chọn cho mình những kiểu tóc mới để đi chơi xuân phải không ạ ❤️ Vậy nên hôm nay mình ngoi lên đây muốn nhờ mọi người tư vấn giúp một kiểu tóc xinh xẻo nhất có thể cho Tết này nhé ❤️❤️❤️ Dưới đây là kiểu tóc hiện tại của mình , theo mình thấy thì nó làm mặt mình rất to và dài, lộ trán với cả trông già nữa í =(((( Mong mọi người giúp đỡ chọn cho mình một kiểu tóc đơn giản chút, hợp với học sinh và đặc biệt là không nhuộm nha cả nhà, cảm ơn rất rất nhiều ❤️❤️</t>
  </si>
  <si>
    <t>2019-12-22 09:39:51</t>
  </si>
  <si>
    <t>Mai Hoàng Nguyễn</t>
  </si>
  <si>
    <t>100014598638216</t>
  </si>
  <si>
    <t xml:space="preserve">#hairstyle #ask </t>
  </si>
  <si>
    <t>#hair
Em vừa đu trend cắt tóc layer tik tok. 🤣🤣🤣
E cắt tất cả tầm 30cm.
Chúc mọi người Giáng Sinh hạnh phúc.</t>
  </si>
  <si>
    <t>2019-12-24 13:19:41</t>
  </si>
  <si>
    <t>Đinh Thị Ngọc Ánh</t>
  </si>
  <si>
    <t>100003734925604</t>
  </si>
  <si>
    <t>Có bác nào dùng kcn senka dạng gel này chưa ạ ??? Cho e xin ít review với . Với cả senka gel với senka milk thì cái nào ok hơn ạ   
#kcn #skincare #senka #ask</t>
  </si>
  <si>
    <t>2019-11-10 06:16:34</t>
  </si>
  <si>
    <t>Phùng Ngọc Huyền</t>
  </si>
  <si>
    <t>100018406172872</t>
  </si>
  <si>
    <t xml:space="preserve">#ask #senka #skincare #kcn </t>
  </si>
  <si>
    <t>##giupdo##viemdatietba
Chào mọi người trong group.. 
Không biết trong group mình có ai bị giống mình không ạh. Thời tiết thay đổi hoặc đến ngày 🍓 là nỗi đỏ dày cộm và rất là ngứa. Mình bị như vậy gần 3 năm rồi.
Mình đi khám ở BV Da liễu bác sĩ bảo bị viêm da tiết bã, do cơ địa chứ k trị khỏi được. Mình có đi khám ở O2 skin bác sĩ cũng nói như vậy.
Thời tiết SG dạo này thất thường nên mặt mình nổi dày đỏ và ngứa kinh khủng. 
Mình dùng tẩy trang,rửa mặt,xịt khoáng và B5 của La roche posay..
Ai có cách gì trị cái này không giúp mình với ạh.. 
Cám ơn ad và mọi người..</t>
  </si>
  <si>
    <t>2019-05-14 02:32:14</t>
  </si>
  <si>
    <t>Mỹ Vân Võ</t>
  </si>
  <si>
    <t>100003188008104</t>
  </si>
  <si>
    <t xml:space="preserve">#viemdatietba #giupdo </t>
  </si>
  <si>
    <t>Em bị dính rượu thuốc cách đây 1 tháng và đã dừng khoảng 1 tuần ạ, sau khi khám da liễu thì hiện tại em có dùng tẩy trang dẻladie, trị mụn gelacmeigel, srm Anti acne và uống thuốc bác sĩ kê đơn ạ, mn cho em hỏi em nên dùng thêm gì để dưỡng da không ạ, với nên dùng kem chống nắng loại gì ạ, da em da dầu</t>
  </si>
  <si>
    <t>2019-12-24 14:51:44</t>
  </si>
  <si>
    <t>Em định mua dưỡng ẩm body thì nên dùng loại nào tốt giá trung bình 1 tí ạ
Em thấy dưỡng ẩm hatomugi của Nhật này giá cũng ổn. Mọi người cho em xin ít review với ạ. Em da khô</t>
  </si>
  <si>
    <t>2019-11-02 09:37:52</t>
  </si>
  <si>
    <t>Nguyễn Quỳnh Chi</t>
  </si>
  <si>
    <t>100009183292193</t>
  </si>
  <si>
    <t xml:space="preserve">đây là tình trạng da em sau khi nặn mụn khỏang 5 tháng ạ . anh chị giúp em có cách nào trị hết thâm không ạ.. chứ sắp tết rồi mà chán quá nhiều lúc buồn lắm :( :( 
#thammun </t>
  </si>
  <si>
    <t>2019-12-24 05:40:49</t>
  </si>
  <si>
    <t>100030232608027</t>
  </si>
  <si>
    <t>Chuyện này cũng hơi ảnh hưởng đến cuộc sống của e nên mn cho phép e xin dùng acc phụ.e bị mụn lưng tầm cả năm nay rồi, giờ e đã hết nhưng để lại rất nhiều sẹo, chi chít cả lưng làm e muốn mặc đồ đẹp đi chơi cũng không dám, bịt kín nguyên cây dù đi đâu. E có từng thử tẩy tế bào chết thấy da đỡ hơn xíu chứ cũng không ăn thua vì, e còn bị sẹo ở ngay chân nữa, nguyên cái sẹo to đùng hết dám mặc váy. Mn có bí kíp gì để nhanh mờ sẹo không, mắc chút cũng đc ạ, e chỉ monhg Tết tới không cần bịt kín chân nữa thôi. MN giúp e ,e cảm ơn nhiều ạ</t>
  </si>
  <si>
    <t>2019-12-12 08:54:46</t>
  </si>
  <si>
    <t>Nguyentrungkien</t>
  </si>
  <si>
    <t>100034540544162</t>
  </si>
  <si>
    <t xml:space="preserve">
#Hoi_Xinykien
#kemnen
Em đang băn khoăn không biết nên mua kem nền nào trong 3 loại : NYX, Catrice 24h, Catrice 18h ạ.  Hiện em đang dùng Catrice 24h rất tốt nhưng đôj che phủ không được cao cho lắm. Anh chị có thể review cho em loại kem nền sương sương dưới 400k mà độ che phủ cao thích hợp da hỗn hợp thiên khô không ạ. Em cảm ơn nhiều ạ❤️❤️❤️</t>
  </si>
  <si>
    <t>2019-10-25 00:29:12</t>
  </si>
  <si>
    <t>Nga Chii</t>
  </si>
  <si>
    <t>100003942340064</t>
  </si>
  <si>
    <t xml:space="preserve">#kemnen #Hoi_Xinykien </t>
  </si>
  <si>
    <t>#gocreview 
#Dungdichvesinhphunu
Không biết trong hội có chị em nào bị giống em không ? 
Mỗi lần vừa dứt đèn đỏ là em bị viêm dù vệ sinh kĩ càng cở nào cũng bị . Đi từ vũ khám phụ khoa để đặt thuốc . Hết viêm tòm tèm đi mua dung dịch vệ sinh . Đây mới vấn đề cho mấy chị em bị nhạy cảm như em . Em đi thuốc tây mua em dạ hương về . Vừa sử dụng xong thì bị ngứa đỏ cả lên . Nghĩ không phải do nó chắc bị viêm lại. Đi khám thì độ Ph của em dạ hương k phù hợp với mình . Vì mình bị nhạy cảm quá . 
Tìm tòi thì ra được em intima ziaja của Ba Lan . Em này dùng siêu thích . Mùi thơm dễ chịu . Diệu nhẹ không bị dị ứng với da nhạy cảm . Từ ngày dùng em này mỗi khi vừa hết đèn đỏ là mình không bị viêm như trước nữa . Mà giá thành của em còn ổn nữa chứ . Chai 500ml sài chắc tận cả năm mới hết . 
Em này được chia theo 4 loại nha .
- Chống viêm .
- Khô 
- Viêm nhẹ 
- viêm
Loại mình xài là loại chống viêm . Dành cho mấy chị em bị nhảy cảm với Ph 5-6 như em nha .
Lần đầu review nên văn cú hơi lũng cũng ạ .</t>
  </si>
  <si>
    <t>2019-05-28 02:59:34</t>
  </si>
  <si>
    <t>100009843522249</t>
  </si>
  <si>
    <t xml:space="preserve">#Dungdichvesinhphunu  #gocreview </t>
  </si>
  <si>
    <t>#help #paulachoice #megadou #differin 
Mọi người ơi mình mới mua chai bha này để trị mụn ẩn, cho mình hỏi bha mọi người đổ ra bông rồi lau hay xài bằng tay lun ạ? Với cho mình hỏi thêm là bha có xài chung đc với 2 tuýp thuốc megadou và differin như ảnh dưới dc k? Da mình da thường k quá khô cũng k quá dầu nhưng bị nhiều mụn ẩn lắm ạ.</t>
  </si>
  <si>
    <t>2019-10-30 05:44:42</t>
  </si>
  <si>
    <t>100022866692849</t>
  </si>
  <si>
    <t xml:space="preserve">#differin #megadou #paulachoice #help </t>
  </si>
  <si>
    <t>Mùa đông nên em muốn tìm loại kem nào vừa dưỡng ẩm mà dưỡng trắng luôn. Chứ hè vừa rồi đi chơi nhiều nên sạm hết da. Các chị em có loại nào dùng được cho em xin ít review với ạ. Em cảm ơn!
#mong_ad_duyệt</t>
  </si>
  <si>
    <t>2019-11-28 11:13:32</t>
  </si>
  <si>
    <t>Vi T. Hồng Phúc</t>
  </si>
  <si>
    <t>100003857121779</t>
  </si>
  <si>
    <t>Mấy anh chị cho e hỏi với ạ. 
Có anh chị nào đã từng bị như trường hợp của e không ạ? Nó cứ bị bóc da rồi nứt nẻ ra, khô ráp nhìn ghê lắm ak. Đã vậy còn bị ngứa rát kinh khủng mặc dù e k giặt đồ. Rửa chén e đều mang bao tay. E đã sử dụng đủ loại kem dưỡng đến thuốc bôi mà vẫn k ăn thua. E mới 26 tuổi mà bàn tay nhìn ghê k chịu nổi. Nhìn cứ như bàn tay bà già ý. 
Anh chị nào đã từng bị cho e xin ít phương pháp chữa khỏi với ạ. E chân thành cảm ơn.</t>
  </si>
  <si>
    <t>2019-12-24 10:44:42</t>
  </si>
  <si>
    <t>100002818617056</t>
  </si>
  <si>
    <t>Mọi người cho em hỏi sản phẩm trị sẹo rỗ mụn với ạ :(( mặt em dạo này đỡ mụn rồi nhưng mà 1 đống sẹo rỗ, hồi đó không biết nặn nên giừo sẹo quá trời, có cách nào trị mà không cần đi lăn kim không ạ :((, tại em còn nhỏ lắm chưa đi được</t>
  </si>
  <si>
    <t>2019-11-24 03:25:25</t>
  </si>
  <si>
    <t>Thiên An</t>
  </si>
  <si>
    <t>100039780341678</t>
  </si>
  <si>
    <t xml:space="preserve">
#Ngucto 
Mình up bài này mong ad duyệt giúp với ạ 
Chả là lúc bầu , mình bị chửa ngực , ngực rạn tùm lum . Bây giờ cho con bú , ngực to như 2 quả dưa hấu, 110 cm lận . K biết mặc gì , mặc thế nào cho gọn . 
Các bạn ngực to cho mình xin tip mặc thế nào cho gọn với , mình thuộc kiểu ng trên to dưới nhỏ , ngực , bụng to lắm. Còn mông vs tay chân thì bình thường 
Tha thiết mong ad duyệt bài ạ , cả năm nay chưa dám mua quần áo , đầu tóc gì cả ạ , khổ tâm lắm</t>
  </si>
  <si>
    <t>2019-12-24 03:43:00</t>
  </si>
  <si>
    <t>Hoa Nguyễn</t>
  </si>
  <si>
    <t>100004787167354</t>
  </si>
  <si>
    <t xml:space="preserve">#Ngucto </t>
  </si>
  <si>
    <t>Chào mọi người,
Mọi người cho e hỏi dán miếng kích mí thì mình có thể tạo ra nếp mới cho mí mắt không ạ. 
Mắt em thì nếp mí rõ (như hình 2), nhưng do em cận nặng hay sao í, nó bị bụp, lúc mở to thì mất luôn mí luôn.
Nếu dán mí không hiệu quả thì có cách nào khắc phục không ạ. 
(Phần thịt giữa mắt với chân mày siêu nhiều luôn í)
Em cảm ơn.
 #supmi</t>
  </si>
  <si>
    <t>2019-12-12 02:15:35</t>
  </si>
  <si>
    <t>Khanh Huyen</t>
  </si>
  <si>
    <t>100024973366955</t>
  </si>
  <si>
    <t xml:space="preserve">#supmi  </t>
  </si>
  <si>
    <t>Mọi người cho em xin thông tin về em này với 😅
Em da hỗn hợp thiên dầu, khá nhạy cảm, đang mún mua kem tone up nào không đổ dầu nhìu quá ạ. Trước giờ em chưa dùng qua loại kem tone up nào hớtttt
Cảm ơn mn nhìuuuu
#review #ask #toneupcream</t>
  </si>
  <si>
    <t>2019-10-14 23:27:20</t>
  </si>
  <si>
    <t>100003024747545</t>
  </si>
  <si>
    <t xml:space="preserve">#toneupcream #ask #review </t>
  </si>
  <si>
    <t>Chuyện là bố em bị hôi chân các chị ạ. Cứ mùa đông là mùi dữ lắm, mẹ em kêu trời kêu đất. Thử qua mấy loại xịt rồi mà không hết. Giờ có cách nào trị hôi chân không các chị
#HoiChan</t>
  </si>
  <si>
    <t>2019-12-03 04:42:28</t>
  </si>
  <si>
    <t xml:space="preserve">#HoiChan </t>
  </si>
  <si>
    <t>#trithamchan
Em chào cả nhà ạ.
Có ai tự dưng chân bị lên như này kg ạ 😰😰, ban đầu em tưởng như bị lác, nên bôi dung dịch ASA, nó bị cháy da nổi tróc các màng trắng khô, em ngưng bôi thì giờ bị như hình, thâm với còn sần sùi ý ạ.
Cả nhà có biết đây là bị vấn đề gì và dùng thuốc nào trị lành kg tư vấn em với, tự dưng nó bị vậy chứ em cũng kg bị ngứa hay gì cả, em đau lòng ghê 😭
Em xin cảm ơn cả nhà ạ 👩👩</t>
  </si>
  <si>
    <t>2019-12-22 22:13:59</t>
  </si>
  <si>
    <t>Có chị nào trong lúc mang bầu &amp; sau sinh mông bị rạn to thâm đen như ảnh 1 không ạ? QUAN TRỌNG là có chị nào chữa mờ dần hoặc dứt điểm thành công không truyền lại bí kiếp cho em với chứ em thấy em nản quá. Rạn trắng trắng còn coi cho qua đc chứ đen thì kh thể chịu đc các chị ơi. ( ảnh mạng ) Bù đc mỗi cái bụng em kh bị rạn mà cái mông thì ôi thôi buồn chẳng muốn nhìn.</t>
  </si>
  <si>
    <t>2019-11-10 17:56:37</t>
  </si>
  <si>
    <t>Kim Loan Nguyễn Ngọc</t>
  </si>
  <si>
    <t>100006252795987</t>
  </si>
  <si>
    <t>mn ơi tay em như vậy có cách nào cho khỏi dc ko ạ . e bị lâu lắm rồi mà bôi thuốc ko khỏi. Càmg ngày càng nứt toác ra đau ghê gớm giờ cầm đôi đũa cũng ko cầm dc luôn ạ . lạnh này mà tay e như này chắc e chết mất mn oi huhuu</t>
  </si>
  <si>
    <t>2019-12-05 12:44:59</t>
  </si>
  <si>
    <t>#ask #auth #fake #tảoxoắnspirulina
Mình mới mua túi tảo này. Mn xem giùm mình auth hay fake với ạ. Mình mua từ một shop uy tín tuy nhiên uống vào người nên cũng hơi rén nhờ mn check giùm với ạ. Cảm ơn mn ❤️</t>
  </si>
  <si>
    <t>2019-11-14 11:45:19</t>
  </si>
  <si>
    <t>100004737436530</t>
  </si>
  <si>
    <t xml:space="preserve">#tảoxoắnspirulina #fake #auth #ask </t>
  </si>
  <si>
    <t>Em có sử dụng dầu dừa để kích mi mà bị cay mắt quá. Em nghe nói 2 loại này làm dài mi tốt mà k biết cái nào ok hơn. Anh chị nào sử dụng rồi cho e ít review vs ạ ❤️❤️
Em cảm ơn !
#dhc #feg #ask #daimi #review</t>
  </si>
  <si>
    <t>2019-11-06 14:16:28</t>
  </si>
  <si>
    <t>Khả My</t>
  </si>
  <si>
    <t>100028247464333</t>
  </si>
  <si>
    <t xml:space="preserve">#review #daimi #ask #feg #dhc </t>
  </si>
  <si>
    <t>#REVIEW #THEORDINARY #NARUKO #LAPOTHICELL
Hello chị em :&gt; tàu ngầm cũng lâu lâu hôm nay mình xin phép chia sẻ 1 số sản phẩm mình đã/đang dùng trong skincare routine hàng ngày của mình. Da mình là da dầu mụn lỗ chân lông to, có một ít mụn cám + mụn đầu đen+ sợi bã nhờn, thỉnh thoảng có lên 1 vài nốt mụn trứng cá hoặc mụn đầu trắng nếu da bị bẩn/bí hoặc ngày đèn đỏ, nhưng không quá nhiều. Nếu mụn nặng mình vẫn khuyên các bạn nên đi khám da liễu đã, mỹ phẩm tính sau 😂 nói là review thì cũng không hẳn là chi tiết nhưng mình sẽ đưa ra 1 số nhận xét từ trải nghiệm của bản thân đối với những sản phẩm này, caption trong từng ảnh nha :&gt;
P.s: các chụy đại lý, boss, thương hiệu tiền tỉ, whitening detox acne mix cream trộn khuấy ngoáy 9 loại thảo mộc các kiểu né em ra giùm, many thanks :D</t>
  </si>
  <si>
    <t>2019-08-13 03:56:47</t>
  </si>
  <si>
    <t>현담곰</t>
  </si>
  <si>
    <t>100015275959256</t>
  </si>
  <si>
    <t xml:space="preserve">#LAPOTHICELL #NARUKO #THEORDINARY #REVIEW </t>
  </si>
  <si>
    <t>#ask #retinol #bha #mụnẩn 
Em muốn ngoi lên để hỏi chút vấn đề về sử dụng retinol ạ. Em da dầu, mụn ẩn, vùng da mũi rất xấu, sợi bã nhờn to
Em đinh băt đầu sử dụng retinol 0,5 của obagi, vậy em muốn hỏi có nên sử dụng song song retinol với BHA không ạ? (E tính dùng BHA 2% của PC) Và trong qt sử dụng retinol thì mình có cần skin care bt hay chỉ dưỡng ẩm và chống nắng thôi ạ.
 E đang dùng lotion của Hadalabo và KCN của Anessa, em xin review mấy sp dưỡng ẩm tốt hơn nữa ạ, vì sợ thiếu ẩm sẽ bị phản tác dụng? 
E cám ơn, mong ad duyệt</t>
  </si>
  <si>
    <t>2019-09-21 08:04:53</t>
  </si>
  <si>
    <t>100008457450513</t>
  </si>
  <si>
    <t xml:space="preserve">#mụnẩn #bha #retinol #ask </t>
  </si>
  <si>
    <t>Xin chào mọi người
Đây là lần 3 em reup lại vì chưa được duyệt, em cũng chẳng hiểu sao không được duyệt bài nữa 😞 Tết đến đít rồi em tha thiết mong admin duyệt bài hộ em ạh !!!!!
Em dự định sẽ up ảnh da lên nhưng sợ khiến mn khó chịu nên em up ở comment ạ !!!
Em bị mụn đến nay đã sắp sửa sang năm thứ 5. Thực sự mụn và cân nặng của bản thân khiến em stress, đó cũng được xem là một trong số những nguyên nhân tác động khiến em trầm cảm. 
Em xin chia sẻ một chút ạ : 
Em thuộc da dầu, có rất nhiều mụn ẩn, thâm mụn, lcl to, lâu lâu nổi vài cái mụn viêm nữa ạ. Trước đây vì thiếu hiểu biết nên em dính kem trộn gần 2 năm, sau đó em đi spa , có đỡ mụn nhưng sau khi ngưng trị mụn tại spa , thì mụn mọc trở lại . Một thgian sau em có tìm hiểu skincare, e tập skincare nhưng da ngày càng tệ thêm. Một tgian sau em quyết định đi da liễu, bs có kê thuốc - nặn mụn tại đó. Lúc đấy da em khá đẹp, sau bs cho e ngưng thuốc, mọi thứ đâu lại vào đấy, sau một thgian da em trở lại như ban đầu. 8 tháng sau , em đi bvien vì men gan cao quá mức , lúc này em mới nhận ra là em đã uống iso vì bsi hỏi có uống thuốc làm đẹp gì không. Em lên google search thì ngta bảo ngộ độc iso khiến men gan tăng vượt trội. 
Và sau bao lần vật lộn với mụn, bỏ ra đủ thứ tiền đắp lên mặt thì em vẫn trở lại con số 0 như hiện tại. Em stress lắm, em kbiet phải làm gì hết, mụn khiến em tự ti rất nhiều. Bây giờ vì ngại đem mặt mộc ra đường nên đi học hay đi chơi em đều make up mặc dù em biết nó sẽ làm da em tệ thêm. Và htai em cũng chỉ dùng tẩy trang + srm. Mng ơi, cứu em với 😔 càng lúc em càng stress hơn mà chả biết lgi cả.
Hành văn em không trôi chảy lắm mong mng bỏ qua. Cảm ơn anh , chị đã đọc đến đây ạ 😞
#tuvan #trimun</t>
  </si>
  <si>
    <t>2019-12-19 13:58:12</t>
  </si>
  <si>
    <t>Phương Vy</t>
  </si>
  <si>
    <t>100016200576582</t>
  </si>
  <si>
    <t>#trimun #ask 
Mọi người ơi, ai đã từng bị mụn như này chưa ạ? Cách đây tầm 2 tuần nó nhú lên nhỏ nhỏ hơi nhức, em không không dám sờ lên luôn ý, vài ngày sau nó to dần lên nhưng không còn đau nữa, nó chai lỳ và to khủng khiếp như thế này nhưng em không nhìn thấy nhân mụn ạ. (em có chấm dầu tràm trà lên nhưng không thấy hiệu quả mấy). Em hoang mang quá, mọi người tư vấn cho em với, em cảm ơn! 😭😭😭</t>
  </si>
  <si>
    <t>2019-10-06 16:24:23</t>
  </si>
  <si>
    <t>Tuệ An</t>
  </si>
  <si>
    <t>100041928312669</t>
  </si>
  <si>
    <t xml:space="preserve">#ask #trimun </t>
  </si>
  <si>
    <t>#ask #Help #mụn #thâm
Các chị em thiện lành giúp với
Số là da mình da dầu mụn, mình có mua dùng 1 bộ Eucerin để dùng gồm sữa rửa mặt, chấm mụn với toner mà mình dùng cũng 3 tuần hơn cũng gần hết rồi. Tuy nhiên mụn thì không giảm mà mụn nhỏ nhỏ giờ biến thành mụn to to luôn rồi. nãn quá mình tìm hiểu và có nghe nói bộ Hiruscar trị mụn trị thâm sẹo tốt lắm, nghe review đang tính mua thay đổi coi có hợp không.
Có ce thiện lành nào có đề xuất nào giúp mình với ạ.
Hình mượn cho chống trôi</t>
  </si>
  <si>
    <t>2019-08-17 04:50:16</t>
  </si>
  <si>
    <t>Trần Hạnh</t>
  </si>
  <si>
    <t>100039507797852</t>
  </si>
  <si>
    <t xml:space="preserve">#thâm #mụn #Help #ask </t>
  </si>
  <si>
    <t xml:space="preserve">
#mỡ_bụng
#no_gym
#help
Chào m.n. Trong group mình không biết có ai có cách nào giảm mỡ bụng mà không tập gym không hay đi bộ không. T bị vấn đề xương nên không tập gym cũng như không đi bộ lâu được huhu. Mà body t thì cũng ổn, nhưng mà mỡ bụng thì thôi rồi. Nhiều khi nhìn cái body với mỡ bụng thật sự nó chẳng ăn nhập gì nhau luôn :((( Ai có chế độ ăn hay bài tập nào nhẹ nhàng nhưng giảm được mỡ bụng thì chia sẻ cho t với. Chứ t ăn không mà không tập gym thì thấy mỡ bụng cứ tăng thôi 😩😩😩 Help me.</t>
  </si>
  <si>
    <t>2019-03-10 17:03:31</t>
  </si>
  <si>
    <t>Tracy Chan</t>
  </si>
  <si>
    <t>100024723797606</t>
  </si>
  <si>
    <t xml:space="preserve">#help #no_gym #mỡ_bụng </t>
  </si>
  <si>
    <t>Giống đồ đổ đống ngoài chợ vậy nè 
#AntiDoTron</t>
  </si>
  <si>
    <t>2019-12-03 02:51:01</t>
  </si>
  <si>
    <t xml:space="preserve">#AntiDoTron </t>
  </si>
  <si>
    <t>#ask #phụchồida 
Hôm trước em có lên 1 bài hỏi về tẩy trang, nhờ mọi người em đã tìm được loại tẩy trang đúng ý
Hôm nay muốn có 1 topic về review về dòng kem dưỡng hoặc serum giúp phục hồi da sau hư tổn, sau kem trộn, sau nhiễm corticoid, sau peel da, cải thiện lão hóa da.... Tóm lại là loại phục hồi da từ Hàn Quốc ạ ( vì da em chỉ hợp với mỹ phẩm Hàn, còn Nhật hay Pháp và Mỹ thì bị dị ứng) 
E đã từng dùng rất nhiều loại phục hồi : suiskin, cre8skin, the face shop, laneige, .... Nhưng vẫn chưa tâm đắc lắm. E định đổi sang Dongsung, Ohui... Nhưng giá khá cao nên đang mong nhận được thêm nhiều review 
Cảm ơn mọi người ❤ và Cảm ơn ad duyệt bài giúp em ❤</t>
  </si>
  <si>
    <t>2019-10-17 10:34:57</t>
  </si>
  <si>
    <t xml:space="preserve">#phụchồida #ask </t>
  </si>
  <si>
    <t>Gần đây SG trở lạnh, chính xác là từ thời gian SG xuống 20 độ đến nay, da mình bị khô và bong tróc. Rồi ngực mình nổi lên ntn. Nhỏ lớn giờ mình chưa từng bị như vậy bao giờ. Ko biết là bị gì vậy mn ?
Mình dùng providine sát trùng xong rồi xức trangala thì vết đỏ lặn đi hẳn, xong hôm nay nó lại nhảy lên phía cổ !
Trong tuần này chắc mình phải đi khám da liễu ! Để lâu nó nhảy lan ra khắp người chắc chết quá 😓</t>
  </si>
  <si>
    <t>2019-12-25 08:57:17</t>
  </si>
  <si>
    <t>Quân Võ</t>
  </si>
  <si>
    <t>100003971396703</t>
  </si>
  <si>
    <t>Da mình từng bị dính kem trộn, Da chỉ đẹp được 1-2 tháng bây giờ bị nổi ntn lên rất nhiều và mình k dám dùng thêm sp nào nữa. 
Mình thuộc loại da dầu, mỏng. A chị nào biết tư vấn cho mình bây giờ nên làm thế nào đây ạ huhu</t>
  </si>
  <si>
    <t>2019-11-25 02:56:36</t>
  </si>
  <si>
    <t>Na Vy</t>
  </si>
  <si>
    <t>100009487445271</t>
  </si>
  <si>
    <t>Mọi người trong gr đã ai dùng cao mụn cure chưa ạ . Cho em xin ý kiến
#trimun</t>
  </si>
  <si>
    <t>2019-10-29 07:14:55</t>
  </si>
  <si>
    <t>Xin chào mọi người. Cách đây 3 tuần e bị bỏng nước sôi và theo giám định là 13% cơ thể( bụng và đùi) bỏng độ 2(chủ yếu)và 3 . Hiện tại là da non đã lên gần hết và em tính sẽ bôi thuốc trị sẹo. Mọi người có thể cho em tên thuốc trị sẹo bỏng tốt ko ạ?
Em cũng nghe là cái này có thể đi thẩm mỹ được, chị nào đã làm rồi có thể chỉ em chỗ làm ko ạ?
#sẹo
#bỏng</t>
  </si>
  <si>
    <t>2019-04-21 03:01:42</t>
  </si>
  <si>
    <t>Adina Nguyen</t>
  </si>
  <si>
    <t>100012830354771</t>
  </si>
  <si>
    <t xml:space="preserve">#bỏng #sẹo </t>
  </si>
  <si>
    <t>Cíu rỗi mặt e với ạ 
 Mặt e phải gọi là cha của dầu 
 Muốn skincare mà k tìm dk sp nào hết trơn 
 Mk vừa gội đầu xong nên tóc bù xù í chứ bt mk k để mái ạ
 Tính đi da luễu mà bệnh vuện nó nghỉ Tết hết rồi 
Đợi ra Tết k biết bn con mụn lại lên nữa
 Với cho e hỏi khám da liễu thì bsĩ soi da và cho thuốc uống hã mn</t>
  </si>
  <si>
    <t>2019-12-22 03:13:06</t>
  </si>
  <si>
    <t>#tocngan
Hi mng , tình hình là mình có baby hơn 4m, đang muốn cắt tóc ngắn để thoải mái hơn. Mặt mình hơi tròn, đang để mái thưa, các bạn có kiểu tóc ngắn nào đẹp tư vấn m với ạ !</t>
  </si>
  <si>
    <t>2019-12-20 03:14:30</t>
  </si>
  <si>
    <t xml:space="preserve">#tocngan </t>
  </si>
  <si>
    <t xml:space="preserve">Help me 
Người em thì bình thường nhưng đùi và mông rất to 
Em định dùng gel tan mỡ , ai biết nào dùng ok chỉ cho em với ạ hoặc ai có cách gì giảm mỡ đùi giúp em với ạ
Em đội ơn mn 😭😭
</t>
  </si>
  <si>
    <t>2019-10-17 12:55:53</t>
  </si>
  <si>
    <t>Diệu Yến</t>
  </si>
  <si>
    <t>100036533110088</t>
  </si>
  <si>
    <t>Mấy chị giúp em với ạ 😞 
Em thấy lông của mình mọc lên rất nhanh và rất nhiều, em cũng có thử dùng mấy loại wax lông dạng mạch nha mà không sạch. Nách lại thâm, lcl lại bị kiểu lồi lên , lông mọc ngược thì quá nhiều 😩
Em giờ không biết phải làm sao luôn. 
Ai đã từng bị thế này rồi cứu em với
#goctuvan</t>
  </si>
  <si>
    <t>2019-10-31 02:13:03</t>
  </si>
  <si>
    <t>Doremon Lê</t>
  </si>
  <si>
    <t>100006216787216</t>
  </si>
  <si>
    <t>#goctuvan
Mn ơi, Mình đang xài em Laneige này. Nhưng ít sử dụng tới em che khuyết điểm nên mua 1 hộp như vậy sẽ hơi phí, nên muốn tham khảo đổi qua em Clio. 
Mn cho mình xin ít rw về 2 loại cushion Clio này với ạ ❤️
Mình cảm ơn mn. Cảm ơn ad đã duyệt bài của mình ạ ^^</t>
  </si>
  <si>
    <t>2019-12-22 06:10:40</t>
  </si>
  <si>
    <t>Đỗ Hà</t>
  </si>
  <si>
    <t>100005499463485</t>
  </si>
  <si>
    <t>Chào mn, bạn em bị mụn như thế này chủ yếu là thâm , tấy đỏ (Bọn em đang ở nc ngoài nên không tiện đi thăm khám) vậy có sản phẩm nào trị hết không ạ?</t>
  </si>
  <si>
    <t>2019-12-09 08:43:57</t>
  </si>
  <si>
    <t>100026959113629</t>
  </si>
  <si>
    <t>Chuyện là mẹ em dùng kem trộn cũng hơn chục năm rồi, khoảng 6 tháng trước mẹ em đổi qua dùng kem của L'oreal Paris loại Revitalift da mẹ em cũng dần bớt ngứa hẳn, em thấy da mẹ em cũng bớt đỏ hơn. Ấy thế mà vài tuần trước mẹ em dùng lại kem trộn :( loại mủ trôm gì ấy, em khuyên lấy khuyên để, mẹ em kêu là ''Tao dùng cái này nó đâu có ngứa đâu, không phải kem trộn đâu''. Em phân vân 2 loại kem này định mua cho mẹ không biết cái nào dùng hiệu quả hơn ạ. Em nhìn mẹ em dùng hủ kem kia mà em bất lực luôn
#aks #lorealparis #olay</t>
  </si>
  <si>
    <t>2019-10-25 06:45:51</t>
  </si>
  <si>
    <t>Cá Canh Chua</t>
  </si>
  <si>
    <t>100007956135425</t>
  </si>
  <si>
    <t xml:space="preserve">#olay #lorealparis #aks </t>
  </si>
  <si>
    <t>Dạ mng e là thành viên mới . 3 tháng nay e bị mụn và ko biết phải làm sao , trc giờ e chưa sài sản phẩm j . Mng tư vân giúp e vs ạ . Em cảm ơn nhiều</t>
  </si>
  <si>
    <t>2019-12-08 11:41:14</t>
  </si>
  <si>
    <t>Đức Huy</t>
  </si>
  <si>
    <t>100034665570644</t>
  </si>
  <si>
    <t xml:space="preserve">
#ask
#trietlong
Mong ad duyệt bài giúp em ạ🙏🙏
Các chị ơi có chị nào từng đi triệt lông về mà thấy bị ngứa với lại vẫn bị tình trạng lông mọc ngược không ạ. Em còn bị nổi đỏ hết cả ở chân. Em mới triệt được 3 lần nhưng hầu như lần nào về em cũng thấy tình trạng này. Em nghĩ là do tay nghề của nhân viên vì spa để cho bél lớp 11 làm cho em😭😭 tay nghề thì quá yếu, có lần chưa cạo hết lông mà nó đã bắt đầu triệt🤦‍♀️ . Em có ý kiến với chị chủ thì chị ý bảo cứ yên tâm rồi nó sẽ hết mà em lo quá . Tại em thấy càng cạo xong nó lại càng cứng hơn chứ chả thấy hết lông mấy, khéo còn bị viêm lcl nữa. Theo các chị em nên dừng lại luôn không hay vẫn tiếp tục để xem thế nào ạ😞</t>
  </si>
  <si>
    <t>2019-09-14 22:37:28</t>
  </si>
  <si>
    <t>Xin chào mọi người. Đến thời điểm bây giờ em đã bị mụn 6 tháng thật sự quá mệt luôn ạ nó cứ lên rồi xuống k bao giờ hết hẳn hết vài ngày thì lại lên nữa ạ. Vì em hs k có nhiều đều kiện để mua nhiều đồ skincare hay đầu tư dù em rất muốn em cũng tìm hiểu rất nhiều luôn ạ. Ăn uống em cũng cố gắng cắt giảm tinh bột đường dầu mỡ ngọt cay mặn em cắt hết chỉ ăn rau uống nhiều nước lâu lâu em mới dám ăn lại mấy đồ chiên rán hay ts thôi ạ. 
Các anh chị có thể gợi ý những sp ok mà giá thành rẻ rẻ đc k ạ vì cách thuyên giảm đc k ạ nhiều khi nản lắm luôn á. Em cảm ơn 🥰🥰</t>
  </si>
  <si>
    <t>2019-12-13 23:27:35</t>
  </si>
  <si>
    <t>Mn có cách nào trị rụng k ạ dạo gần đây tóc mk rụng ghê quá săp hói đầu luôn r😰😌🤔mk chỉ ms 16t thôi huhu
#đepchanhxa#help</t>
  </si>
  <si>
    <t>2019-10-04 04:27:14</t>
  </si>
  <si>
    <t>Pham Anh</t>
  </si>
  <si>
    <t>100025380497753</t>
  </si>
  <si>
    <t xml:space="preserve">#help #đepchanhxa </t>
  </si>
  <si>
    <t>Có chị em nào biết cách giảm mỡ bụng không chỉ cho em với em cảm ơn nhiều chứ nhìn bụng như bầu mấy tháng ấy 😭😭😭</t>
  </si>
  <si>
    <t>2019-12-09 00:26:32</t>
  </si>
  <si>
    <t>Phương Uyên</t>
  </si>
  <si>
    <t>100042833972115</t>
  </si>
  <si>
    <t>CÓ HAY KHÔNG ĐỒ TRỘN DƯỚI MÁC BÁC SĨ DA LIỄU? 
Xin thân ái bóp đuýt các chị em trong hội. Hôm nay em xin được kể về 1 trải nghiệm khám da liễu tại phòng khám tư của một bác sĩ da liễu khá nổi tiếng chỗ em, người mà chỉ cần search google sẽ nằm trong top 3 bác sĩ khám da liễu tốt nhất thành phố.
Ngày trước làn da là một trong những thứ mà em tự hào nhất trên cơ thể mình, mà do các thói quen xấu như thức khuya + thích đồ ngọt nên theo thời gian càng ngày càng lớn tuổi thì mức độ lão hóa tăng nên da dẻ ngày càng xấu, xấu tới nỗi bị người yêu bỏ luôn các chị ạ, nhưng thôi, em không bóc phốt người yêu cũ nên xin được quay lại vấn đề chính. Em được các chị trong  công ty giới thiệu phòng khám của bác sĩ này, lên mạng search thì thấy cũng khá nổi tiếng nên hôm nay đã quyết tâm đi thử.
Vào phòng khám ngồi chờ gọi số khoảng nửa tiếng thì được diện kiến dung nhan bác sĩ. Mà ai đời bệnh nhân vào khám mà bác sĩ còn ngồi bấm điện thoại các chị ạ, bác bấm được một lúc xong chợt quay sang nhìn em như kiểu chả biết em vào từ lúc nào rồi bảo em quay trái quay phải cho bác ngắm tí. Xong bác hỏi có đùng sữa rửa mặt không? Em bảo đang dùng Cetaphil thì bác trở nên hốt hoảng bảo "Ngưng, ngưng ngay, mặt này không dùng được gì hết nhé!". Rồi hỏi qua quýt thêm vài câu nữa và kê đơn cho em, rồi bác hỏi thêm ngành nghề công việc của em, em bảo em làm nhân viên văn phòng, bác gật đầu rồi ghi luôn giá tiền vào tờ đơn thuốc. Em có cảm giác như bác này sẽ đưa ra giá tiền phụ thuộc vào từng đối tượng bệnh nhân, giàu thì lấy nhiều mà nghèo thì lấy ít hơn???
Vì kiểu khám rất là có lệ này nên em định ko mua thuốc mà về luôn, thì vừa ra khỏi phòng khám có 1 ông chú (người gọi số bệnh nhân) giật luôn đơn thuốc của em đưa cho cô ở quầy bán thuốc. Quầy thuốc còn có 1 anh con trai nhìn khá đô con cứ lườm lườm, em sợ vcl nếu ko mua thuốc lại có chuyện nên đành bấm bụng mua luôn.
Thuốc em nhận được là 3 vỉ kháng sinh (giá thị trường tầm 8k/vỉ) và 2 lọ thuốc tự chế như đồ trộn. Nhìn khá đáng nghi nên em vẫn chưa dám dùng. Các chị em hội mình có ai đi khám da liễu mà gặp tình trạng như em ko ạ? Em có nên sử dụng 2 lọ thuốc bôi được đưa cho ko? Hiện tại em đang dùng chấm mụn của Sakura và trị sẹo thêm Hiruscar, mong các chị đẹp cho em lời khuyên.
Xin bóp đuýt cảm ơn các chị &lt;3</t>
  </si>
  <si>
    <t>2019-09-24 12:15:46</t>
  </si>
  <si>
    <t>Khanh Mai</t>
  </si>
  <si>
    <t>100035853851127</t>
  </si>
  <si>
    <t xml:space="preserve"> 
#gocnhova
Mọi người ơi giúp em với ạ 😭 
Em bị thuỷ đậu từ đầu tháng 11 nhưng em xui là nó chỉ nổi trên mặt nhiều còn tay chân hầu như không có. Đến hôm nay lành rồi thì mặt em thẹo thâm không ạ mặc dù e cũng có kiêng cử và sức thuốc dermatix .
Mặt đang lành lặn bây giờ lại thẹo thâm nhiều như vậy thực sự e buồn lắm luôn. Mọi người biết thuốc gì trị thâm thì chỉ cho e với 😞😞
Mong ad duyệt bài giúp e ạ</t>
  </si>
  <si>
    <t>2019-11-22 07:27:55</t>
  </si>
  <si>
    <t>Thỏ Ngọc</t>
  </si>
  <si>
    <t>100029912663879</t>
  </si>
  <si>
    <t xml:space="preserve">#gocnhova  </t>
  </si>
  <si>
    <t>- mọi ngừi ơi quả chân em vừa bị như thế này, mng chỉ em cách chăm sóc, ăn gì với dùng thuốc gì để không để lại sẹo dc không ạ 😭 thực sự em rất thường xuyên phải mặc váy và chân em mà có sẹo chắc tương lai em sẽ đen tối quá 😭 em xin cảm ơn trc huhu
#hoidap</t>
  </si>
  <si>
    <t>2019-12-01 03:00:32</t>
  </si>
  <si>
    <t>Anh/chị cho em hỏi tóc em có gàu và xơ/cứng thì nên dùng dầu gội đầu hay sản phẩm nào ạ? Em cảm ơn nhiều!</t>
  </si>
  <si>
    <t>2019-11-30 02:12:19</t>
  </si>
  <si>
    <t>Bùi Ngọc Nhứt</t>
  </si>
  <si>
    <t>100006852825946</t>
  </si>
  <si>
    <t>Em bị tình trạng mọc mụn the này ag ai có kinh nghiệp chỉ em với ag 
Mụn mọc li ti cảm giác hơi ngứa</t>
  </si>
  <si>
    <t>2019-12-13 02:51:06</t>
  </si>
  <si>
    <t>Trịnh Kim Hương</t>
  </si>
  <si>
    <t>100013294149152</t>
  </si>
  <si>
    <t>M. N ơi cho e hỏi lsao để mờ tàn nhang ạ 
#tannhang
#help</t>
  </si>
  <si>
    <t>2019-12-11 13:12:54</t>
  </si>
  <si>
    <t>Nguyễn Diệu Ngọc</t>
  </si>
  <si>
    <t>100003127629684</t>
  </si>
  <si>
    <t xml:space="preserve">#help #tannhang </t>
  </si>
  <si>
    <t>#help 
#skincare
Giúp e với ạ da e hiện giờ mụn và đầu nhìu lắm ạ ... mọi  tv chỉ e skincare với ạ .. da e thuộc dạng mụn dầu nhạy cảm lắm ạ ☹️
'' chuyện là trc đây e không hề có mụn ạ. Ngủ một đêm tới sáng nó lên Mụn chi chít ửng đỏ cả mặt và cổ ạ. E hoang mang quá. Nghỉ là dị ứng nên đang dùng thuốc dị ứng và mát gan, và đc bạn gt dùng( Mai thảo mộc) đc 3 ngày rồi ạ.. Thấy mụn thì ngừng lên nhưng mặt đen đi và có biểu hiện thâm sẹo ạ 😭😭. Mong mn tư vấn và cho e một lời khuyên chứ giờ e hoang mang ko biết phải dùng sp nào ạ 🐣🐣🐣🐣
Mong ad duyệt bài. 
E cảm ơn ạ.</t>
  </si>
  <si>
    <t>2019-09-08 03:21:11</t>
  </si>
  <si>
    <t>Ni Ni</t>
  </si>
  <si>
    <t>100005716513567</t>
  </si>
  <si>
    <t>#reviewcollagen
Có chị nào sử dụng loại collagen Cho em xin review với ạ 
Em thấy bên Hàn đang sale định mua dùng mà thấy em này ít bài review quá 😭</t>
  </si>
  <si>
    <t>2019-11-01 05:45:20</t>
  </si>
  <si>
    <t>100005045114305</t>
  </si>
  <si>
    <t xml:space="preserve">#reviewcollagen </t>
  </si>
  <si>
    <t xml:space="preserve"> #viemdadiung  #Loreal
Mong ad duyệt bài và xin các bạn lời khuyên ạ.
Mình là một tín đồ của Loreal từ sữa rửa mặt, kem dưỡng, toner, tẩy trang đến kem chống nắng và kem mắt. Mình dùng bộ sản phẩm như trong hình cũng được 2 năm rồi. Mọi thứ đều ổn cho đến 2 tuần trước mặt mình nổi các mảng đỏ và ngứa. Khi đi khám phòng khám chuyên về da liễu thì bác sĩ nói mình vị viêm da dị ứng do dùng mỹ phẩm có chứa corticoid :(
Mình thật sự ko tin được luôn. Loreal làm sao có corticoid đc ạ? Hay là do trong quá trình sử dụng mình ko tẩy trang kỹ nhỉ?
Quy trình của mình là sáng dùng essance, toner, kem dưỡng, kcn. Trưa về mình tẩy trang, rửa bằng srm r dùng tiếp kem dưỡng vs kcn. Buổi tối sau khi tẩy trang thì mình dùng lại essance, toner và kem dưỡng dành cho ban đên. 
Nếu dị ứng đồ ăn thì mình chắc chắc là ko rồi ạ
Sau khi khám, bs cho 5 ngày thuốc và srm + tuýp dưỡng da của Isis Phamar như trong hình. Mình dùng đến nay đc 5 ngày, mặt mình k còn đỏ và ngứa nữa.
Nhưng vấn đề mình phân vân nhất là có nên bỏ hết các sản phẩm của Loreal đang dùng mà chuyển hẳn qua Isis phamar ko ạ? Vì món nào mình cũng còn nh lắm, bỏ đi thì tiếc quá. Với minhd k nghĩ là do mình dùng Loreal đâu. Mình định sau 2 tuần mặt hết hẳn sẽ dùng luân phiên cả 2 nhưng chưa biết sẽ luân phiên ntn. Hoặc dùng hết 2 tuýp Isis pharmar r dùng cho hết Loreal rồi tính tiếp. 
Mong các bạn cho lời khuyên chứ mình đã sử dụng Loreal 2 năm r, bây giờ kêu bỏ luôn thì phân vân quá. Mình cám ơn ad và mọi người nhiều!</t>
  </si>
  <si>
    <t>2019-11-30 16:35:20</t>
  </si>
  <si>
    <t>Lục Ngọc</t>
  </si>
  <si>
    <t>100002322967210</t>
  </si>
  <si>
    <t xml:space="preserve">#Loreal #viemdadiung </t>
  </si>
  <si>
    <t>Mong ad duyệt ạ ! 
Chuyện là mấy tuần trước em có nghe lời bạn xài dầu gấc đẩy mụn, đang xài được tầm 1 tuần thì mặt em nó lên kinh dị quá nên mẹ em vứt, không cho em xài nữa ! Thế là từ đó mụn ngày càng lên ( chưa nhiều như bây giờ ) 
Sau đó em có đi xem cái cmt khuyên các bạn bị mụn xài này xài kia ý ạ, rồi em được 1 chị chỉ cách cho hết mụn bảo là làm theo sẽ đỡ mụn! Chị có chỉ xông mặt đồ này nọ, bảo là em đừng đi nặn nát hết mặt nên em cũng không dám đi !! Mà qua 1 tuần nó tệ như này nên em cũng không dám dùng gì nữa :((
EM CÓ NÊN ĐI SPA NẶN MỤN KHÔNG Ạ ? 
Em phân vân dữ lắm mà không biết phải làm sao, người bảo đi nặn đi, người thì kêu mặt ghê quá không nên nặn sẽ nát mặt !! 
Mong anh chị cho em lời khuyên :(( Em cảm ơn !! 
Edit : Nhỏ em em vừa đi nặn ở Hasaki Spa bảo tốt nên em cũng định hỏi xem spa đó như thế nào ạ.</t>
  </si>
  <si>
    <t>2019-11-26 15:28:35</t>
  </si>
  <si>
    <t>Thảo Nguyên Nguyên</t>
  </si>
  <si>
    <t>100011811167752</t>
  </si>
  <si>
    <t>#matlech
:( M.n có thấy mắt em lệch không ạ ? Em chẳng dám nhìn lại luôn ấy ạ, em thực sự buồn khi đôi mắt là cửa sổ tâm hồn mà của em thì Như chỉ có thôi ạ :( em biết là em mấy maens hơn những ng khác rất nhiều, nhưng nhìn vaof tổng thể mặt em chans lắm ạ, da đã xấu rồi 😔 Em chỉ muốn hỏi là  trong group có ai biết baid tập naod giúp mặt đỡ lệch không ạ ?  
Theo như em biết thì mắt em bên trái chỉ cần làm sao cho mí em nó tròn mí Như bên phải là đc ạ :(  hoặc ai biết giải pháp thì giúp em vs :( , em còn là svien nên chưa có đk thẩm mỹ ạ 😔
Em cảm ơn m.n nhiều</t>
  </si>
  <si>
    <t>2019-12-21 18:02:01</t>
  </si>
  <si>
    <t>Mạc Nhiên</t>
  </si>
  <si>
    <t>100016309570489</t>
  </si>
  <si>
    <t xml:space="preserve">#matlech </t>
  </si>
  <si>
    <t>#tuvan
#dabichamngua
Trong nhóm mình không biết có chị em nào bị tình trạng như mình không,cực kì mệt mỏi và chán nản.Khoảng vài tháng gần đây da mình bị ngứa và đỏ như hình,khám da liễu tphcm,da liễu trung ương chuẩn đoán viêm da cơ địa,uống và bôi thuốc+kem dưỡng ẩm+ sữa tắm cho da nhạy cảm nhưng không thuyên giảm.Mình tiếp tục khám ở viện kí sinh trùng sốt rét thì kết quả xét nghiệm đều tốt,không tìm ra bệnh.Trước khi bị ngứa mình có dùng sữa tắm White Conc tầm 10 ngày thì da bắt đầu ngứa nên mình ngưng sử dụng.
Hiện tại mình đang rất bế tắc,mong chị em có kình nghiệm chia sẻ giúp mình,please !!!</t>
  </si>
  <si>
    <t>2019-11-02 00:19:41</t>
  </si>
  <si>
    <t>100003840568784</t>
  </si>
  <si>
    <t xml:space="preserve">#dabichamngua #tuvan </t>
  </si>
  <si>
    <t>#ask #mụn
Em bị kích ứng mĩ phẩm, bị nổi mụn liti khắp mặt và có đầu trắng. Hiện tại em đã ngừng hết mĩ phẩm rồi nhưng vẫn bị lên. Ai từng bị như em cho em xin tip điều trị với ạ. Nếu mà đi da liễu thì mất khoảng bao nhiêu tiền ạ, em giờ sinh viên nên không có có điền kiện ạ =((</t>
  </si>
  <si>
    <t>2019-12-21 09:35:13</t>
  </si>
  <si>
    <t>Nguyễn Liên</t>
  </si>
  <si>
    <t>100007224214849</t>
  </si>
  <si>
    <t>Mặt e đi bắn laze được 1 tháng  bị tăng sắc tố,trước mấy vết nám k đậm như vậy. Mn ai biết chỉ giùm e sản phẩm trị tăng sắc tố với ạ.</t>
  </si>
  <si>
    <t>2019-11-14 04:34:14</t>
  </si>
  <si>
    <t>100026931515030</t>
  </si>
  <si>
    <t>Chào cả nhà ạ
Năm nay e 23t nhưng do e hay thưca khuya nên xuất hiện nhiều nếp nhăn dài, và sâu dưới mắt, ngàu càng lộ rõ ạ, mn cho e hỏi là có cách nào hoặc có sản phẩm nào có thể dùng được trong trường hợp của e k ạ, e cảm ơn nhiều lắm ạ.</t>
  </si>
  <si>
    <t>2019-12-19 05:14:11</t>
  </si>
  <si>
    <t>Doanh Doanh</t>
  </si>
  <si>
    <t>100009396229736</t>
  </si>
  <si>
    <t>🌼Có ai có sản phẩm nào chuyên trị sẹo rỗ không ạ? Mách e với 😥 e lăn kim tách đáy sẹo rỗ rồi mà vẫn không hết nản quá .</t>
  </si>
  <si>
    <t>2019-12-19 10:30:41</t>
  </si>
  <si>
    <t>Muội Muội</t>
  </si>
  <si>
    <t>100041688752295</t>
  </si>
  <si>
    <t>Da mình bị dính thuốc rượu và kem trộn, mình đã cai được và đang rất cần một loại phục hồi da hư do kem trộn. 
Mọi người ai dùng loại nào tốt rì viu cho mình với.
Mình có dùng kem dưỡng hạt ý dĩ của nhật này nhưng hình như không hợp, làm da bị ngứa và nổi hạt li ti trắng ngứa,( triệu chứng của dị ứng mỹ phẩm) giúp mình với mình đang tress lẳm.
Rất mong sẽ được duyệt bài. Cảm ơn amin rất nhiều</t>
  </si>
  <si>
    <t>2019-11-10 13:21:11</t>
  </si>
  <si>
    <t>Mộc Lan</t>
  </si>
  <si>
    <t>100007622892103</t>
  </si>
  <si>
    <t>#tritham 
Cho e xin ít review về bị côn trùng cắn ạ e có dùng dầu và môm số thuốc bôi sẹo nhưng k bớt và vẫn còn châm chích chân sẹo  miết e k dám mặc váy mà  quần dài hoài mà từ đó lại bị bít  lcl 😱</t>
  </si>
  <si>
    <t>2019-11-29 00:22:34</t>
  </si>
  <si>
    <t>100007478237155</t>
  </si>
  <si>
    <t>Mọi người ai từng dùng loại này rồi review cho e với ạ.
Hôm bữa chị em mua về cho, em dùng được vài bữa mà sao thấy nó cứ bết bết cái mặt khó chịu lắm ạ nên em ngưng chưa dùng tiếp ạ😌</t>
  </si>
  <si>
    <t>2019-12-13 12:02:25</t>
  </si>
  <si>
    <t>Thanh Hoài</t>
  </si>
  <si>
    <t>100007747086246</t>
  </si>
  <si>
    <t xml:space="preserve">Chào mọi người ạ! Lúc mình 17t bị chàm, khi chữa trị uống thuốc các kiểu, thì các đốt ngón tay và chân mình bị đen, chay và sần như vậy (ở ngoài đen hơn trong hình). Mình dùng đủ mọi cách, hiện giờ mình đang sử dụng tẩy tbc body St.Ives. và dùng sữa dưỡng thể NiVea. Đã dùng 2 chai rồi vẫn ko bớt đi tí nào. Mọi người có cách nào chỉ giúp mình để cho nó bớt đen và mềm da lại ko ạ. Mình cảm ơn. 🥰
</t>
  </si>
  <si>
    <t>2019-12-07 13:32:05</t>
  </si>
  <si>
    <t>Võ Kim Ngân</t>
  </si>
  <si>
    <t>100021262569794</t>
  </si>
  <si>
    <t>#review #hút_mỡ_đùi
Chị em nào mới có quả đùi ếch giống em thì mới hiểu được nó khó chịu như nào, cảm giác 2 cái đùi mình cứ tự cọ vào nhau đau rát, chỉ muốn cắt phăng đi thôi. Các bài tập đùi thì khó mà cũng chả giảm đc mấy (hoặc do em là đứa ko có ý chí :-p)
Sau nhiều lần cân đo đong đếm em quyết định đi hút mỡ đùi, lúc mới hút xong thì cũng chả thấy giảm mấy, còn tím bầm, bì bì, cứng đơ ra, e nản lắm. May mà sau 2 tháng đùi hết tím mềm ra, cũng thấy giảm rõ rệt :D</t>
  </si>
  <si>
    <t>2019-09-23 07:27:59</t>
  </si>
  <si>
    <t>Lê Vân</t>
  </si>
  <si>
    <t>100020829983650</t>
  </si>
  <si>
    <t xml:space="preserve">#hút_mỡ_đùi #review </t>
  </si>
  <si>
    <t xml:space="preserve">
Mọi người ơi ai có cách gì giúp em điều trị cho da khoẻ không ạ ?😞 da em từ trước khá ổn nhưng từ khi đi spa làm mụn đầu đen ở mũi mà nó đưa thuốc rượu về bôi lúc đó em không biết, sau mới biết là thuốc rượu giờ da thành ra như này stress lắm luôn 😔😔</t>
  </si>
  <si>
    <t>2019-09-19 14:47:24</t>
  </si>
  <si>
    <t>100003834973303</t>
  </si>
  <si>
    <t>E năm nay 18 mới nổi mụn đc mấy tháng e có dùng kem trị mụn elbon thấy nó có hiệu quả tốt lắm mà sao bây h mặt e nó lâu hết mấy cái vết thâm này 
Mấy anh chị có sp nào trị thâm hiệu quả chỉ em với em cảm ơn trước ạ</t>
  </si>
  <si>
    <t>2019-12-09 05:11:56</t>
  </si>
  <si>
    <t>Nguyễn Tấn Phúc</t>
  </si>
  <si>
    <t>100022551771237</t>
  </si>
  <si>
    <t xml:space="preserve"> #tips 
Chào mn ạ, nay em đăng lên xin hỏi về cách làm trắng da mặt ạ (cụ thể là vùng trán ạ) :((. Do em đi học về buổi trưa và nón bảo hiểm cứ bị tự tuột xuống cổ nên lộ trán ra và bh nó đen hơn da mặt của em rất rõ luôn 😢 . Thật sự nhìn mất thẩm mĩ lắm ạ 😭 vả lại còn sắp tết nữa nên em ngại bị họ hàng nhìn lắm ạ 😢. 
Với mọi người cho em xin review loại kcn dành cho da mặt nào ngon bổ rẻ k bị bí lcl hay nổi mụn cho học sinh như em với ạ, vì còn hs nên k tậu đc mấy em mắc tiền, chỉ có thể xài loại rẻ thôi ạ. Em cảm ơn 
Mong ad duyệt cho em với ạ</t>
  </si>
  <si>
    <t>2019-12-04 13:34:22</t>
  </si>
  <si>
    <t>100013285297481</t>
  </si>
  <si>
    <t xml:space="preserve">#tips  </t>
  </si>
  <si>
    <t>Rất mong ad duyệt bài hộ em ạ . Em cảm ơn ạ 
Mọi người ơi cho em hỏi tuần trước em có đi phun môi lúc 3 ngày có bong như hình ảnh thứ hai em đăng . Nhưng không hiểu sao được hơn chục ngày môi em có hiện tượng loang thâm như hình thứ 1 ạ em kiêng và ăn uống rất kỹ ạ . Em hoang mang quá moni người ạ gần tết rồi . Mọi người cho em hỏi có phải môi em bị hỏng rồi không ạ
Rất mong ad duyệt bài giúp em 😞</t>
  </si>
  <si>
    <t>2019-12-12 12:40:46</t>
  </si>
  <si>
    <t>Mọi người cho em hỏi, em điêu khắc chân mày nhưng bị lệch như thế này thì có sửa đc ko ạ? Giờ sửa ntn cho đẹp ạ? Nhìn chán ko buồn nói luôn 😭</t>
  </si>
  <si>
    <t>2019-12-02 16:11:18</t>
  </si>
  <si>
    <t>Vo Huong Mai</t>
  </si>
  <si>
    <t>100003191611773</t>
  </si>
  <si>
    <t>Mong add duyệt bài giúp e.
2 tháng trước mình đi lấy mụn tại spa. Da e ít mụn lắm. Chỉ vài 3 cái mụn ẩn thôi nhưng e khó chịu nên đi nặn. Nặn xong tiệm bôi thuốc gì lên chổ nặn e cũng k biết. Từ trưa đến tối mặt e sưng và dị ứng chổ bôi. Mấy hôm sau tình trạng nặng, e phải đi bs. Sau đó hết dị ứng da e bị thâm nặng lắm. E bôi dematix mà đỡ r. Nhưng sau đợt đó da e lên mụn nhiều. Mụn li ti nổi lên e cũng k biết bị gì nữa. Hơn tháng r ạ. Mụn k nặng mà làm cho da mặt k được mịn. Nhìn k giống mụn ẩn... mọi người có thể xem giùm e tình trạng da được k? E cảm ơn</t>
  </si>
  <si>
    <t>2019-12-02 06:05:04</t>
  </si>
  <si>
    <t>Trần Lệ Hằng</t>
  </si>
  <si>
    <t>100011786738039</t>
  </si>
  <si>
    <t>#chữa sẹo bỏng
Mọi người ơi cứu với. Em đàn bà con gái mà do thích làm bánh nên tay rất hay bị bỏng. Điển hình là em vừa bị thêm phát này. Cả nhà tư vấn cho em cách chống sẹo với. Em bôi kem trị sẹo contra gì đó cũng k ăn thua huhu</t>
  </si>
  <si>
    <t>2019-10-02 01:12:35</t>
  </si>
  <si>
    <t>Leah Thanh Tang</t>
  </si>
  <si>
    <t>1848265058</t>
  </si>
  <si>
    <t xml:space="preserve">#chữa </t>
  </si>
  <si>
    <t xml:space="preserve">Chị nào thông thái biết màu son nào như ảnh thì chỉ cho em với. Có phải smashbox out loud không a.
*** Nhiều cmt quá mình rep không hết. Xin cảm ơn sự góp ý của mn ạ.
</t>
  </si>
  <si>
    <t>2019-05-22 15:26:16</t>
  </si>
  <si>
    <t>Thanh Huyền</t>
  </si>
  <si>
    <t>100008291991075</t>
  </si>
  <si>
    <t>Em sinh bé xong bị nám v. Có cách nào xài hết không ạ. Trước e có xài kem sâm.</t>
  </si>
  <si>
    <t>2019-11-30 04:42:08</t>
  </si>
  <si>
    <t>Bích Nhi</t>
  </si>
  <si>
    <t>100038998314111</t>
  </si>
  <si>
    <t>Aaaaa chào mọi người, em dự định là cuối tháng tự thưởng cho mình một thỏi YSL The Slim nhưng thấy khá nhiều người chê son bị khô môi. Không biết group mình có ai dùng qua chưa ạ?
Có thể cho em xin một ít review về màu cũng như chất không huhu 😭</t>
  </si>
  <si>
    <t>2019-11-19 05:45:32</t>
  </si>
  <si>
    <t>100030031204898</t>
  </si>
  <si>
    <t>Cả nhà ơi, cho mình xin ít lời khuyên phải làm sao đây ạ. Lúc trước khi trang điểm, da mình ko mụn, ko thâm, sáng da và Ăn uống healthy nhưng nửa năm đây, do tính chất cv dày đặc,  ăn ít rau, uống nước cực ít nên làn da trở nên mức tồi tệ thế này, bị mụn dưới cổ tập trung. Cả nhà cho mình chút ý kiến phải cải thiện từ đâu ạ, ăn uống như thế nào mới cải thiện hơn nha.</t>
  </si>
  <si>
    <t>2019-11-11 14:11:09</t>
  </si>
  <si>
    <t>Nguyễn Khánh Linh</t>
  </si>
  <si>
    <t>100001139268491</t>
  </si>
  <si>
    <t>Bé nhà mình 20 tháng mấy nay bị nẻ mặt nhiều quá. Nên bôi gì cho bé đc nhỉ cả nhà 🤔</t>
  </si>
  <si>
    <t>2019-12-06 02:04:10</t>
  </si>
  <si>
    <t>Khuyên Trần</t>
  </si>
  <si>
    <t>100003801852956</t>
  </si>
  <si>
    <t>🆘❌ CẢNH BÁO LỪA ĐẢO - Bảo Bảo Store ❌🆘
- Mình vô tình thấy fanpage Bảo Bảo Store này bán set son S.Girl của M.O.I - Hồ Ngọc Hà vs giá #4xx, nhìn sơ qua bài đăng và cái giá là đã đánh hơi mùi lừa đảo rồi 😌 Nhưng mình vẫn inbox cho page đặt hàng để kiểm chứng, giá nguyên set son 499k+ship 20k tổng đơn của mình là 519k 🙂
- Hàng nhận được là 1 chiếc hộp có in logo M.O.I nhưng bên trong là set son 3CE tung của fake lòi luôn 😆 Quả ko ngoài dự đoán =)))
- Vs các bạn nhẹ dạ cả tin, ham đồ rẻ sẽ rất dễ bị lừa vì fanpage có lượng like + cmt + tương tác khá nhiều (chắc là tự tạo ra để lừa đảo cho chuyên nghiệp kkk)
❌Một lần nữa cảnh báo vs các bạn đừng mua bất cứ gì từ page Bảo Bảo Store (mình đã ko còn tìm thấy page này, ko biết có phải bị chặn hay ko haha) để tránh tiền mất tật mang nhé! Ngoài ra xị em nào phát hiện ra page hay ai lừa đảo thì cùng cmt để mn cùng né ra nhaaa!!!
⚠️ Ps..À về set son thì mình đã hoàn lại cho bên ship rồi, vì mình quen shiper khu vực nên đã hoàn trả hàng cho bên ng bán rồi. Mục đích chính của mình là để kiểm chứng sự nghi ngờ lừa đảo của page này, và vì mình thấy có nhiều bạn bè mình truyền miệng nhau về page này bán son M.O.I “rẻ” nên mình muốn bản thân mình là ng kiểm chứng và đăng lên để mn biết mà né ra, ko phải bị tiền mất tật mang..Vậy nha 😇
#LUADAO #CANHBAOLUADAO #LừaĐảo #Cảnh_báo_lừa_đảo #BaoBaoStore #BảoBảoStore #Bảo_Bảo_Store</t>
  </si>
  <si>
    <t>2019-12-06 06:53:29</t>
  </si>
  <si>
    <t>Lê Diễm My</t>
  </si>
  <si>
    <t>100001197017733</t>
  </si>
  <si>
    <t xml:space="preserve">#Bảo_Bảo_Store #BảoBảoStore #BaoBaoStore #Cảnh_báo_lừa_đảo #LừaĐảo #CANHBAOLUADAO #LUADAO #4xx </t>
  </si>
  <si>
    <t>:( Mọi người cho em xin cách giảm cân trong vòng 1 tháng với ah. Do không về nhà vì em ở nội trú trong trường nên không áp dụng chế độ ăn bài bản được mà chỉ ăn đồ ăn mua về như cơm hay hủ tiếu thôi ạ nên em xin cách giảm cân khác ngoài keto hay tập gym ạ. Em hơi tự ti vì ngoại hình nhiều dù cao 1m65 nhưng mà nặng tận 67kg.
#tips #giamcancaptoc</t>
  </si>
  <si>
    <t>2019-09-12 13:50:35</t>
  </si>
  <si>
    <t>Minh Bảo</t>
  </si>
  <si>
    <t>100037556771488</t>
  </si>
  <si>
    <t xml:space="preserve">#giamcancaptoc #tips </t>
  </si>
  <si>
    <t>Xin giúp e với ạ.
E 28t chưa bao giờ biết skincare da e như này.không biết bắt đầu từ đâu.mong mọi ng tư vấn giúp e nên dùng những gì với ạ</t>
  </si>
  <si>
    <t>2019-11-29 12:49:02</t>
  </si>
  <si>
    <t>Hy Vọng Mong Manh</t>
  </si>
  <si>
    <t>100001929611274</t>
  </si>
  <si>
    <t>Chào mọi người. Em năm nay 16 tuổi 
Em thuộc da dầu nhưng vào mùa đông mấy hôm nay da em có hiện tượng căng rát sau khi rửa mặt, bị bong tróc và da không đều màu như thế này, hiện tại em chỉ rửa mặt bằng srm cetaphil thôi ạ 
Vừa bị mụn vừa bị bong da làm em stress kinh khủng, em cũng muốn skincare 1 cách hoàn thiện nhưng không biết phải làm thế nào 
Mọi người giúp em với ạ
Em cảm ơn</t>
  </si>
  <si>
    <t>2019-12-09 14:41:55</t>
  </si>
  <si>
    <t>Kim Tuệ Mẫn</t>
  </si>
  <si>
    <t>100015897785084</t>
  </si>
  <si>
    <t>#kinhnghiem #tiembotox
Ai đã từng tiêm botox hay các pp làm gọn mặt có thể chia sẻ cho em 1 ít kinh nghiệm được không ạ, thực sự em rất phân vân về vấn đề này. Cứ muốn đi làm rồi lại thôi 😩 mà mặt to quá cũng tự ti, giảm cân đi thì mặt em nó lại hốc hác nhìn thiếu sức sống, mong admin duyệt bài 
#edit : do admin duyet bai hoi tre nen em da di lam luon,Review cảm nhận 1 chút của em là quá đau mn ạ đau chảy cả nước mắt ra í, trong khi tiêm phần cơ hay hàm nó giựt giựt đau lắm nhưng 1 hồi thì đỡ, mặt em hiện tại chỉ gọn cỡ chưa tới 10% đâu ạ, sau 3 tuần ngta bảo mới gọn lại được ạ, thật sự cho em tiền làm lần thứ 2 cũng ko dám làm vì nhát kim với đau quá :((</t>
  </si>
  <si>
    <t>2019-06-15 08:58:30</t>
  </si>
  <si>
    <t>100005942749220</t>
  </si>
  <si>
    <t xml:space="preserve">#edit #tiembotox #kinhnghiem </t>
  </si>
  <si>
    <t>Góc cần tư vấn. Môi em bị thâm do cơ địa thì em muốn đi phun collagen làm hồng môi thì có hết thâm ko ạ? Nếu hết thì kéo dài được bao lâu thì bị lại.</t>
  </si>
  <si>
    <t>2019-10-31 15:21:03</t>
  </si>
  <si>
    <t>Ying Su Liao</t>
  </si>
  <si>
    <t>100006396497279</t>
  </si>
  <si>
    <t>Mọi người cho em hỏi dạo này da em bị sần lên khô tróc da rất nhiều. Em có đắp mặt nạ cấp ẩm nhưng vẫn khô và sần ạ
Em skincare khá đơn giản 
Tẩy trang loreal có oil
Srm hada labo màu trắng
Toner thayers rose
Kem dương karcie 
Buổi sáng thì bôi thêm kcn của innisfree tuýt màu hồng nhưng mỗi lần bôi kcn xong thì da e bị khô ạ
Em ở miền bắc nên dạo này nó lạnh mới có những hiện tượng đó ạ.
Mọi người có cách nào chỉ cho em với ạ ko nhìn sợ quá ạ😭 
E vẫn cố gắng uống nhiều nước nhưng vẫn ko khả quan hơn ạ. Em cảm ơn ạ</t>
  </si>
  <si>
    <t>2019-12-11 07:27:43</t>
  </si>
  <si>
    <t>Thị Yến</t>
  </si>
  <si>
    <t>100021836145347</t>
  </si>
  <si>
    <t>Da mình dạo này nổi mụn. Cả nhà ai cho mình xin bí kíp trị mụn + thâm với ạ</t>
  </si>
  <si>
    <t>2019-12-22 05:14:12</t>
  </si>
  <si>
    <t>Trần Hữu Tuấn</t>
  </si>
  <si>
    <t>100005903495231</t>
  </si>
  <si>
    <t xml:space="preserve">
#ask
#cushion
Em hết kem nền nên muốn chuyển sang dùng Cushion, em đang phân vân cushion của Ysl và Dior, or Sulwhasoo chị em nào xài rồi thì cho em ý kiến hai loại này hoặc gợi ý cho em loại nào khác với ạ. Em ít makeup và tiêu chí chọn loại nào: mỏng, nhẹ, semi-matte và ít oxi hoá.</t>
  </si>
  <si>
    <t>2019-08-04 08:16:35</t>
  </si>
  <si>
    <t>Tao Yeu</t>
  </si>
  <si>
    <t>100006140238964</t>
  </si>
  <si>
    <t>#Đẹpchanhsả #ask #vaseline
Mọi người cho mình hỏi là bôi vaseline loại này lên mặt, tay,chân thì có bị lên lông không ạ. Tại mình thấy vaseline có tác dụng dưỡng cho lông mi và lông mày dài lên.</t>
  </si>
  <si>
    <t>2019-10-19 14:25:11</t>
  </si>
  <si>
    <t>Kim Hạnh Lê</t>
  </si>
  <si>
    <t>100006463034339</t>
  </si>
  <si>
    <t xml:space="preserve">#vaseline #ask #Đe </t>
  </si>
  <si>
    <t>Cả nhà ơi. Giúp e với. E bị dính đồ trộn. Sau 1 time da láng bóng thì bây giờ nó thành ra thế này. Mụn mủ mà đau lắm luôn. Ai biết cách j hết mụn hoặc sp j tốt chỉ e với ạ. E cảm ơn. 
Ad duyệt bài giùm e ạ</t>
  </si>
  <si>
    <t>2019-12-23 16:12:08</t>
  </si>
  <si>
    <t>Rom Xu</t>
  </si>
  <si>
    <t>100013714988579</t>
  </si>
  <si>
    <t>#ask #hair
Mọi người cho em hỏi có cách nào để tóc mau dài không ạ ? Lần này em cắt không phải thợ quen nên cắt lố quá ạ. Em cảm ơn mọi người ❤️😢</t>
  </si>
  <si>
    <t>2019-12-03 09:57:08</t>
  </si>
  <si>
    <t>Đặng Thanh Hảo</t>
  </si>
  <si>
    <t>100011079139030</t>
  </si>
  <si>
    <t>#mun#tuvan
Mọi người tư vấn giúp em với ạ. Da em thuộc loại da khoẻ, trước giờ không có mụn. E mới bị lên mụn này được gần 1 tháng. Không phải do dị ứng mĩ phẩm gì đâu ạ vì trc khi lên mụn e không dùng gì kể cả srm. Lúc đầu e nghĩ do e không làm sạch da mặt nên có mụn, nhưng bây giờ e tẩy trang rửa mặt rất kĩ rồi nhưng không thấy đỡ. Đây là da em mới tẩy trang xong. Mn có tip gì trị mụn hay phương pháp gì giúp e ạ e cảm ơn.</t>
  </si>
  <si>
    <t>2019-10-06 16:24:28</t>
  </si>
  <si>
    <t xml:space="preserve">#tuvan #mun </t>
  </si>
  <si>
    <t>#kemchongnang #tuvan 
Mấy c tư vấn giúp e loại kem chống nắng nào dành cho da dầu mụn với ạ , da em nhiều dầu nên e cần 1 loại kcn kiềm dầu tốt , không nân tone và đặc biệt là giá tầm trung thôi ạ vì em còn đi học ạ :((( e đang dùng kcn anthelios của la Roche posay nhưng vẫn đổ dầu như bình thường , với lại mọi người cho e hỏi bị mụn có thể sd phấn phủ kìm dầu k ạ . Em cảm ơn ạ</t>
  </si>
  <si>
    <t>2019-11-19 13:23:30</t>
  </si>
  <si>
    <t>Đức Chu</t>
  </si>
  <si>
    <t>100026713710726</t>
  </si>
  <si>
    <t xml:space="preserve">
#trimun
Chào mọi người em năm nay học lớp 12 em bị mụn từ năm lớp 8 đến giờ cũng được 4 năm rồi 😢 sau bao nhiêu lâu sống chung với mụn thì cách đây 2 tháng em quyết định dùng trị mụn hoa anh đào vì thấy nhiều ng dùng oke nhưng đến hôm qua em lướt thì thấy có người bảo hoa anh đào là kem trộn mà em hoang mang quá  😭 em cũng ngưng dùng thuốc mấy  hôm rồi ạ hôm nay thấy mặt có mụn to xong lại kiểu mụn trắng to to như hình kia không biết có phải  ngưng thuốc nên mụn nó lên không nữa 😭 giờ em rất hoang mang vì sợ mặt bị tanh bành  như mấy loại thuốc kem trộn khác 😭 có chị em nào trị mụn hết rồi chỉ em với ạ em cảm ơn 😷</t>
  </si>
  <si>
    <t>2019-10-30 05:53:36</t>
  </si>
  <si>
    <t>Các anh/chị tư vấn giúp em với ạ.
Mặt em bị mụn + thâm khá nhiều.
Em có đi nặn mụn vài lần nhưng vẫn k khá hơn. Hiện tại em chỉ dùng nước muối sinh lí để rửa mặt ạ. 
Ngoài ra mắt em còn thâm đen nặng nữa.
Tư vấn giúp em cách trị mụn với giảm thâm mắt với ạ.
Em cảm ơn.
#Tuvan #ThamMun</t>
  </si>
  <si>
    <t>2019-12-24 10:45:06</t>
  </si>
  <si>
    <t>Ngọc Phạm</t>
  </si>
  <si>
    <t>100033719093023</t>
  </si>
  <si>
    <t xml:space="preserve">#ThamMun #Tuvan </t>
  </si>
  <si>
    <t>#ask #toc #taytoc #nhuomtoc #phuchoitoc
Mn ơi TvT hè này e có lỡ ăn chơi sa đọa tẩy tóc và bây giờ cũng đã đến lúc quay lại trường rồi :(( trường e thì khá là nghiêm , nhất là đối với việc nhuộm tóc ... 
Tóc e tẩy , nhuộm xanh dương xong bh phai ra màu xanh rêu , vàng , ... và thực sự rất khô và xơ mặc dù e dùng dầu xả mỗi lần gội đầu . Sắp phải đi học r e buộc phải nhuộm lại màu đen nhưng đối với tóc hiện tại của e nếu thêm 1 lớp màu nữa e sợ tóc e k thể sống sót đc nữa ... e cũng mới nuôi đc dài qua vai thôi nên cũng k muốn cắt ạ :(( mn có tips nào chỉ e với ạ :(( hoặc ai biết có chỗ phục hồi tóc nào uy tín mà hiệu quả thì ib riêng giúp e với ạ ❤️ e cảm ơn mn nhiều ạ 😢❤️
Update : hnay e đã đi nhuộm nâu rêu trầm mn ạ (e đeo kính) . E nhuộm nhiều dưỡng và tóc e đã thay đổi và gần như khác biệt hẳn so với ảnh bên kia rồi ạ . Cảm ơn lời khuyên của mn ạ 🥰</t>
  </si>
  <si>
    <t>2019-08-21 02:04:19</t>
  </si>
  <si>
    <t>Trần Thu Hà</t>
  </si>
  <si>
    <t>100033762784939</t>
  </si>
  <si>
    <t xml:space="preserve">#phuchoitoc #nhuomtoc #taytoc #toc #ask </t>
  </si>
  <si>
    <t>Moi người cho e hỏi làm sao trị đc cái đường gân máu này ạ? 2 bên má luôn đây ạ bt thì như hình bên phải nhưng mà căng má lên thì thấy rõ như bên trái. Nhìn sợ quá mn có cách nào bớt k chỉ em với</t>
  </si>
  <si>
    <t>2019-12-19 08:05:35</t>
  </si>
  <si>
    <t>100013226084134</t>
  </si>
  <si>
    <t>Các chị ơi, có ai từng phục hồi lớp màng bảo vệ da thành công chưa ạ 😭
#phuchoi #hydrolipid #mangbaoveda #skincare #chamsocda #baove</t>
  </si>
  <si>
    <t>2019-07-15 08:06:30</t>
  </si>
  <si>
    <t>Dung Nguyen</t>
  </si>
  <si>
    <t>100033421419899</t>
  </si>
  <si>
    <t xml:space="preserve">#baove #chamsocda #skincare #mangbaoveda #hydrolipid #phuchoi </t>
  </si>
  <si>
    <t>#maithaomoc
Tình hình là mình hóng hớt vụ Mai Thảo Mộc và tìm hiểu được các thông tin sau (toàn bộ các hình đều là boss Thuý tự đăng mình xem theo đó rồi gg thêm)
1. Dựa vào chứng nhận nguồn gốc mà boss mtm đăng thì mình google map ra ảnh 1 cơ sở nhỏ có vẻ là spa (hình dưới)
2. Dựa theo chứng nhận nguồn gốc, hoá đơn, đóng gói thì số lượng sản phẩm là 100,000
3. Dựa theo tờ khai hải quan thì thuế là 27%, mình dựa theo mã doanh nghiệp và số tờ khai vào website của hải quan xem chi tiết nộp thuế thì tờ khai này nộp khoảng 300tr tiền thuế. 27% đóng 300tr tính ra toàn lô hàng trị giá 1 tỷ mốt cho 100,000 chai sữa rửa mặt. Tính ra 1 chai 11,000vnđ</t>
  </si>
  <si>
    <t>2019-10-25 00:12:43</t>
  </si>
  <si>
    <t>100042390562521</t>
  </si>
  <si>
    <t>Mấy chế cho em hỏi ăn kiểu như thế này có thể giảm được kg không ạ? Em chỉ cần giảm 3,4kg mà thấy khó quá trời, em ăn rất ít nhưng mãi không xuống được😭😭
➡️➡️Em hy vong được duyệt bài lắm ạ 😭😭</t>
  </si>
  <si>
    <t>2019-11-19 23:59:23</t>
  </si>
  <si>
    <t>Thanh Trà</t>
  </si>
  <si>
    <t>100003889425232</t>
  </si>
  <si>
    <t>Mn ơi có ai biết về việc liệt dây thần kinh số 7 không ạ , e bình thường k để ý nhưng  nói chuyện hoặc chụp cmr thường nó méo khinh khủng . E đang niềng răng để chỉnh lại mà k biết đở k nghe người ta bảo phải cấy chỉ mới hết . K biết e bị bẩm sinh hay do lớn lên đi học ngoài tắm khuya k lau kĩ người mà bị nữa . E đọc trên mạng nguyên nhân chính là do cảm lạnh ạ , với nửa mặt mất cảm giác nhưng mà e thì bình thường vẫn có cảm giác chỉ khi nói chuyện nó nói méo sang 1 bên . Có ai đã từ bị hoặc biết cãh nào chữa không chia sẽ e với ạ .
E chụp thế này cho mn xem kĩ nó lệch nhiều lắm huhu</t>
  </si>
  <si>
    <t>2019-10-24 01:05:33</t>
  </si>
  <si>
    <t>Bảo Anh</t>
  </si>
  <si>
    <t>100036874624467</t>
  </si>
  <si>
    <t>Mọi người ơi giúp em với ạ. Chuyện là em nhận ra không chỉ xài serum là da tự khắc sẽ đẹp hơi muộn. Do da em trước giờ ít mụn nên em không nghĩ là cần nhiều bước chăm da nên em chỉ xài mỗi serum. Cái tật lười nên giờ lãnh hậu quả là da em dần bắt đầu nổi những cục mụn đáng ghét. Mụn nhỏ thì nhiều, mụn to thì 1 2 cục. Em rất ghét. Mong mn giúp đỡ em về việc chỉ em các sp chăm da với ạ. Em không biết nên dùng toner loại nào, và cả kem chống nắng , kem dưỡng nữa.
Mọi người cho em xin vài loại tên sp về Toner và kem chống nắng dùng cho DA DẦU không ạ 😞 thật sự em không hiểu rõ về các loại toner lắm ạ . Mong mn giúp em để có 1 làn da ok ăn tết ạ ... 
#GocReviewsanpham</t>
  </si>
  <si>
    <t>2019-12-01 00:05:08</t>
  </si>
  <si>
    <t>Nguyễn Đoàn Huỳnh Như</t>
  </si>
  <si>
    <t>100010603053905</t>
  </si>
  <si>
    <t xml:space="preserve">#GocReviewsanpham </t>
  </si>
  <si>
    <t>#noimi
Chị em ơi, gần tết rồi em đang tính nối mi tút tát, tư vấn giúp em với. Mi e cũng cong mà hơi bị thưa, em nghiên cứu thì có mấy loại: mi lông chồn (hơn triệu), mi hàn (tầm 400k), mi thái (150-200k).
Em tính làm kiểu tự nhiên thôi ạ, với có bị cộm lắm ko?</t>
  </si>
  <si>
    <t>2019-12-17 09:57:27</t>
  </si>
  <si>
    <t>Vương Thảo</t>
  </si>
  <si>
    <t>100014833724132</t>
  </si>
  <si>
    <t xml:space="preserve">#noimi </t>
  </si>
  <si>
    <t>Không phải b.ó.c p.h.ố.t mà là mình muốn hỏi về sản phẩm này.
Bạn gái này có kết bạn với mình (nick ảo mình dùng để buôn bán) và mình có thấy bạn ấy đăng bán sản phẩm này. Không biết thực hư sản phẩm này thế nào vì mình có tìm thông tin trên google nhưng toàn là khen. Bạn ấy còn livestream cho 2 bé con dùng thường ngày. Mỗi bài đăng đều có người vào bình luận khen sản phẩm, nhưng khi vào những nick khen thì cũng là những người bán sản phẩm này. Mình có vào nói "sao thấy người mua toàn là người bán vậy" thì bị block chưa đầy 5s 😳 
Vậy có ai biết vụ này là sao không? Nó có thực sự tốt và chỉ là do cách bán hàng của họ như vậy thôi?</t>
  </si>
  <si>
    <t>2019-11-29 14:09:18</t>
  </si>
  <si>
    <t>100007812393549</t>
  </si>
  <si>
    <t>C ad ơi, em xin chị đấy ạ, chị duyệt bài hộ em với ạ,e hiện giờ đang khó chịu khi gương mặt em thành ra như vậy ạ, giờ Rối quá e k biết phải làm sao,em cầu xin ad duyệt bài hộ em ạ, mọi người ơi, ai có giải pháp nào để mặt em đc láng mịn k có mụn k ạ, giúp em với, em cảm ơn!!! 
#mongdcchiadduyet
😭😭😭😭😭😭😭🙏🙏🙏
Huhu</t>
  </si>
  <si>
    <t>2019-12-04 08:42:03</t>
  </si>
  <si>
    <t xml:space="preserve">#mongdcchiadduyet </t>
  </si>
  <si>
    <t>#tuvan vì lý do cá nhân nên e xin dùng acc clone ạ.. da em sau khi đi lấy nhân vụn về vẫn còn mụn viêm và mụn mũ.. thì có nên bôi sp gì cho bớt mụn ko ạ.. thấy Duo+ mấy người trên gr bôi đỡ hẳn..
#mong_ad_duyệt</t>
  </si>
  <si>
    <t>2019-11-29 14:04:18</t>
  </si>
  <si>
    <t>Ki Vinh</t>
  </si>
  <si>
    <t>100031006364954</t>
  </si>
  <si>
    <t xml:space="preserve">#mong_ad_duyệt #tuvan </t>
  </si>
  <si>
    <t>Mong ad duyệt bài, cảm ơn ad
Chào mọi người, gần tết rồi mình có mua vài cái quần baggy chất liệu jean với kaki (gần giống với hình bên dưới), nhưng kg biết phối với áo gì cho hợp do mình dáng hơi tròn và thấp cùng với phần eo bánh mì. M.n tư vấn cho mình với, cảm ơn m.n nhiều.</t>
  </si>
  <si>
    <t>2019-12-19 01:00:51</t>
  </si>
  <si>
    <t>Tu Anh Vo Thi</t>
  </si>
  <si>
    <t>100013317812690</t>
  </si>
  <si>
    <t>Em tính mua toner diếp cá như hình , nghe nói dùng da dầu được . Mng ai dùng rồi hay biết rõ về em này cho em xin ít review được không ạ 😥 mong admin duyệt bài giúp em với huhuu:((</t>
  </si>
  <si>
    <t>2019-11-10 08:12:00</t>
  </si>
  <si>
    <t>Tuong Vy</t>
  </si>
  <si>
    <t>100017981370957</t>
  </si>
  <si>
    <t>Chào mọi người ạ. Móng tay của em có rất nhiều da chết và mỗi lần móng dài ra là một nỗi ám ảnh khi bị tước da ạ :((
Em có hỏi và xem tay mọi người xung quanh nhưng chẳng ai có nhiều da chết chỗ móng như em .. mọi người có nói do em thiếu vitamin hay chất chua gì đấy. 
Ai có cách gì giúp em với ạ. Chứ như này nhìn mất thẩm mỹ lắm ạ :(( em càng cắt da đi nó lại càng ra nhiều hơn !!!!
Móng này do em bận đi làm nên chưa kịp cắt chứ bình thường em toàn cắt trụi thôi ạ 😌
#hoidap</t>
  </si>
  <si>
    <t>2019-12-14 23:45:27</t>
  </si>
  <si>
    <t>Na Ty</t>
  </si>
  <si>
    <t>100038614952649</t>
  </si>
  <si>
    <t>Chào m.n ạ.🥺🥺
Tình hình là e bị phỏng dầu. Đc 1 tuần r ạ. Phỏng bị rộp da lên. Bây giờ thì nó tạm thới xẹp em sợ xẹo, thâm là chắc rồi ạ. Anh chị nào biết bôi gì cho nó ổn và đỡ hơn không chỉ giúp e với ạ.😔😔
E cám ơn ạ.</t>
  </si>
  <si>
    <t>2019-11-27 12:40:01</t>
  </si>
  <si>
    <t xml:space="preserve"> #Tips #nếp_nhăn
Các chị cho em hỏi thế này coa đáng lo quá không ạ, có phải là lãi hoá nhanh quá k ạ???  Em còn chưa được 18 tuổi. 
Trước e chỉ bị nếp nhăn mắt thôi, lâu lâu không để ý mà hoảng quá. Hay tại da mùa đông khô nẻ nên mới thế ạ???  
Da em da hỗn hợp dầu, rất dễ lên mụn. Các chị tư vấn cho em các sản phẩm skincare phù hợp với ạ.</t>
  </si>
  <si>
    <t>2019-12-06 20:54:23</t>
  </si>
  <si>
    <t>Rớt Si An</t>
  </si>
  <si>
    <t>100024984911521</t>
  </si>
  <si>
    <t xml:space="preserve">#nếp_nhăn #Tips  </t>
  </si>
  <si>
    <t>#Góchỏihan
- Mọi người ơi cho em hỏi ngón chân em bị gì thế ạ? Bị cũng được 2 tháng rồi ạ. Nó cứ khô rồi có vảy, và bị toét ra khá nhối nhưng mà lúc nhấn vào thì thấy nó đã ngứa ấy 🤷‍♀️ Mọi người có biết cách nào khỏi không ạ, giúp em với, em xin cảm ơn.</t>
  </si>
  <si>
    <t>2019-12-06 14:59:05</t>
  </si>
  <si>
    <t>Đình Đình</t>
  </si>
  <si>
    <t>100015573373549</t>
  </si>
  <si>
    <t>Mong ad duyệt bài giúp em với ạ
Mn ơi, bình thường em xài tone này lọ nhỏ thôi ạ, mà e mua shop khác tỉnh, giờ e mới mua chai tone lớn ở trong tp dùng và bôi lên da tự dưng thấy nóng mặt, không có cảm giác dịu nhẹ như những chai tone nhỏ e xài trước đó. Em mới lấy 2 chai ra so sánh thì thấy có một số điểm khác nhau! Có phải chai tone e vừa mua trúng hàng nhái rồi phải k ạ! Em cảm ơn mn</t>
  </si>
  <si>
    <t>2019-11-27 00:46:40</t>
  </si>
  <si>
    <t>100015567574290</t>
  </si>
  <si>
    <t>Chào mọi người. Tình trạng da e hiện giờ giống hình ạ 😞 e đọc thì bảo là bị sẹo rỗ do nặn mụn. E có đi spa nặn mụn có đỡ hơn nhưng bây giờ lại như hình. Và thêm điều là lỗ chân lông e cực to ạ e tự ti lắm
Cho e xin lời khuyên vs ạ 
Hiện e đang xài tẩy trang bioderma,srm innisfree jeju,toner innis và kcn bioderma ạ 😞 e có nên mua kem trị sẹo ko ạ</t>
  </si>
  <si>
    <t>2019-11-25 00:33:55</t>
  </si>
  <si>
    <t>Heo Súp Bờ</t>
  </si>
  <si>
    <t>100008521937263</t>
  </si>
  <si>
    <t xml:space="preserve">Mặt em khá to với với chiều cao m49 :(( 
Giờ muốn mặt trông nhỏ và trẻ hơn thì nên làm kiểu tóc gì ạ?( Tóc em trẻ ngon và khá yếu. Tóc dài qua vai xíu thôi ạ ) 
Em vẫn là học sinh nha!  Kiểu gì dễ chăm càng tốt ạ .
Đây là những mẫu tóc em thích mà k biết hợp k ạ. ( hehe hơi nhiều :3 ) 
Emcamon :3
#hỏi
#tóc
</t>
  </si>
  <si>
    <t>2019-12-01 09:12:03</t>
  </si>
  <si>
    <t>肖战</t>
  </si>
  <si>
    <t>100044059537670</t>
  </si>
  <si>
    <t xml:space="preserve">#tóc #hỏi </t>
  </si>
  <si>
    <t>#help #trangda 
Cầu cứu 😭
Anh chị em có thể nào review cho em một số loại viên uống trắng da mà anh chị từng dùng qua thấy hiệu quả và an toàn không ạ 😭 em không thể áp dụng cách thoa kem vì da em quá lì và khô, với cả người chưa đủ chất nữa vì em ít ăn rau và uống không đủ nước. Em đang cố ăn rau và uống đủ nước để cân bằng chất lại, nhưng muốn trắng thì chắc phải uống viên uống thôi chứ thoa kem không ăn thua nữa, da em ngậm nắng không chịu nhả, đau khổ quá. Em vẫn ttbc nhưng thoa kem không ăn thua
Đợt em có uống viên trắng da DHC nhưng da lại nổi mụn lên, ngưng lại hết mụn, chắc do em không hợp loại đấy
Giúp em với, em cảm ơn nhiều ạ ❤️</t>
  </si>
  <si>
    <t>2019-08-12 02:25:50</t>
  </si>
  <si>
    <t>100032231862275</t>
  </si>
  <si>
    <t xml:space="preserve">#trangda #help </t>
  </si>
  <si>
    <t>#sosanh #cliocushion #kinhnghiem
Hôm trước xem review của bạn kia dùng Clio cushion thích quá liền hấp tấp lao đi mua để rồi về mới phát hiện ra mình mua nhầm loại ampoule dành cho da khô :)) mình nghĩ chắc nhiều bạn sẽ nhầm như mình vì vỏ chúng nó na ná nhau nên mình đăng lên cho mn cùng biết.
Mình thấy Clio có rất nhiều loại cushion, mình đọc review của các bạn Hàn thì đúc kết có mấy loại được review nhiều nhất là:
-Kill cover FOUNWEAR: Dành cho da dầu và nhiều khuyết điểm, loại này là nhiều review nhất và được khen nhiều ở khoản kiềm dầu và bền màu nhé. Còn về che phủ thì tất cả cushion của CLio m đều thấy được khen nhiều về độ che phủ
-Nudism velvetwear cushion: Dành cho da dầu, ít khuyết điểm, make up nhẹ nhàng tự nhiên hàng ngày
-Kill cover ampoule cushion: Dành cho da khô và nhiều khuyết điểm. Huhu thay vì mua founwear thì mình rước em ampoule nên chỉ dùng được những hôm ngồi máy lạnh thôi chứ cái này dưỡng ẩm nhiều quá nên ko kiềm dầu được
-Kill cover glow cushion: Dành cho các bạn thích cushion kiểu bóng bóng, cái này chắc hợp với mùa thu và mùa đông lắm 
Mình đang đợi em founwear về, hi vọng kiềm được chảo dầu mà chưa 1 cushion nào có thể làm được :)))</t>
  </si>
  <si>
    <t>2019-08-22 03:07:19</t>
  </si>
  <si>
    <t>100004270926733</t>
  </si>
  <si>
    <t xml:space="preserve">#kinhnghiem #cliocushion #sosanh </t>
  </si>
  <si>
    <t>#hoidap 
Chào mọi người em muốn hỏi chút ạ 😞 nọ em bị bỏng bô xe máy xong em thấy mọi người nói là nhẹ thôi không lo nên em cũng bôi thuốc bỏng bình thường thôi ạ. Sau 2 ngày thì nó bị viêm và vết dịch chảy ra có mùi tanh. Đến giờ là gần 1 tuấn là ảnh cuối cùng đó ạ thì vết da non của em liên tục rách và chảy dịch. Giờ em phải làm sao ạ 😞 em khử trùng bôi thuốc các kiểu giờ nó vẫn bị viêm ấy ạ 😞 và cho em cách trị sẹo với và vì bỏng ngay chỗ cử động nhiều nhất của chân nên em cứ da non lên 1 tí hoạt động nhẹ lại rách ạ . Em cảm ơn nhiều ạ</t>
  </si>
  <si>
    <t>2019-09-30 12:22:06</t>
  </si>
  <si>
    <t>Hà Uyển Nhi</t>
  </si>
  <si>
    <t>100011324217627</t>
  </si>
  <si>
    <t>Chào m.n và mong ad duyệt bài viết của e
Vấn đề của e là bắp chân to như cột đình , thấy mọi người con gái  chân thon thả mà mình cảm thấy ghen tị ao ước có đôi chân như vậy, đôi khi cảm thấy bắp chân mk còn to hơn mấy bạn con trai ,khi mặc đầm hoặc mặc quần short cảm thấy rất tự ti ☹️☹️e đang có ý đinh đi spa để giảm bắp đùi mong các chị e có bí quyết gì hoặc spa nào làm nhỏ bắp đùi thì chia sẻ giúp e với ạ</t>
  </si>
  <si>
    <t>2019-12-23 11:02:58</t>
  </si>
  <si>
    <t>Trương Thị Kiều Giang</t>
  </si>
  <si>
    <t>100009642409860</t>
  </si>
  <si>
    <t>Đây là mặt mình khi rửa xong, một lát là khô cong, mọi người xem mình bị sao? Và nên làm gì ạ? 
Mong add duyệt bài</t>
  </si>
  <si>
    <t>2019-12-13 00:45:16</t>
  </si>
  <si>
    <t>Hà Dím</t>
  </si>
  <si>
    <t>100001299008387</t>
  </si>
  <si>
    <t>Mn có thể chỉ cho e cách làm giảm viêm nang lông đc k ạ. E bị khá nhiều ở tay và chân</t>
  </si>
  <si>
    <t>2019-12-07 15:01:54</t>
  </si>
  <si>
    <t>Hoàng Thu Huyền</t>
  </si>
  <si>
    <t>100011466008660</t>
  </si>
  <si>
    <t xml:space="preserve">
#tips #trimun
Mình đã tạm biệt được mấy cái thâm mụn nhờ vào
- hạn chế thức khuya. Tầm 2 tháng trở lại đây mình luôn cố gắng ngũ trước 1h rồi từ từ là 12h rồi bây giờ là 11h45 là mở mắt không lên rồi
- thay đổi skincare routin hạn chế layer nhiều lớp mà tập trung vào làm sạch. Bổ sung BHA vào bước sau toner để làm sạch và chỉ sử dụng oil dưỡng da ko dùng thêm kem dưỡng. Hiện tại chu trình dưỡng da của mình khá đơn giản
1.Tẩy trang bằng Christian Lenart eau micellaire
2. Lau qua nước muối sinh lí
3. Rửa mặt bằng Kiehl's calendula
4. Lau lại bằng beauty water
5. Lau thêm paula'schoice BHA 2% hoặc The ordinary glycolic acid 7% ( dùng cách ngày)
6. Vỗ toner Kiehl's calendula
7. Thoa argan oil Kiara
8. Siêng siêng thì đắp mask giấy...mình có cả thẩy chắc hơn 2 trăm cái đủ loại
Xong.... à hiện tại là mình đang ngưng dùng kcn nha.. vẫn đang tìm loại mới khô thấm nhanh và hạn chế việc gây mụn ẩn... chị em nào dùng kcn ok recoment giúp V nha...
- mình đã đi spa để lấy nhân mụn hàng tuần... và các bạn ơi đừng bao giờ tự ý nặng mụn... xin đừng...
Đó... cũng khá là đơn giản... chúc các bạn mau mau bye bye thâm mụn</t>
  </si>
  <si>
    <t>2019-06-18 14:35:43</t>
  </si>
  <si>
    <t>Trang Thanh Vũ</t>
  </si>
  <si>
    <t>100004001080808</t>
  </si>
  <si>
    <t xml:space="preserve">#trimun #tips </t>
  </si>
  <si>
    <t>#ask
Mọi người ơi, mặt nạ miung lab có phải hàng chất lượng không ạ. E thấy nhiều người nổi tiếng pr nên hơi hoang mang ạ.</t>
  </si>
  <si>
    <t>2019-06-21 07:44:26</t>
  </si>
  <si>
    <t xml:space="preserve">Mình có sử dụng những loại này mà sao thấy mụn nhiều ko hết mụn viêm và mụn ẩn rất nhiều. 
Giúp mình với da bị mụn thì sản phẩm trên hợp  ko vậy và có cần tjeem sản phẩm gì ko.
Giờ trên mặt mụn viêm gần 10 mục mọc dưới cằm 2 bên má và trán mụn ẩn thì điếm ko hết luôn 😑
Mong ad duyệt giúp 😍
</t>
  </si>
  <si>
    <t>2019-12-06 15:30:04</t>
  </si>
  <si>
    <t>Lê Công Hậu</t>
  </si>
  <si>
    <t>100023777520309</t>
  </si>
  <si>
    <t>#son #đỏ_nâu
E muốn tìm son màu đỏ nâu kiểu như màu Taupe của 3ce có loại son thỏi nào lì màu giống như vậy ko ạ. Các chị giúp e với ạ!😘</t>
  </si>
  <si>
    <t>2019-10-28 11:18:33</t>
  </si>
  <si>
    <t>Huong Tra My Nguyen</t>
  </si>
  <si>
    <t>100003043787139</t>
  </si>
  <si>
    <t xml:space="preserve">#đỏ_nâu #son </t>
  </si>
  <si>
    <t>Mn cho mình xin tư vấn chuyện tóc tai 1 xíu nha!
Tóc mình để kiểu như này thì nhuộm màu gì đẹp ạ? Da mình thuộc loại trung bình ko quá đen cũng ko quá trắng! Sẵn mn tư vấn giúp mình cách chăm tóc sau nhuộm luôn nhé vì xưa giờ mình chưa nhuộm lần nào cả!😂😶
Tks mn!❤
#ask #nhuộm_tóc #chăm_tóc</t>
  </si>
  <si>
    <t>2019-12-19 23:26:29</t>
  </si>
  <si>
    <t>100041780170976</t>
  </si>
  <si>
    <t xml:space="preserve">#chăm_tóc #nhuộm_tóc #ask </t>
  </si>
  <si>
    <t>cho e hỏi các chị em nhuộm màu Này có phải tẩy tóc k ạ và e muốn tham khảo mấy màu tóc sáng nổi mà tây nhóm mình ai đã nhuộm cho e xin ý kiến với ạ.</t>
  </si>
  <si>
    <t>2019-11-28 03:18:19</t>
  </si>
  <si>
    <t>Mạnh Giang</t>
  </si>
  <si>
    <t>100030881439982</t>
  </si>
  <si>
    <t xml:space="preserve">
#ask
#vienuongchongnang
#chongnang
Chào các anh chị em. Chống nắng luôn là vấn đề cấp thiết nhưng cũng rất đau đầu. Da em cơ địa dễ lên mụn nên lần nào dùng kem chống nắng dù high end và làm sạch rất kỹ cũng vẫn lên mụn. Em đang cân nhắc mua viên uống chống nắng thấy 2 loại này ổn nhất, nhờ mn tư vấn giúp.
Em cảm ơn ạ.</t>
  </si>
  <si>
    <t>2019-08-01 03:39:28</t>
  </si>
  <si>
    <t>Bảo Hiếu</t>
  </si>
  <si>
    <t>100006462779964</t>
  </si>
  <si>
    <t xml:space="preserve">#chongnang #vienuongchongnang #ask </t>
  </si>
  <si>
    <t>#ask #nặnmụn #sẹolõm #trịsẹo
Mọi người oi, em năm nay 16 tuổi, da em là da nhạy cảm, kiểu da hỗn hợp thiên dầu ấy. 
2/12 em đi nặn mụn và sau 1 tuần thì mặt em khá sạch mụn trên da, chỉ còn lại thâm như trong ảnh ạ
17/12 vừa rồi em đi nặn lần 2 cho sạch hết mụn để trị thâm. Nhưng mà chị ở đó bảo em là da em có mụn viêm ở dưới da ăn sâu ròi nên là phải nặn để tránh mụn ăn sâu hơn, nặn đến hôm nay 20/12 là ngày thứ 4 rồi ạ, da em bắt đầu tróc vảy nhưng hình như bị sẹo lõm mất rồi ạ 😭😭 bây giờ vẫn chưa tróc vảy hết nhưng em sợ nó tróc xong mặt em rỗ như cái bánh đa vừng luôn mất
Ai nghiên cứu giúp em làm sao để trị mấy cái sẹo này với ạ, không biết em đi nặn có ohair đúng đắn không nữa huhu😭</t>
  </si>
  <si>
    <t>2019-12-20 22:15:05</t>
  </si>
  <si>
    <t>Kiều Mạch</t>
  </si>
  <si>
    <t>100011781330750</t>
  </si>
  <si>
    <t xml:space="preserve">#trịsẹo #sẹolõm #nặnmụn #ask </t>
  </si>
  <si>
    <t>#rungtoc
    Chào mọi người ạ, e 16t và bị rụng tóc rất nhiều mỗi khi gội đầu. E bắt đầu rụng từ giữa hè đến nay rồi, e đang dùng dầu gội Dove. Không biết đây là rụng do thay tóc hay dầu gội vậy ạ? Có cách nào để giảm rụng tóc không ạ? Ngày nào gội cũng rụng như thế này em lo quá😭😭. Em cảm ơn mọi người nhiều.</t>
  </si>
  <si>
    <t>2019-09-08 06:54:49</t>
  </si>
  <si>
    <t>Thanh Phan</t>
  </si>
  <si>
    <t>100040537360716</t>
  </si>
  <si>
    <t>#Help #lôngmày
Nhìn mọi người lông mày đen, đẹp mà em mơ ước vô cùng. Em thì không hề có lông mày các chị ạ. Lông nhạt và thưa cực kỳ. Em vô cùng tự ti luôn. Em đã thử dùng dầu dừa nguyên chất nhà làm suốt nửa năm, sau đó chuyển qua bôi nước hành tây, bôi vasaline mà tình trạng không hề biến chuyển.  
Trong hội mình có ai có cách nào cứu vớt cuộc đời em với. Chứ em bất lực quá rồi.
Mong các anh chị duyệt bài cho em. Cảm ơn mọi người.</t>
  </si>
  <si>
    <t>2019-09-09 07:21:21</t>
  </si>
  <si>
    <t>Gia Nghi</t>
  </si>
  <si>
    <t>100027781152377</t>
  </si>
  <si>
    <t xml:space="preserve">#lôngmày #Help </t>
  </si>
  <si>
    <t>mọi người cho em hỏi là giờ làm thế nào để hết thâm với mụn ạ? Với lại mặt em có những mụn đầu đen ở má và da dầu ạ. Em đang dùng sữa rửa mặt của Hatomugi, chấm mụn của garnier, lotion diếp cá ạ.</t>
  </si>
  <si>
    <t>2019-11-15 07:44:14</t>
  </si>
  <si>
    <t>100039012621633</t>
  </si>
  <si>
    <t>#dahỗnhợpthiêndầu #mụn #thâm #mẹchoconbú 
#Đẹpchanhsã❤❤
Mn ơi, da e bị mụn, nhưng tới mùa đông thì nổi nhiều hơn xí, e vừa mới đi lấy nhân mụn về, mọi người tư vấn e serum trị mụn đi ạ. Cứu e với, tết gần tới mặt e te tua rồi. 
Sẵn cho e hỏi e đang cho con bú dùng được  sp The ordanary Niacinamide 10% + Zinc 1% ko ạ
Dưới là hình e mới lấy nhân mụn ra đó ạ. 😢😢😢</t>
  </si>
  <si>
    <t>2019-12-13 08:30:16</t>
  </si>
  <si>
    <t>Oanh Dương</t>
  </si>
  <si>
    <t>100005878833281</t>
  </si>
  <si>
    <t xml:space="preserve">#Đẹpchanhsã #mẹchoconbú #thâm #mụn #dahỗnhợpthiêndầu </t>
  </si>
  <si>
    <t>Lần đầu đăng bài mong ad duyệt 
Chỉ muốn gửi công văn của sở y tế tới các bạn bên Mai Thảo Mộc thôi ak</t>
  </si>
  <si>
    <t>2019-09-05 04:51:18</t>
  </si>
  <si>
    <t>Hà Hậu</t>
  </si>
  <si>
    <t>100003882521799</t>
  </si>
  <si>
    <t>Xin chào mọi người!
Mình hỏi việc này giúp bạn mình, mong nhận được sự giúp đỡ từ mọi người.
Bé này lúc nhỏ bị mụn lẹo nhưng không được chăm sóc kỹ nên để lại thẹo. Bây giờ trang điểm mắt rất khó, nên em ấy rất tự ti. Em ấy muốn đi thẩm mỹ lại mà không biết bắt đầu từ đâu. Mọi người có ai biết cách chữa trị với nơi nào uy tín xin hãy góp ý cho em ấy ạ.
Xin cảm ơn mọi người rất nhiều.
Bài trước quên gắn thẻ nên phải viết lại, Mong anh/chị admin có thể duyệt bài cho em, xin cảm ơn!
#thẩmmỹ</t>
  </si>
  <si>
    <t>2019-12-21 15:09:04</t>
  </si>
  <si>
    <t xml:space="preserve">#thẩmm </t>
  </si>
  <si>
    <t xml:space="preserve">Góc nhờ vả , mình  có  1 số  câu  hỏi  mong  ad duyệt bài  với  nhờ  cả nhà giúp mình,  tại  mình  hơi hoang mang mấy  ngày  gần  đây toàn  nóng  lên  loạt kem trộn :
1,  sản phẩm  mark gel  từ  nha đam  và  cúc  la mã  này, mình  đang dùng , vì  cũng  nhác dùng  nên  đang  thấy  vô thưởng vô phạt,  nhưng  k biết  có  phải  TRỘN  như  colagen  yến  tươi  mọi người  hay  nói  không, 
2,  Có  ai  biết  hãng VANESA  này  không ạ,  bạn  e vừa  đưa  cho  e cái  CC  này dùng,  thấy nói  có dưỡng trắng da,  mà  mình  dùng thấy  mỏng nhe, ổn cho  kiểu  trang điểm  qua  loa  như  mình. 
3, Hiện tại  da mình  đang  mụn ẩn,  có  nên  xông mặt bằng thảo dược k.
Mình xin  chân thành cảm ơn. 
</t>
  </si>
  <si>
    <t>2019-12-14 13:24:25</t>
  </si>
  <si>
    <t>100001036253441</t>
  </si>
  <si>
    <t>Lỗi lầm tối qua rửa mặt rồi rơi luôn cái nhân mụn. Xong e nặn cho hết nhân thì quá tay, làm trầy luôn miếng da huhu. Giờ biết là thànhl sẹo r và thâm đậm nữa. Ai có cách gì hay bày em vs. Help meeeeeed 😭</t>
  </si>
  <si>
    <t>2019-12-09 08:39:22</t>
  </si>
  <si>
    <t>Đặng Thị Hồng Nhung</t>
  </si>
  <si>
    <t>100004086065234</t>
  </si>
  <si>
    <t>#chamsoctoc #moctoc #duongtoc 
Nay ngoi lên đây để chia sẻ 1 chút kinh nghiệm trong việc chăm sóc tóc của mình vì thấy có khá nhiều bạn quan tâm vấn đề này
Vào thẳng vấn đề chính luôn là cách đây khoảng 2 3 tháng tóc mình rụng cực nhiều mỗi lần gội hay vuốt vuốt ngựa tí là lại rụng nắm nắm, cộng thêm stress đủ thứ nên việc rụng tóc càng nặng. Lúc đó mình có đọc được 1 bài của bạn trong nhóm dùng dầu dừa hoặc dầu olive nấu cùng nha đam để ủ tóc nên mình có làm theo để ủ, do cơ địa mình phần trán chữ M nên trông rất hói nên sau 1 tháng ủ tóc bằng dầu olive nha đam thì tóc mình cải thiện hẳn tóc con mọc rất nhiều, phần phía sau ót trộm vía tóc mọc dài ra kiểu 1 lọn làm mình bất ngờ luôn. Nhưng ngoài việc ủ tóc mình còn kết hợp thêm đồ ăn uống vào bên trong nữa . Mình có làm thêm hà thủ ô để uống và uống sữa các loại hạt để kích thích triệt để. Giờ không chỉ tóc mình mọc ra nhiều mà còn đen lắm chưa kể má cứ kiểu má đỏ hây hây vậy 😆 nên rất chim ưng. Bạn nào có điều kiện nên mua hà thủ ô tươi về làm uống vô cùng cải thiện luôn nhé. À mình còn dùng dầu gội kaminomoto của nhật kích thích mọc tóc nên mn tham khảo nhé.
Update: do lần đầu viết bài mình lại quên nhiều nên giải thích thêm cho các bạn
-Dầu olive nha đam hay dầu dừa nha đam: mình dùng dầu olive loại 250ml nên mình dùng 3-4 lá nha đam xay nhỏ . Nấu cho hỗn hợp sệt lại là các bạn có thể dùng cả vài tháng ( bảo quản tủ lạnh).
-Ủ tóc với dầu thì nếu các bạn diêng có thể để qua đêm k vấn đề gì nhưng mình nhiều cv nên ủ 30'- 1h là ok. Chỗ nào hói nhiều hay cần tóc mọc nhiều thì bôi nhiều vào nhé
-Các bạn nên áp dụng phương pháp gội đầu 2 lần. Lần 1 để làm sạch bụi bẩn gàu các thứ. Lần 2 để cho dưỡng chất trong dầu gội thấm sâu vào tóc. Áp dụng cách này tóc mình lâu bết hơn và nên hạn chế dùng lược. Thật ra thì mình bỏ dùng lược lâu lắm rồi.</t>
  </si>
  <si>
    <t>2019-09-17 15:05:40</t>
  </si>
  <si>
    <t>100003730106231</t>
  </si>
  <si>
    <t xml:space="preserve">#duongtoc #moctoc #chamsoctoc </t>
  </si>
  <si>
    <t>Em tính nhuộm đen rêu chơi tết. Có cách nào hay dầu gội gì giữ màu tóc này lâu không các chị?</t>
  </si>
  <si>
    <t>2019-12-26 00:20:07</t>
  </si>
  <si>
    <t>100004727139246</t>
  </si>
  <si>
    <t>#ask #serum
Xin chào mọi người, mình cũng 28 tuổi rồi mà skin care cũng đơn giản lắm. Hôm nay mình muốn lên đây xin ý kiến mấy bạn về 1 loại Serum để dùng chung với combo 3 của Hiruscar. Hiện tại mình đang dùng bộ trị thâm mụn của Hiruscar cũng thấy ưng và hợp rồi nhưng muốn có thêm 1 chai serum để dưỡng thêm. Ai có kinh nghiệm với biết về thành phần phù hợp thì giúp mình với nhé. Da mình là da hỗn hợp, bị thâm, lâu lâu có mụn.
Mọi người cho mình xin ý kiến nhé!</t>
  </si>
  <si>
    <t>2019-09-20 07:52:21</t>
  </si>
  <si>
    <t>Phạm Thuý Hoa</t>
  </si>
  <si>
    <t>100027019692269</t>
  </si>
  <si>
    <t>Cả nhà ơi có ai đã từng bị viêm da tiết bã nhờn(viêm da dầu) không ạ. Mọi người có cách nào trị tận gốc không ạ. Em đi da liễu khám rồi mà bôi thuốc cũng không được cứ gió mùa tới là em lại bị lại, cảm giác khó chịu kinh khủng luôn. Có ai biết loại thuốc nào không ạ chỉ cho e với. Em cảm ơn mọi người</t>
  </si>
  <si>
    <t>2019-11-28 00:26:04</t>
  </si>
  <si>
    <t>Mến Mee</t>
  </si>
  <si>
    <t>100012230112294</t>
  </si>
  <si>
    <t>Chào mn, e là thành mới của nhóm. Tết nhứt tới nơi rồi mà nhìn cái mặt e thấy rầu quá. Chị e mình có cách nào để làm hết mụn k cho e xin lời khuyên với ạ. E cảm ơn chị e ạ.
 #Mụn #Help</t>
  </si>
  <si>
    <t>2019-12-09 00:53:37</t>
  </si>
  <si>
    <t>Hương Hanna'ss</t>
  </si>
  <si>
    <t>100031065813685</t>
  </si>
  <si>
    <t xml:space="preserve">#Help #Mụn  </t>
  </si>
  <si>
    <t>Mn ơi giúp e với ạ
Thời gian trc e có sử dụng toner trị mụn ẩn của some by my,nhưng da e bị mẩn đỏ lên nên e ngừng sử dụng sản phẩm 1 thời gian thì da e cải thiện đc 1 chút 
Sau đó e có tìm đến sửa rửa mặt medi head và toner centella thì da e bị mẩn đỏ lên và nổi mụn lên nhiều ạ. E stress quá. Mn giúp e với ạ :((</t>
  </si>
  <si>
    <t>2019-12-25 08:59:40</t>
  </si>
  <si>
    <t>Đào Thị Lụa</t>
  </si>
  <si>
    <t>100004869198940</t>
  </si>
  <si>
    <t>E xin chào các chị em. Sắp tết rồi e đang có ý định nhuộm tóc. Da e hơi ngăm 1 tí, e muốn nhuộm màu nào cho sáng da mà nhìn trẻ trung 1 tí ạ. Trước e nhuộm màu hạt dẻ sáng rồi ạ. Màu cũ của e đây ạ</t>
  </si>
  <si>
    <t>2019-12-02 06:06:03</t>
  </si>
  <si>
    <t>100013508220449</t>
  </si>
  <si>
    <t>#check #kemtron
Đính chính một xíu kẻo có mấy bạn lại vô kêu mù này nọ 🙂 Mình được tặng hộp này lúc chưa rộ lên kem trộn, lỗi của mình cũng chủ quan không kiểm kĩ là hàng Việt. Còn đó giờ mình đang dùng combo skincare khác rồi 🙂 
Mấy nay rộ lên kem trộn Việt Nam mới sực nhớ đang dùng một combo srm+serum của Đinh Hương (Bà Lão) và cũng đỡ hẳn đi mấy chị em ạ. Tự dưng hoảng hồn nhờ chị em check hộ phải hàng trộn triếc gì đó không ui em lo quá 😞 
Nhân tiện cho em hỏi mụn ẩn li ti quanh má cho da dầu nên chữa cơ bản như thế nào ạ? Chỉ cần chữa cơ bản không cần combo skincare đâu ạ (ảnh hình mụn bên dưới cmt). Chị em giúp em với ạ! Em cảm ơnn</t>
  </si>
  <si>
    <t>2019-10-21 21:17:40</t>
  </si>
  <si>
    <t>Hoàng Hải Anh</t>
  </si>
  <si>
    <t>100005623414909</t>
  </si>
  <si>
    <t xml:space="preserve">#kemtron #check </t>
  </si>
  <si>
    <t>Mong admin duyệt ạ 😔 
Em bị tàn nhang mụn ẩn mụn đầu đen lỗ chân lông to da k đều màu 😩 các bạn nào biết sp nào trị dc hoặc b nào sd đã trị đc tàn nhang không ah chỉ e vs ah 😭 em bt chỉ sài tẩy trang srm kem dưỡng đêm thôi ạ 😞 da e da dầu hỗn hợp vùng chữ T ah 😞 mong mn chỉ dậy e vs ah 😞</t>
  </si>
  <si>
    <t>2019-12-06 07:29:58</t>
  </si>
  <si>
    <t>Hoàngcao KỳDương</t>
  </si>
  <si>
    <t>100024013734043</t>
  </si>
  <si>
    <t>Hi mọi người,
Mình có mục ruồi ngay giữa môi dưới, cười nói chuyện với người đối diện mất tự tin quá
Mục ruồi này đến năm lớp 12 mới có (giờ mình 24t rồi) nên ko biết có phải mục ruồi không hay một vết gì đó nữa, hoang mang quá
Mình muốn xóa mục ruồi này, mà nhiều người khuyên không nên ( do phong thủy, do laser sợ bắn sâu vậy thì môi bị lũng 1 lỗ khác màu thù kì, .... nhiều lí do lắm )
M.n cho mình ý kiến với 
Mình cám ơn
#help #mucruoitrenmoi</t>
  </si>
  <si>
    <t>2019-09-10 04:41:45</t>
  </si>
  <si>
    <t>Bội Bội</t>
  </si>
  <si>
    <t>100003819619445</t>
  </si>
  <si>
    <t xml:space="preserve">#mucruoitrenmoi #help </t>
  </si>
  <si>
    <t xml:space="preserve">
Mọi người ơi cho em xin review về 2 loại dầu dưỡng tóc này với, em đang phân vân về độ dày, độ mướt tóc và độ lưu hương lâu của 2 hãng này ạ</t>
  </si>
  <si>
    <t>2019-08-06 17:25:13</t>
  </si>
  <si>
    <t>Nguyễn Trương Minh Tâm</t>
  </si>
  <si>
    <t>100009640509427</t>
  </si>
  <si>
    <t xml:space="preserve"> #ask #munlung
Mình có đọc trên mạng thấy quảng cáo chai này trị mụn lưng mà không biết có hiệu quả không ạ . Tình hình là mình bị mụn lưng nhiều lắm luôn mà không biết phải làm sao 😭</t>
  </si>
  <si>
    <t>2019-06-18 14:38:21</t>
  </si>
  <si>
    <t>100036203209869</t>
  </si>
  <si>
    <t xml:space="preserve">#munlung #ask  </t>
  </si>
  <si>
    <t>#kemduongam #kemkhoaam #kemduongamchodadau
Cho mình xin review với 😍
     Mình da hỗn hợp thiên dầu, dầu nhiều ở vùng chữ T, nhiều nhất là ở đầu mũi. Da khô 2 bên má và 2 bên rãnh cười (ngay khoé miệng).
    Hiện tại mình dùng kem dưỡng ẩm Innisfree Green Tea Balancing Cream EX ( Hũ màu xanh lá nhạt) thì cảm thấy không đủ “đô” để dưỡng ẩm vùng khô, và vùng dầu thì lại bị bí , gây mụn.
    Mình tìm hiểu được 4 loại này, thấy trên sheis review thấy ok,mọi người có sử dụng qua rồi review thêm cho mình biết với,  giúp mình chọn ra 1 loại đi ạ!!!! 
    Mình phân vân quá, muốn mua hết nhưng kinh tế không cho phép 🤣🤣</t>
  </si>
  <si>
    <t>2019-11-01 03:39:45</t>
  </si>
  <si>
    <t>Panda Nguyen</t>
  </si>
  <si>
    <t>100006455273293</t>
  </si>
  <si>
    <t xml:space="preserve">#kemduongamchodadau #kemkhoaam #kemduongam </t>
  </si>
  <si>
    <t>Mọi người ơi bị như này thì phải làm sao ạ 
Nó cứ bị đỏ lên 
Xong là có vài chỗ em nặn bị sẹo lõm rồi giúp em với ạ</t>
  </si>
  <si>
    <t>2019-11-26 15:28:46</t>
  </si>
  <si>
    <t>Trang Minht</t>
  </si>
  <si>
    <t>100044114707296</t>
  </si>
  <si>
    <t>#trịMụn #helpem
Kể từ ngày em đi spa nặn mụn thì em bắt đầu nổi mụn lên như này luôn ạ. 😞 mặc dù đã cố gắng dưỡng ẩm và cấp nước đủ để thải độc cơ thể bớt rồi nhưng k thể nào dứt hẳn. Các chị cứu em với. 
Các bước skincare của em: 
- Rửa Mặt innis trà xanh
- Toner hồng innis
- Serum trà xanh innis
- Chấm mấy nốt mụn = Acness nắp xanh
Khoảng 2 tiếng em xịt khoáng Evoluderm để cấp nước nữa. Em k dùng kem dưỡng vì sợ nó bịt lỗ mụn. 
Mong AD duyệt bài giúp em với</t>
  </si>
  <si>
    <t>2019-10-21 19:39:08</t>
  </si>
  <si>
    <t>Đoàn Thị Thanh Thảo</t>
  </si>
  <si>
    <t>100004346203605</t>
  </si>
  <si>
    <t xml:space="preserve">#helpem #trịMụn </t>
  </si>
  <si>
    <t>#matnamoi #laneige
Mọi người xem giúp mình với ạ. Mình mới mua một e ủ môi này trên shoppe, xem trên mạng thì bảo ủ môi đựng trong hũ thuỷ tinh nhưng của mình là hũ nhựa. Mình mua với giá sale là 110k bên bán hàng cũng có nói ko có que lấy kem vì đây là sz 8g.
Mình chưa dùng ủ môi này lần nào lên ko phân biệt được hàng auth và fake, nhờ mọi người xem giúp mình xem có phải hàng chuẩn ko ah.
Cảm ơn mọi người!</t>
  </si>
  <si>
    <t>2019-11-14 09:05:33</t>
  </si>
  <si>
    <t xml:space="preserve">#laneige #matnamoi </t>
  </si>
  <si>
    <t xml:space="preserve">
#phunmoi
#fix
Chào các chị em của . 
Chả là mình mới đi phun môi vì quá tốn tiền son, hơn nữa lại không chủ động (ăn uống, hun hít) nên mình quyết tâm phun cho đỡ giống chết trôi :’))
Đen thay là màu môi sau khi bong ra thì viền bị đậm và môi trên đậm màu hơn môi dưới 😭. Nó làm mặt mình bị già và môi chỗ có màu chỗ không nhìn buồn cừoi cực. 
Có chị em nào rơi vào trường hợp như mình và có cách khắc phục không ạ? Cụ thể là mình muốn làm nhạt bớt màu môi trên và viền môi. 
Thank’s Ad duyệt bài và đa tạ các cao nhân chỉ giáo! 😘😘😘</t>
  </si>
  <si>
    <t>2019-05-28 03:00:48</t>
  </si>
  <si>
    <t>Hương Trần</t>
  </si>
  <si>
    <t>100003631958580</t>
  </si>
  <si>
    <t xml:space="preserve">#fix #phunmoi </t>
  </si>
  <si>
    <t xml:space="preserve"> #help
Mọi người ơi cho em hỏi 2 cái "tinh chất" và "serum" này có phải là 1 không? Cả 2 đều 50ml và công dụng y nhau khác từ "trị" và từ "dưỡng" thôi ạ! 
Chai trái có giá gốc 550k thì từ SomebymiOffical 
Chai phải có giá gốc 390k thì từ SomebymiVN (chai này lại thêm tác dụng cải thiện thâm???? )
Em chưa hiểu tụi nó khác nhau chỗ nào lắm mà mỗi bên lại đưa ra thông tin khác biệt đến vậy???</t>
  </si>
  <si>
    <t>2019-08-20 02:46:40</t>
  </si>
  <si>
    <t>Đoàn Thế Vương</t>
  </si>
  <si>
    <t>100008965565479</t>
  </si>
  <si>
    <t>#ask
Các chị đã dùng qua Sắc Mộc Thiên chưa ạ 😃???? Em nghe bảo ko nên dùng mng đã dùng cho em xin review đi ạ. Em da dầu có mụn (nhiều nữa là khác :((( , em có dùng srm của The Body Shop Tea Tree í ạ). Bởi vì đang lắm mụn nên nghe bảo sp này trị đc tốt các chị ạ :(( Nếu như ko nên dùng thì em dùng mask khổ qua được không ạ? Sẵn tiện cho em xin review về mask khổ qua trị mụn ntn với ạ ❤ Em cảm ơn mọi người.</t>
  </si>
  <si>
    <t>2019-06-23 11:31:14</t>
  </si>
  <si>
    <t>Vy Ko Ngu</t>
  </si>
  <si>
    <t>100014270538065</t>
  </si>
  <si>
    <t>Mong ad duyệt bài ạ
Mọi người cho em hỏi nhổ răng khôn thì mình bị đau tầm bnhiu ngày ạ 😅
Em có cái răng ngu mọc như vậy bác sĩ kêu nhổ rồi mà em sợ gần tết nhổ xong đau sưng không ăn uống được</t>
  </si>
  <si>
    <t>2019-12-24 13:20:04</t>
  </si>
  <si>
    <t>Hương Suki</t>
  </si>
  <si>
    <t>100008231682586</t>
  </si>
  <si>
    <t>Mọi người cho em xin bí quyết được không ạ 
Em bị 3 4 năm rồi</t>
  </si>
  <si>
    <t>2019-12-12 08:56:29</t>
  </si>
  <si>
    <t>Nguyễn Thị Ngọc Ánh</t>
  </si>
  <si>
    <t>100006603303129</t>
  </si>
  <si>
    <t>#munan #matnadatset #kemduongkiehls
Mọi người cho em hỏi chút ạ:
Em đang dùng mặt nạ đất sét Kiehl's. Nếu đắp mặt nạ đất sét và nó đẩy mụn ẩn lên thì có nên tiếp tục đắp không hay trị mụn ẩn đã được đẩy lên hết rồi mới tiếp tục đắp tiếp ạ? Nếu đang có 1 2 cái mụn viêm/sưng đỏ nhẹ nhẹ thì có nên đắp k? 
Mụn ẩn sau khi đẩy lên thì nên làm gì, bôi gì để trị mụn ạ?
Da em da hỗn hợp dầu vùng chữ T và nhạy cảm, em 23t thì dùng kem dưỡng chống lão hoá Kiehl's như trong hình có được không ạ?
Mong ad duyệt bài giúp em với ạ. Em cảm ơn ạ</t>
  </si>
  <si>
    <t>2019-08-31 12:39:50</t>
  </si>
  <si>
    <t>Linh Lê</t>
  </si>
  <si>
    <t>100027393694670</t>
  </si>
  <si>
    <t xml:space="preserve">#kemduongkiehls #matnadatset #munan </t>
  </si>
  <si>
    <t>Da e dầu mụn viêm kiểu theo nhóm hết cái này lên cái khác kế bên không biết làm sao mọi ng cho e xin ý kiến về mụn viêm được không ạ e cảm ơn 
E có đi spa nặn nhưng đâu vào đó</t>
  </si>
  <si>
    <t>2019-12-18 23:06:11</t>
  </si>
  <si>
    <t>100004547793228</t>
  </si>
  <si>
    <t>#goctuvan
Có ai trg group bị như hình k ạ? E đi khám bsi bảo nấm nhưng bôi thuốc mãi k hết và còn bị lan rộng hơn nữa ạ. E k ngứa gì cả. Có ai bị rồi thì giúp e vs ạ 😢😢</t>
  </si>
  <si>
    <t>2019-12-22 09:29:50</t>
  </si>
  <si>
    <t>100016960744931</t>
  </si>
  <si>
    <t>#warning 
Mấy chị ơi em mới phát hiện ra group này, lấy tên và hình cover y chang group mình luôn, e vào thì toàn thấy pr kem trộn các thứ, mọi người đề phòng kẻo lạc group nhé. Sáng em thấy em vào thử hết hồn.</t>
  </si>
  <si>
    <t>2019-10-25 06:41:30</t>
  </si>
  <si>
    <t>100005493330933</t>
  </si>
  <si>
    <t xml:space="preserve">#warning </t>
  </si>
  <si>
    <t xml:space="preserve"> #tư_vấn
Đây là mặt em sau 1 tuần thức khuya để ôn thi , xong giờ trán em cả đống mụn như vậy luôn ạ . Mong mấy chị tư vấn cho em các sp để hết mụn ạ :(( . Em cũng có tẩy trang mỗi ngày , có rửa mặt luôn ạ</t>
  </si>
  <si>
    <t>2019-12-24 10:46:07</t>
  </si>
  <si>
    <t>Nguyễn Lan Phương</t>
  </si>
  <si>
    <t>100013525381041</t>
  </si>
  <si>
    <t xml:space="preserve">#tư_vấn  </t>
  </si>
  <si>
    <t xml:space="preserve">Hi mn. Mình muốn đc tư vấn chút. Mong mn ai có tình trạng da vậy đã giảm thì chia sẻ bí quyết giúp mình nha.
Da mình là da hỗn hợp thiên dầu, từ lúc mình cấp nước đủ thì hạn chế đổ dầu ở vùng chữ T rồi, bên 2 má lỗ chân lông cũng ko to ra nữa. Nhưng có một cái ngại là ở vùng dưới mắt và sóng mũi của mình nổi sần li ti như hình mà ko biết gọi là gì, phía sau nó có cồi trắng như mụn nhưng ko nặn được. Tình trạng da như vậy cũng hơn 10 năm rồi. Xin tips chữa của các bạn bị tương tự nha. Đa tạ
</t>
  </si>
  <si>
    <t>2019-12-19 03:02:31</t>
  </si>
  <si>
    <t>Hà Nguyễn Nguyên Hà</t>
  </si>
  <si>
    <t>100003258927887</t>
  </si>
  <si>
    <t>Có mẹ nào uống collagen không ? 
Cho e e xin ít kinh nghiệm . E gần 30 giờ da bắt đầu có tàn nhang . E đang muốn sử đụng nhưng ko biết lên dùng loại nào ok . Mong các mẹ tư vấn cho e</t>
  </si>
  <si>
    <t>2019-12-08 05:43:08</t>
  </si>
  <si>
    <t>Thiên Lương</t>
  </si>
  <si>
    <t>100031929292971</t>
  </si>
  <si>
    <t xml:space="preserve">
#ask #tt #bioderma
Chào các anh đẹp trai và các chị đẹp gái, da em thuộc da hh thiên dầu, da nhạy cảm, có mụn ẩn và mụn đầu đen (sau những lần ngu ngục, ai cho gì bôi cái nấy của em) 😭😭😭 mà em phân vân không biết chọn loại nào giữa xanh và hồng
Cho em hỏi lúc em thử test tt hồng ấy ạ, em hơi ngứa 1 tí ở 2 bên mặt, đoạn gần tai và hàm ấy ạ
Và tiện cho em hỏi luôn à em đang nghiên cứu mua srm gì cho tốt với da em đây ạ
Mong ad duyệt giúp em 😢😢😢
Em cảm ơn mọi người nhiều ạ</t>
  </si>
  <si>
    <t>2019-09-01 13:20:46</t>
  </si>
  <si>
    <t xml:space="preserve">#bioderma #tt #ask </t>
  </si>
  <si>
    <t xml:space="preserve"> #Bergamo #Medicare #SRM 
BERGAMO CÓ PHẢI KEM TRỘN???????
Em ra Medicare thấy hai chai này đang được sale 50%, hốt đại thử. Mà lướt group thấy m,n bào chai SRM Bergamo này là hàng trộn (kiểu kem trộn, ko phải fake nha mn huhu, em chỉ độc cmt thấy v thôi, mn cmt chửi e ghê quá) (edit)
Medicare mà bán hàng trộn nữa, chắc e không biết mua đâu luôn á</t>
  </si>
  <si>
    <t>2019-05-28 03:18:32</t>
  </si>
  <si>
    <t>Nhi Uyên</t>
  </si>
  <si>
    <t>100034884090059</t>
  </si>
  <si>
    <t xml:space="preserve">#SRM #Medicare #Bergamo  </t>
  </si>
  <si>
    <t>#muncam
Em chào mn ạ. Em 18t hồi h chưa sdung sửa rửa mặt hay gì ạ
E bị mụn nhỏ ở trán, mũi và cằm ạ 
Mọi người tư vấn giúp e loại sửa rửa mặt làm sạch da với. Em cảm ơn mn ❤️</t>
  </si>
  <si>
    <t>2019-11-26 10:35:05</t>
  </si>
  <si>
    <t>Ali Đinh</t>
  </si>
  <si>
    <t>100027601876613</t>
  </si>
  <si>
    <t xml:space="preserve">#muncam </t>
  </si>
  <si>
    <t>#chekhuyetdiem #dathammun 
Em định tặng bạn em một cây che khuyết điểm. Mọi người tư vấn giúp em che khuyết điểm nào che được thâm mụn với ạ. Mặt nó nhiều thâm mụn lắm, ra đường nó toàn makeup che đi vì nó ngại. Em cảm ơn mọi người nhiều. Đây là mặt nó lúc trước mới đi nặn về, bây giờ thâm có vẻ nhiều hơn rồi</t>
  </si>
  <si>
    <t>2019-11-24 06:31:59</t>
  </si>
  <si>
    <t>Bư Bư</t>
  </si>
  <si>
    <t>100036127808239</t>
  </si>
  <si>
    <t xml:space="preserve">#dathammun #chekhuyetdiem </t>
  </si>
  <si>
    <t xml:space="preserve"> #help #haircare
Chị em cho em hỏi không biết có ai đã từng sử dụng qua các gội nhuộm thảo dược chưa ạ cho em xin review loại nào tốt với vì tóc em giờ nhả màu nâu vàng trông khá bẩn và hơi cháy vì uốn tóc ấy. Em có đọc thấy bảo là nhuộm màu tối hoặc đen trông đỡ xơ hơn. Tóc em giờ có lẽ chỉ có thể cắt bỏ nuôi mới lại nhưng thật là em có việc phải ra ngoài nhiều ấy nên ko thể để cái đầu trông bẩn bẩn ấy đi đc huhu ( chị em sẵn bày cho em cách nuôi tóc nhanh dài luôn với ạ )</t>
  </si>
  <si>
    <t>2019-11-27 10:36:30</t>
  </si>
  <si>
    <t>Tien Le</t>
  </si>
  <si>
    <t>100009403477021</t>
  </si>
  <si>
    <t xml:space="preserve">#haircare #help  </t>
  </si>
  <si>
    <t>Chào mọi người. Chuyện là em mới xài sữa dưỡng thể, xài ngày đầu thì khá là ok ạ, nhưng đến ngày 2 thì khi thoa sữa lên da, da liền em có dấu hiệu rát (chỉ rát ở mặt) ít phút sau thì hết, khi tắm thì em rất ngứa ạ. Giờ thì da em bắt đầu tróc lên một ít. Chị nào có kinh nghiệm cho em xin ít lời khuyên với ạ. Em cám ơn.
Ad duyệt bài cho em với ạ.</t>
  </si>
  <si>
    <t>2019-11-18 14:07:19</t>
  </si>
  <si>
    <t>Đặng Kim Hương</t>
  </si>
  <si>
    <t>100017257981575</t>
  </si>
  <si>
    <t>Em xin chào các anh chị trong nhóm. Em muốn hỏi mọi người là da em da dầu mụn thì nên dùng sữa rửa mặt, nước tẩy trang và kem dưỡng như nào cho hợp da vậy mọi người. Em thấy mọi người rì viu về 2 sữa rửa mặt trên thì da dầu mụn như em dùng loại nào được và mua ở đâu để không mua phải hàng fake ạ. Em không biết các bước chăm sóc da như nào luôn, mọi người chỉ em với
Em cảm ơn mọi người!</t>
  </si>
  <si>
    <t>2019-11-24 15:36:08</t>
  </si>
  <si>
    <t>100042800751492</t>
  </si>
  <si>
    <t xml:space="preserve">
#seotham
Ở đây có chị nào từng bị thuỷ đậu khong ah . 
Em vừa bị thuỷ đậu kiêng  nhiều nhưng khi nốt đậu bong ra vẩn để lại sẹo thâm trên mặt. 
Không biết có ai từng bị giống em. Hay có cách nào trị thâm do thuỷ đậu không giúp em với
Ad duyệt giúp e với ạ  
#ảnhmang</t>
  </si>
  <si>
    <t>2019-11-16 06:26:05</t>
  </si>
  <si>
    <t>Sam Hara</t>
  </si>
  <si>
    <t>100031986234149</t>
  </si>
  <si>
    <t xml:space="preserve">#ảnhmang #seotham </t>
  </si>
  <si>
    <t xml:space="preserve">
#mayruamat
Chào hội chị em, nay mình muốn chia sẻ chút ít trải nghiệm của bản thân về máy rửa mặt ( hình ảnh mượn trên mạng)
Nếu những ai còn đang băn khoăn về việc có nên dùng máy rửa mặt hay không thì mình khuyên là có, đặc biệt với những người có mụn cám và mụn đầu đen như mình. Đối với cá nhân mình sau khoảng 1 tháng sử dụng thì mụn cám ở 2 cánh mũi và cằm giảm hẳn, giảm một cách rõ rệt. Sau khi rửa cảm thấy da mịn hơn ko còn ráp như lúc trước. Còn trắng thì chưa thấy trắng với mình nghĩ máy rửa mặt chỉ có chức năng làm sạch thôi còn làm trắng thì là chức năng của kem và quy trình dưỡng da rồi.
Máy rửa mặt mình dùng là của mini2 của Foreo, hãng này nổi tiếng và đẳng cấp nhất trong các dòng máy rửa mặt nhưng giá của em này khá cao tầm 3 triệu hơn 1 cái máy đó.
Hiện nay trên thị trường có rất nhiều loại máy rửa mặt, với lại cơn sốt của em này cũng khá lớn vì thế mà hàng nhái nhiều vô kể. Nếu bạn có ý định mua máy của foreo thì nên đặt trên web của Foreo cho uy tín còn nếu mua hàng xách tay thì cần tìm hiểu thật kỹ thật kỹ, nhớ là thật kỹ nha. Bạn cũng có thể nên youtube để xem cách hướng dẫn phân biệt máy thật và giả. Chứ bỏ một khoản tiền lớn ra mua mà vớ phải hàng giả thì đúng là cay cú lắm.
Ngoài foreo còn nhiều hãng có giá thành mềm hơn nhưng mình thì vẫn thích em kia vì những thông tin liên quan cũng như công dụng được công khai khá rõ ràng và chi tiết
Nghe nói máy này dùng được những hơn 10 năm cơ, mình mới dùng nên ko giám chia sẻ về độ bền nhưng thấy tính tiện dụng và khả năng làm sạch thì đúng là quá tốt.
Ah mình thấy nhiều người trên hội của mình cũng bị mụn và hỏi cách chữa thì cá nhân mình thấy ( kinh nghiệm bị mụn 3 năm) cứ chăm chỉ ăn nhiều đồ mát, ngủ nghỉ cho đúng. Đừng có bôi mấy cái thuốc linh tinh hoặc nghe m ng truyền miệng làm gì, cứ đến bệnh viện da liễu để khám và nghe bsi tư vấn. Chữa mụn cần nhất là tính kiên trì có kinh tế vì nó khá tốn đấy.
Chúc hội chị em mình ngày càng xinh đẹp và khỏe mạnh nha
Mong ad duyệt bài chứ đây là lần thứ 3 gửi bài rồi mà chả hiểu sao ko dc duyệt: v</t>
  </si>
  <si>
    <t>2019-04-03 14:44:45</t>
  </si>
  <si>
    <t>Chào Anh/ chị trong hội. Tình trạng da em sau mụn là thâm đỏ và rỗ. Em rất chán nản vì mặt không có mụn nữa nhưng mấy cái nốt này làm em mất tự tin hẳn. Trong hội mình anh/ chị nào có biết mỹ phẩm nào trị được cái này không ạ? 
Em không có điều kiện đi lăn kim và cũng không muốn thực hiện phương pháp này. Em chỉ muốn sử dụng sản phẩm trị thôi, thời gian lâu một xíu cũng đc nhưng nó giảm đi từ từ là em vui rồi. Mong anh/ chị trong hội giúp đỡ em
 #trithammunvaro</t>
  </si>
  <si>
    <t>2019-10-17 12:43:31</t>
  </si>
  <si>
    <t>100015147873605</t>
  </si>
  <si>
    <t xml:space="preserve">#trithammunvaro  </t>
  </si>
  <si>
    <t xml:space="preserve">
#Tưvan
Mong ad duyệt bài gấp ạ 😭
Chào mọi người , đây là tình trạng da hiện tại do hai tháng trước em dính kem trộn và ngưng sử dụng ạ . Dạo này trời lạnh da em bị khô và tróc vảy trắng ửng đỏ và nhiều mụn ẩn. Em có tham khảo các bài viết trong hội nhưng vì khá nhiều nên em khá đâu đầu vì phải chọn lựa sản phẩm thích hợp. Mọi người giúp em tư vấn sản phẩm nên dùng để phục hồi da lại ạ. Cho em xin review về những loại kem cấp ẩm vì da em quá khô( lúc trước da em là da dầu ) . Và em có đi cắt mắt nhưng sài thuốc bôi sẹo không mờ nổi ạ. Mọi người có loại kem sẹo nào tốt chỉ giúp em với ạ. Lần đầu viết bài có sai mọi người bỏ qua cho em nhé 😘 Em cảm ơn ạ</t>
  </si>
  <si>
    <t>2019-12-07 15:03:22</t>
  </si>
  <si>
    <t>Lâm Lyn</t>
  </si>
  <si>
    <t>100035314920930</t>
  </si>
  <si>
    <t xml:space="preserve">#Tưvan </t>
  </si>
  <si>
    <t>#duongda #capam #hoiphuc
Xin chào ace ĐCS, e đang muốn tìm kiếm serum phục hồi da, cấp ẩm, giúp tăng sinh colagen. Mọi người có thể tư vấn giúp em được k ạ? 
Em đang tìm hiểu 2 loại serum là hydro B5 và serum rau má, đã có ai dùng chưa ạ
Em cảm ơn</t>
  </si>
  <si>
    <t>2019-05-22 15:26:28</t>
  </si>
  <si>
    <t>Phạm Long</t>
  </si>
  <si>
    <t>100010212661804</t>
  </si>
  <si>
    <t xml:space="preserve">#hoiphuc #capam #duongda </t>
  </si>
  <si>
    <t>Mọi người tư vấn giúp em với ạ.
Em muốn nhuộm tẩy 1 trong 2 màu này thì màu nào lúc phai nó đỡ xấu hơn ạ
Với cả nhuộm xong thì chăm sóc tóc như thế nào ạ
Em cám ơn
🥰</t>
  </si>
  <si>
    <t>2019-12-03 06:12:32</t>
  </si>
  <si>
    <t>Thiên Sinh Nha</t>
  </si>
  <si>
    <t>100023834930464</t>
  </si>
  <si>
    <t>Mong ad duyệt bài
Cho em hỏi có loại kem chống nắng nào lên tone, có thể làm lớp makup khi đi ra ngoài không ạ?
Đặc biệt không lên mụn vì da em dùng thuốc bắc nên khá nhạy cảm. Em dùng mấy loại vẫn bị lên mụn ẩn. Mọi người tư vấn giúp e với ạ. Em cảm ơn</t>
  </si>
  <si>
    <t>2019-10-24 01:06:32</t>
  </si>
  <si>
    <t>Linh Thùy</t>
  </si>
  <si>
    <t>100027655914075</t>
  </si>
  <si>
    <t>#đepchanhsa
#tóc
#help
E chào mn ạ. Tóc e ít và bị hói 2 bên trán, gần đây e hay bị căng thẳng nên vô thức thường xuyên đưa tay lên bứt tóc. Cái đầu đã hói, ít tóc, nay còn bị 1 lỏm như vậy nữa. Mong các a chị trong nhóm có cách gì bày giúp em với. E cảm ơn ạ..</t>
  </si>
  <si>
    <t>2019-12-21 05:15:20</t>
  </si>
  <si>
    <t xml:space="preserve">#help #tóc #đepchanhsa </t>
  </si>
  <si>
    <t>Da em hỗn hợp thiên dầu nên đang muốn tìm loại dưỡng ẩm ban ngày, e có sử dụng qua innisfree nhưng ra cứ bị bí rất khó chịu.. em đang tìm hiểu 2 loại này mn tư vấn giúp e với ạ... hoặc có loại nào tư vấn giúp e với ❤️</t>
  </si>
  <si>
    <t>2019-11-25 09:10:12</t>
  </si>
  <si>
    <t>Đan Nguyễn</t>
  </si>
  <si>
    <t>100014197753042</t>
  </si>
  <si>
    <t xml:space="preserve">Mọi người ơi cứu mình với, dạo này thức khuya lên nhiều mụn đỏ ntn quá. Mình bị mụn từ khi dậy thì đa số mụn đầu đen. Trước có đi o2 skin 1 thời gian hết mụn còn thâm sau này ko có thời gian đi chăm sóc da lại lên mụn đều đều, da mình da dầu nhiều. Mình phải làm sao đây ạ ? Mong đc ad duyệt, thank! 
 </t>
  </si>
  <si>
    <t>2019-11-13 07:32:07</t>
  </si>
  <si>
    <t xml:space="preserve">#Help #muitet #vuotmui
Chào mn lại là em đây. Mn cho em hỏi mũi tẹt có nên vuốt mũi không ạ? Em thấy trêng mấy trang báo có chỉ mẹp vuốt mũi bằng tay, với bằng thìa, còn tập yoga cho mũi cao nữa, không biết là nó có hiệu quả gì không? Với nó có tác hại gì không ạ? Mong mn chỉ giáo giúp emm nhaaa. 
Hôm qua em đăng bài hỏi mà chưa kịp đọc cmt đã kh thấy bài nữa nên em xin phép hỏi lại. 
Chân thành cảm ơn mn. Mong ad duyệt giúp em với :(
</t>
  </si>
  <si>
    <t>2019-09-14 08:42:41</t>
  </si>
  <si>
    <t>Thiên Thiên</t>
  </si>
  <si>
    <t>100018276482103</t>
  </si>
  <si>
    <t xml:space="preserve">#vuotmui #muitet #Help </t>
  </si>
  <si>
    <t xml:space="preserve"> #goctuvan #viemlochanlong
Các ac giúp e với ạ 
Mùa nào chân e cũng bị như này hết á 
Là con gái mà tự ti không dám mặc váy hay quần đùi 
Ad duyệt cho em với ạ 😞</t>
  </si>
  <si>
    <t>2019-12-20 22:08:02</t>
  </si>
  <si>
    <t>100036150553158</t>
  </si>
  <si>
    <t xml:space="preserve">#viemlochanlong #goctuvan  </t>
  </si>
  <si>
    <t>#ask #help #skincare 
Có ai bị Viêm da dầu tiết bã không vào đây chung nỗi niềm với em đi 😞 . Khổ thật sự luôn ý , hồi xưa da đẹp bao nhiêuuu mà chẳng bao giờ có mụn luôn . Rồi từ khi e sinh em bé xong là tự nhiên da mặt một ngày xấu đi , đi khám da liễu thì mới biết là bị VIêm da dầu . Có bôi thuốc sẽ hết , nhưng vài ngày sau lại đâu vào đấy . Hình nàyy là còn đỡ đó mọi người , có khi nó ngứa nóng khó chịu quá e lấy tay gãi 1 tí thôi là nó đỏ lan hết cả mặt . Kéo theo đấy sờ vào da nó khô sần kinh lắm luôn . Có ai từng bị giống em và có cách khắc phục nào triệt để không ạ ? Giờ mỗi sáng thức dậy cứ nhìn mình trong gương là buồn chán thật sự 😢</t>
  </si>
  <si>
    <t>2019-09-30 07:34:41</t>
  </si>
  <si>
    <t>Hàn Yến Khoa</t>
  </si>
  <si>
    <t>100006592486806</t>
  </si>
  <si>
    <t xml:space="preserve">#skincare #help #ask </t>
  </si>
  <si>
    <t>Detox blanC này có phải hàng chính hãng không các ace nhở? Chắc mấy phốt trc là hàng giả đấy hihii! Lên cả flash sale shopee luôn! Phốt khá nhiều mà sao vẫn chạy hàng thế nhỉ? Thế giới điên đảo hết rồi!! Kem trộn lên ngồi rồi huhuu
#DetoxBlanC
P/s: phải chỉnh sửa thêm không lại bị mấy bạn nóng tính chửi sml</t>
  </si>
  <si>
    <t>2019-10-02 13:17:54</t>
  </si>
  <si>
    <t>Lan Nhung</t>
  </si>
  <si>
    <t>100009880276674</t>
  </si>
  <si>
    <t xml:space="preserve">#DetoxBlanC </t>
  </si>
  <si>
    <t>Một câu chuyện buồn 😂</t>
  </si>
  <si>
    <t>2019-12-18 08:28:34</t>
  </si>
  <si>
    <t>Huhu  các chị ơi , có chị nào bị giống em không ạ? e bị nám  Như thế này mới đầu nó chỉ bị ngay  mủi thôi mà giờ nó lang ra khắp mặt luôn ..... chị nào biết cách trị , hay cách chăm sóc , hay sài gì cho khỏi ..... bày e với ạ 😭😭😭</t>
  </si>
  <si>
    <t>2019-12-17 10:58:10</t>
  </si>
  <si>
    <t>100008894584933</t>
  </si>
  <si>
    <t xml:space="preserve">
#Thâmmụn #Mụnẩn
Em dùng acc clone để đăng vì ngại mong các ace tư vấn giúp em ạ.
Da em lúc trước đã từng dính thuốc rượu ạ em ngưng được 1 năm thì bắt đầu có dấu hiệu nổi 1 vài nốt mụn ẩn và lâu lâu lại xuất hiện 1 cục mụn sưng nhứt thì em có tự nặn bằng tay có nhiều lúc thì ấn vào nhân mụn bắn ra còn có lúc ấn hoài k ra em ấn mạnh quá thành ra để lại thâm to luôn ạ :((( Lạ là mặt em hay bị mụn bên má phải còn bên má trái thì ít. Da em trước là da dầu trước cũng có skincare đầy đủ sau này bị mụn ẩn quá nên ngưng tất cả chỉ dùng tẩy trang bioderma chai xanh và srm centaphil. Thì thời gian gần đây trời lạnh thì da bắt đầu khô, rửa mặt xong là da rất căng và có hiện tượng tróc vẩy, có xịt thêm xịt khoáng bioderma nhưng vẫn có cảm giác khô căng sau khi lớp xịt khoáng khô đi. 
Các chị em có thể tư vấn giúp em là nên dùng sản phẩm lành tính gì để da bớt thâm và da bớt khô k ạ, nhìn da khô nhăn nheo trông già già ạ :(((
Trước đây thì chu trình skincare của em là: tẩy trang bio xanh - srm softymo hồng - toner simple - dưỡng ẩm neutrogena - kcn la roche posay cho da dầu , 1 tuần thì em có dùng redpeel 1 đến 2 lần, mà đắp mặt nạ rửa tro núi lửa của innisfree.</t>
  </si>
  <si>
    <t>2019-12-05 14:54:46</t>
  </si>
  <si>
    <t>Ben Ben</t>
  </si>
  <si>
    <t>100044192869626</t>
  </si>
  <si>
    <t xml:space="preserve">#Mụnẩn #Thâmmụn  </t>
  </si>
  <si>
    <t>#ask
#kcn #anessa
Các bạn cho t xin ít review về kcn anessa dạng sữa với ạ!
Da t là da thường nhạy cảm, từng bị mụn ẩn mụn viêm đang trong quá trình phục hồi. Dùng kcn của biore nhiều mụn ẩn mà của naruko dùng chán mớ đời luôn 😭 t mới od anessa mà chưa dám khui.
Ad duyệt bài giúp t với ạ!
Thank all ❤️</t>
  </si>
  <si>
    <t>2019-11-18 04:52:35</t>
  </si>
  <si>
    <t>Gà Điên</t>
  </si>
  <si>
    <t>100005979968464</t>
  </si>
  <si>
    <t xml:space="preserve">#anessa #kcn #ask </t>
  </si>
  <si>
    <t>Mọi người có thể cho em xin vài kiểu tóc uốn cho tóc dài và tóc ngắn ngang vai mà phù hợp với mặt tròn, cằm chẻ đc k ạ ...Em phân vân mãi mà không biết nên làm kiểu gì cho hợp, hổng có cằm V-line nên mặt làm kiểu gì cũng thấy hổng hợp hết mọi người ơiii, tết đến nơi rùiii mà còn chưa biết mình nên làm tóc gì nữa , help meeeee vì trong này có người quen nên e dùng acc phụ ạ T_T</t>
  </si>
  <si>
    <t>2019-11-10 13:33:30</t>
  </si>
  <si>
    <t>산산</t>
  </si>
  <si>
    <t>100041581462099</t>
  </si>
  <si>
    <t>Mn cho e hỏi môi e làm xong bị viền môi đậm hơn nên muốn đi xoá nhưng sợ bị hỏng. Có chị nào đã xoá xăm môi rồi cho e xin ít ý kiến với ạ :))</t>
  </si>
  <si>
    <t>2019-12-12 04:21:20</t>
  </si>
  <si>
    <t>Anh Anh</t>
  </si>
  <si>
    <t>100006947890189</t>
  </si>
  <si>
    <t>#cushion
Xin chào anh chị em, da mình thuộc loại da khô và mình cần tìm cushion phù hợp để make-up sương sương đi chơi nhẹ nhàng. Trước đây mình dùng April Skin tông 23 khá hợp, đánh khá mát và mượt da. Nay muốn tìm loại nào tương tự và hàng trung bình, bình dân. Mong nhận được gợi ý từ mọi người nhé. Xin cám ơn.</t>
  </si>
  <si>
    <t>2019-11-04 07:21:51</t>
  </si>
  <si>
    <t>Carol Do</t>
  </si>
  <si>
    <t>100001544686030</t>
  </si>
  <si>
    <t xml:space="preserve">#cushion </t>
  </si>
  <si>
    <t>GẤp ad duyệt giúp em ạ
Mọi người cho em hỏi vs tình hình da như này thì em dùng srm và gel của decumar có được k ạ vì là hssv nên kte k có nhiều
Tiện thể cho em hỏi trị mụn bằng nha đam ntn vs ạ và khi nào sẽ có tiến triển vì em có bôi nha đam thì mặt em mọc lên những mụn bọc trắng kia rất nhức em lo quá</t>
  </si>
  <si>
    <t>2019-11-25 09:12:29</t>
  </si>
  <si>
    <t>Nguyễn Trạng Nguyên</t>
  </si>
  <si>
    <t>100043789070968</t>
  </si>
  <si>
    <t>#giamcan #ask
Chào mọi người,
Chuyện là em đang muốn diet, nhưng mà mấy cái healthy như keto hoặc low carb thì điều kiện em ko cho phép :(( (e đang ở nước ngoài, ở ktx ko có bếp ko tiện nấu nướng). E cũng ko có nhiều thời gian để tập gym nên chắc cố được mấy bài plank squat đồ ở nhà thôi.
E có tham khảo cách giảm cân của IU bên Kpop là sáng 1 trái táo trưa 1 củ khoai lang và tối 1 ly protein powder. E làm mới được 2 ngày thôi nhưng có vẻ đói với mệt người quá :&lt;
Lên youtube thì thấy cách này được nhiều view và cmt có vẻ có hiệu quả. Ko biết có ai thử chưa cho e xin ý kiến?
Em biết là ko healthy lắm nhưng mà từ lúc qua đây em tăng tận 10kg nên đang muốn giảm :&lt;
E 153cm, tầm 53kg :(((( Nhìn mất cân đối lém</t>
  </si>
  <si>
    <t>2019-03-30 12:08:38</t>
  </si>
  <si>
    <t>100024780938985</t>
  </si>
  <si>
    <t>#hoidap
Chào mọi người. Nhờ mọi người tư vấn tình trạng da của mình lỗ chân lông to, mụn ẩn, ít dầu đôi lúc hơi khô, da không đều màu và hơi sần sùi thì skincare như thế nào và nếu được có thể gợi ý giúp mình tên sản phẩm luôn với. Mình chưa xài bất kì mỹ phẩm nào từ lúc dậy thì tới giờ là U30 rồi. Mình cám ơn mọi người. Mong Ad duyệt bài của mình nha.</t>
  </si>
  <si>
    <t>2019-12-21 05:15:29</t>
  </si>
  <si>
    <t>Võ Mai Bảo Hân</t>
  </si>
  <si>
    <t>100025950130652</t>
  </si>
  <si>
    <t>Cho em hỏi em sử dụng red peel sau 1 ngày da gặp hiện tượng như vậy là bị làm sao ạ ! 
Ai sử dụng red peel rồi cho em xin ít kinh nghiệm với. Em cảm ơn
#redpeel</t>
  </si>
  <si>
    <t>2019-10-22 14:40:34</t>
  </si>
  <si>
    <t xml:space="preserve">#redpeel </t>
  </si>
  <si>
    <t>#đepchanhsa #ask
Cho e xin vài tips trị thâm mụn với 1 số sp trị thâm giá bình dân  với ạ 
Hiện giờ thì e đang dùng hirusca và hh mask nghệ nhưng thấy chưa hiệu quả lắm :((</t>
  </si>
  <si>
    <t>2019-10-29 15:26:11</t>
  </si>
  <si>
    <t>100013302331541</t>
  </si>
  <si>
    <t>Hiện tại mẹ em đang sử dụng trọn bộ của Loreal để trị thâm nám. Được gần 1 tuần hơn thì sáng này mặt mẹ em bị đỏ và có dấu hiệu sưng,  ngứa châm chích.  Hiện tại đã mua thuốc uống  nhưng em muốn hỏi có chị em nào đã sử dụng và bị giống mẹ em không?  Với mọi người cho em xin vài sản phẩm trị nám với ạ.  Em cảm ơn.</t>
  </si>
  <si>
    <t>2019-12-18 10:04:28</t>
  </si>
  <si>
    <t>Diễm Nhon Nhon</t>
  </si>
  <si>
    <t>100036085061795</t>
  </si>
  <si>
    <t>#tuvan #mụn_ẩn
Chào các chị!
Các chị cho em hỏi tinh dầu tràm trà trị mụn ẩn của thương hiệu nào là tốt ạ! Em cần mua nhưng nhiều loại nhiều hãng sản xuất quá nên em cũng hoang mang!
Cảm ơn các chị!
Nếu được duyệt bài thì em cảm ơn admin ạ.
Ảnh minh hoạ thôi ạ</t>
  </si>
  <si>
    <t>2019-06-22 07:02:45</t>
  </si>
  <si>
    <t>Luu Huyen Linh</t>
  </si>
  <si>
    <t>100009197484194</t>
  </si>
  <si>
    <t xml:space="preserve">#mụn_ẩn #tuvan </t>
  </si>
  <si>
    <t>#da nhiễm corticoid 
 Mọi người ơi cho mình hỏi da bạn của mình bị nhiễm corticoid thì giờ phải làm sao mn ai biết cách gì chỉ giúp mk với,, tks mn nhiều</t>
  </si>
  <si>
    <t>2019-11-06 11:52:15</t>
  </si>
  <si>
    <t>100007639063156</t>
  </si>
  <si>
    <t xml:space="preserve">#da </t>
  </si>
  <si>
    <t>#hepppppp_meeeeee😭😭😭
-em năm nay 17tuooi. E bị mụn cách đây gần một năm rồi ạ! 2 tháng trở lại đây e có uống iso 10mg. Và tình trạnng mụn của hiện h của e. N còn là những vết thâm thôi ạ. Giờ e nên dùng gì đây ạ😭😭 Sắp đến Noel rồi. E còn biểu diễn trên sân khấu nữa. Da mặt bạn bè thì trắng sáng. Còn mình thì.... dù có thoa phấn cũng không che được luôn. Tự ti lắm m.n ạ😞 Em mong m.n giúp emmmm. Thanks m.n
♥️</t>
  </si>
  <si>
    <t>2019-12-06 05:36:02</t>
  </si>
  <si>
    <t>Tứ Diệp Thảo</t>
  </si>
  <si>
    <t>100041536177627</t>
  </si>
  <si>
    <t xml:space="preserve">#hepppppp_meeeeee </t>
  </si>
  <si>
    <t>#ask #dadầumụn #sẹorỗ #thâmmụn
Lần đầu em đăng bài trong gr ạ ☺️ mong ad duyệt 😥 chả là da em là da dầu có mụn kèm theo đó là sẹo rỗ và rất nhiều thâm ạ. Hiện tại em đang sử dụng la roche posay effaclar duo+ nên tình trạng mụn đã hết tầm 80-85% r ạ. Vì mặt em còn rất nhiều thâm và sẹo rỗ nên em muốn sử dụng thêm serum snail truecica kết hợp vs la roche poáy duo+ nhưng kbt 2 loại này có thể dùng kết hợp k ạ?? Và em năm nay 17t là hs cuối cấp r ạ</t>
  </si>
  <si>
    <t>2019-08-17 12:57:14</t>
  </si>
  <si>
    <t>Nguyen Hoathuytien</t>
  </si>
  <si>
    <t>100008259436634</t>
  </si>
  <si>
    <t xml:space="preserve">#thâmmụn #sẹorỗ #dadầumụn #ask </t>
  </si>
  <si>
    <t>#máyrửamặt #auth #fake #foreomini3 #bảohành
Mọi người ơi cho mình hỏi vấn đề này xíu nhé. Mình mua máy rửa mặt foreo luna mini 3 và kích hoạt dùng được hơn 1 tuần. Ban đầu mình nghĩ nếu kết nối với app điện thoại được thì chắc chắn sẽ là hàng auth. Lúc kích hoạt cũng có mail của hãng gửi mã xác nhận như bên dưới hình. Nhưng hôm qua mình đọc đc bài viết nếu hàng auth kích hoạt thành công thì phải có email xác nhận kích hoạt thành công của hãng. Nhưng mình lại k nhận được mail xác nhận kích hoạt thành công nên k biết có đúng là hàng auth k nữa. Vì lần đầu sử dụng nên mình cũng k biết check và so sánh hàng auth/fake như thế nào. Mọi người xem giúp mình như vậy có phải hàng auth k với. Cảm ơn cả nhà nhiều</t>
  </si>
  <si>
    <t>2019-12-24 05:13:35</t>
  </si>
  <si>
    <t>Hà Thương</t>
  </si>
  <si>
    <t>100004633110749</t>
  </si>
  <si>
    <t xml:space="preserve">#bảohành #foreomini3 #fake #auth #máyrửamặt </t>
  </si>
  <si>
    <t>Vì một số lý do riêng nên phải dùng acc clone mong ad thông cảm ạ ((: Ad duyệt bài giúp em với ^^
Trong hình là đùi em, không hiểu sao tự dưng bị lên mấy đốm đốm li li màu đà đà như thế nhìn giống mụn nhưng soi kỹ thì cảm thấy nó không giống mụn cho lắm, có khi lâu lâu sưng mấy cục mụn mủ thật to như trong hình vầy 😭😭 trước giờ tự ti kinh khủng, mặc váy hay quần đùi diện ra chỗ đông người cũng ít khi lắm 😭Mọi người cho em hỏi là nó bị gì vậy ạ hu hu 😭</t>
  </si>
  <si>
    <t>2019-12-26 00:20:48</t>
  </si>
  <si>
    <t>100026287662591</t>
  </si>
  <si>
    <t xml:space="preserve">Cíu emmm mọi người ơi huhu... nhìn da mặt em mà chán đời luôn ấy, ai có cách trị mụn nào hiệu quả giá sinh viên không ạ? Em tự ti quá :((
#help </t>
  </si>
  <si>
    <t>2019-11-28 01:45:44</t>
  </si>
  <si>
    <t>Hân Đặng</t>
  </si>
  <si>
    <t>100044027291533</t>
  </si>
  <si>
    <t>Chào tất cả mọi người..
Mình 19
Đi làm lúc 15 tuổi
Từ lúc đi làm đến bây giờ toàn thức khuya
Tình trạng của mình bây giờ là mụn,mắt thâm,người gầy,sức khoẻ sa sút nhìn già đi trông thấy...
Mắt người ta thâm nhưng k bị nhăn như thế, còn mắt mình bị ntn thì phải làm sao đây mn? Thực sự chán lắm ý 😥😥
Mong ad duyệt bài này giúp em vì em đăng 4 5 bài rồi nhưng chả được duyệt bài nào cả ạ,em cần sự giúp đỡ ạ
Cảm ơn rất nhiêù ❤❤❤</t>
  </si>
  <si>
    <t>2019-12-09 15:39:25</t>
  </si>
  <si>
    <t>#suckhoe #tuvan #buongtrung
Chào mọi người, vấn đề này là sức khoẻ nên em xin phép dùng clone, sợ người quen lại lo.
Em đã quan hệ, nhưng chưa lập gia và em cũng chưa từng sử dụng thuốc tránh thai vì em luôn quan niệm “Yêu thì yêu, nhưng bản thân là trên hết.” Luôn đặt thuốc cho tử cung đều đặn sau mỗi chu kì nhưng oái ăm là em vẫn bị bệnh “U bì buồng trứng”, search google thì nó nhiều nguyên nhân gây ra bệnh đó lắm và bệnh đó hiện giờ rất nhiều phụ nữ bị. Lúc đầu là em thấy luôn đau âm âm bụng dưới, nhưng thôi kệ ko quan tâm cho lắm. Rồi bạn em nó tâm sự là bị đau bụng dưới đi khám thì bị vỡ nang do cơ địa nang sinh sản nhiều ý. Em cũng tranh thủ đi khám thì bị u nang buồng trứng và của em nó cũng khá to rồi. Chị em nào bị đau thì nên đi khám đi nhé và chu kì cũng ko đều, lúc sớm lúc trễ, lúc nhiều và có lúc lại ít.
Trong nhóm mình có ai mổ bóc u bì chưa ạ? Tháng 9 này em mổ nên mọi ngừoi ai đã mổ cho em xin chút kinh nghiệm và bao lâu vết thương sẽ lành ạ.</t>
  </si>
  <si>
    <t>2019-08-04 10:49:09</t>
  </si>
  <si>
    <t>Dạo Bán Bông</t>
  </si>
  <si>
    <t>100007817587431</t>
  </si>
  <si>
    <t xml:space="preserve">#buongtrung #tuvan #suckhoe </t>
  </si>
  <si>
    <t>#đẹpchanhxả
Sau bao ngày quyết tâm đi phun mày thì hôm qua e mạnh dạn đi cả nhà ak
Cả nhà cho ý kiến giúp e dáng kia có ổn k ạ?
Với e muốn hỏi là, khuôn mặt e với cái trán sân bay kia thì cắt tóc như nào hợp ạ? 
Tóc e hiện đang dài qua vai 1 chút
Mẹ bỉm sữa 2 năm rồi chưa làm tóc, nên là lần này muốn biến hình sao cho để nhìn đỡ kinh 😂
P/s: e bị cận đeo kính nhiều, thợ bảo bỏ kính ra chụp nên nhìn mặt ngu ngu 😆😆</t>
  </si>
  <si>
    <t>2019-10-04 10:55:52</t>
  </si>
  <si>
    <t>Nguyễn Thảo</t>
  </si>
  <si>
    <t>100039749031308</t>
  </si>
  <si>
    <t>#dechanhxa
Cả nhà ơi, cứ mỗi mùa đông về là da em nó lại khô xong tróc da. Mỗi lần cởi quần áo mà rũ 1 cái thì da chết dính vào quần vào ái bay tứ tung luôn như 1 giấc mer tuyết trắng vậy đó ạ. Cả nhà có cách nào dưỡng ẩm k ạ chỉ em với. Sờ vào chân vào tay như sờ vào giấy ráp sợ quá ạ 😅😅😅</t>
  </si>
  <si>
    <t>2019-12-13 08:31:14</t>
  </si>
  <si>
    <t>100030906094393</t>
  </si>
  <si>
    <t xml:space="preserve">#dechanhxa </t>
  </si>
  <si>
    <t>Mọi ng cho e hỏi làm sao để cục mụn này xẹp đây ạ, e sợ nó chai nên nặn jo thế này, sẵn tiện lỗ chân lông to vậy nên dùng gì đây ạ?</t>
  </si>
  <si>
    <t>2019-11-27 06:45:27</t>
  </si>
  <si>
    <t>Tien Tran</t>
  </si>
  <si>
    <t>100001710912076</t>
  </si>
  <si>
    <t>#Review #DHC
Mình định sp thêm tpcn do mình ít ăn rau củ quả thấy loại này dạo này nhiều người sd quá không biết có hiệu quả thật sự hay tác dụng phụ không. Mng ai sd rồi cho mình xin review với !!</t>
  </si>
  <si>
    <t>2019-10-22 05:09:25</t>
  </si>
  <si>
    <t>Thơ Mini</t>
  </si>
  <si>
    <t>100006560527100</t>
  </si>
  <si>
    <t xml:space="preserve">#DHC #Review </t>
  </si>
  <si>
    <t>Mn ơi cứu e với.  
#trị_mụn
2 tuần nữa là e cưới
 Có cách nào làm giảm mụn vs thâm ko ạ.  E mỗi ngày cứ nổi thêm vài cục nhìn chán lắm ạ.
Hiện tại e sài tẩy trang - toner - srm của simple ạ.  Trước có sài decumar mà ko thấy đỡ nhiều ạ. 😔</t>
  </si>
  <si>
    <t>2019-12-19 15:13:25</t>
  </si>
  <si>
    <t>Các Chị/Em ơi có ai duỗi tóc tại nhà chưa ạ? 
Cho mình xin chút kinh nghiệm với ạ, mình không biết mua loại thuốc nào và quy trình có phức tạp không.
Hic tóc mình xoăn tự nhiên, cứ xoăn lên như vậy khi ra tóc con. Mình thích tóc thẳng và cứ ra tiệm duỗi quài vậy mình thấy tốn kém và kẹp máy nóng xơ hết tóc 
Mong Chị/ Em giúp đỡ 
#Chamsoctoc #Duoitoc #Duongtoc</t>
  </si>
  <si>
    <t>2019-11-23 14:05:41</t>
  </si>
  <si>
    <t>ThuyKieu Lam</t>
  </si>
  <si>
    <t>100009070179296</t>
  </si>
  <si>
    <t xml:space="preserve">#Duongtoc #Duoitoc #Chamsoctoc </t>
  </si>
  <si>
    <t>#mongduyetbaigiupemvoiak😭😭 em năm nay 16 tuổi , gắn bó với làn da mụn đã 5 năm , 1 năm trước từng dính phải thuốc rượu bạch hóa hồng giờ e mới    bắt đầu tập tành sd skenkare đây là sp e í định mua ak
Tẩy trang eveline 
Srm eucerin
Toner eveline
Thuốc trị mụn belazin
Kem chống nắng V
Mọi người thấy cần thêm số nào hay số nào ko hợp góp ý em với ak
Em xin c.ơn!</t>
  </si>
  <si>
    <t>2019-10-24 01:01:18</t>
  </si>
  <si>
    <t>Tố Như</t>
  </si>
  <si>
    <t>100027514546392</t>
  </si>
  <si>
    <t xml:space="preserve">#mongduyetbaigiupemvoiak </t>
  </si>
  <si>
    <t>Chào moi người. Em năm nay 16t da dầu. Dạo gần đây e hay nổi mấy cục mụn to không đầu đó là mụn gì vậy ạ. Skincare của e cũng đơn giản
Tẩy trang: loreal
Srm: herbalife ( xài ké của mẹ)
Toner: fraijour 
Kcn: omi sun bear
Mong ad duyệt bài.
#ask #mun</t>
  </si>
  <si>
    <t>2019-11-23 08:25:49</t>
  </si>
  <si>
    <t>Nguyệt Hằngg</t>
  </si>
  <si>
    <t>100009323898098</t>
  </si>
  <si>
    <t>Mong dc duyệt bài. Mn có ai đi bắn tàn nhang 3l mà thấy da sạm đi ko. Ngày bôi kem cn 2 lần. Kiêng khem mà da vẫn xấu chán quá</t>
  </si>
  <si>
    <t>2019-12-06 14:57:28</t>
  </si>
  <si>
    <t>Thu Hín</t>
  </si>
  <si>
    <t>100014976167543</t>
  </si>
  <si>
    <t>Mọi người cho em xin tips trị thâm mắt với ạ. Với mọi người cho em hỏi mắt em thế này có gọi là xấu lắm không, tại ai cũng bảo là  mắt cứ bị lé lé sao í, em tự ti cực
Mong ad duyệt bài giúp em</t>
  </si>
  <si>
    <t>2019-11-25 14:25:47</t>
  </si>
  <si>
    <t>Thuý Thuý</t>
  </si>
  <si>
    <t>100040862655228</t>
  </si>
  <si>
    <t>Em xin dùng nick phụ vì tự ti quá
Da em bị lỗ chân lông to nhìn mà chán 
Ai có bí quyết hay loại mp nào dùng để se nhỏ lại bớt lcl k ạ da dầu khổ thật
Em có sd qua sr ốc sên của some by mi đc 3 tháng cx k ăn thua gì hiccc
Mong ad duyệt hộ e</t>
  </si>
  <si>
    <t>2019-12-03 15:31:31</t>
  </si>
  <si>
    <t>100042626859996</t>
  </si>
  <si>
    <t>#ask #tuvan 
Mong ad duyệt bài giúp em với ạ, em đăng mãi ko dc duyệt 😞
Em té xe bong mày dc 3 tuần hơn rồi, bôi dermatix được 2 tuần hơn. Thấy nó nhạt hơn xíu lúc đầu mà e nghĩ là tgian nó tự nhạt. Giờ thì ngưng tiến triển rùi huhu. Thấy không nhạt màu đi nửa. Mà cứ hể em ra gió hoặc đứng lâu 1 xíu là chỗ đó nó thâm tím luôn. Xong em lấy 2 tay massage 2 bên vùng sẹo thì nó hết tím đi (như video) và vẫn như hình. Em cũng ko hiểu vì sao? Thâm tím làm e ko dám mặc đầm luôn ạ. Lúc ngồi ở nhà thì như hình ạ. 
Mọi người tư vấn giúp em bị gì và nên dùng gì ạ?</t>
  </si>
  <si>
    <t>2019-12-26 00:29:00</t>
  </si>
  <si>
    <t xml:space="preserve">
#son
Chào mọi người ạ, da em thì hơi đen mà sở thích của em là tô mấy cái son màu trầm trầm chút nhưng tìm mãi không thấy màu nào ưng ý cả. Môi em bôi son lên rất dễ bị base hồng nhìn quê xệ luôn. Mọi người có thể cho em mấy màu son trầm trầm mà giá rẻ chút được không ạ vì hiện tại em còn là sinh viên kinh tế cũng eo hẹp
(Ảnh này là em đánh Bj màu 33 nhưng cũng lên thành cái màu hồng này luôn ạ. Buồn ơi là buồn😞)</t>
  </si>
  <si>
    <t>2019-11-28 01:51:14</t>
  </si>
  <si>
    <t>#hoiykien
Em bị bỏng nước sôi hồi bé, đã bị nhăn, thâm, và bị 1 số đốm trắng, em muốn đi thẩm mỹ viện để điều trị, không biết có thể điều trị hết khôg ạ, em nên dùng biện pháp nào và chỉ phí khoảng bao nhiêu ạ.. 
Nhờ mọi người tư vấn giúp em ạ</t>
  </si>
  <si>
    <t>2019-12-18 10:04:06</t>
  </si>
  <si>
    <t>Hana Hana</t>
  </si>
  <si>
    <t>100008885237296</t>
  </si>
  <si>
    <t xml:space="preserve">#hoiykien  </t>
  </si>
  <si>
    <t>#munan #lcl 
Mong ad duyệt bài giúp em ạ 
Em 18 tuổi da em thuộc loại da dầu mụn hể ăn đồ chiên xào là mặt như chảo dầu vậy ạ 
Da em hiện tại có nhiều mụn ẩn lcl to hai bên má 
Em có đi spa nặn mụn già và đã nặn được hai lần và em rửa mặt bằng srm( E100 con bò) vừa hết hôm qua 
Hiện tại e skincare Kcn (KB ONE) -TẨY TRANG (KB ONE) -srm (KB ONE)-ttbc (St lves)- kem trị mụn (KB ONE VIP)
Em có tìm hiểu về xông da mặt bằng chanh sả đẩy mụn ẩn và lăn đá se khít lỗ chân lông  nhưng không hiểu cho lắm em cần được tư vấn ạ 
Ad duyệt bài giúp em với da mặt e cứ sần sùi hết .</t>
  </si>
  <si>
    <t>2019-08-21 13:35:47</t>
  </si>
  <si>
    <t>Trần Phan Cẩm Ly</t>
  </si>
  <si>
    <t>100030256211667</t>
  </si>
  <si>
    <t xml:space="preserve">#lcl #munan </t>
  </si>
  <si>
    <t>E tha thiết mong add duyệt bài giúp e vì gấp quá rồi ạ 
  E năm nay 30t sinh bé đc 10 tháng rồi ạ 
Sinh xong mặt lên rất nhiều nốt tàn nhang.trc kia thì e chỉ có 1 vài nốt thôi ạ.mụn đầu đen mụn cám mọc chi chít ở mũi cằm luôn.e nặn càng lên nhiều.nếp nhăn xuất hiện nhiều ở mắt.da e là da hỗn hợp thiên dầu.nhưng mùa này thì e cứ thấy nó bong nhiều ở cằm với mũi 
  Mong mọi người chỉ giúp e để cải thiện mặt mũi e với ạ.sp vừa vừa thôi ạ vì e chưa có điều kiện
Qtrinh dưỡng da của e như này mà ko cải thiện đc gì hết ah
 1: Sáng srm rosette -&gt; toner hadalabo xanh dương =&gt; serum b5 của TO=&gt; kem dưỡng ẩm la roche posay hydreane =&gt; kcn anessa
2: tối gel tẩy trang nóng vc 100 dr ci labo =&gt; srm rosette =&gt; toner vc 100 =&gt; serum trị nám caudalie=&gt; kem vc 100 =&gt; đi ngủ 
Ban ngày thì e xịt khoáng vychy .1 tuần tẩy da chết 2 lần bằng rosset.xông mặt 2l chanh xả muối.đắp mask đất sét kiel .mask giấy lululun.nạ rửa trà xanh de bihadi
Cám ơn mọi người đã đọc bài viết của e ạ 
À e còn uống cả bột lúa non.saffon với cả collagen meji nữa ạ</t>
  </si>
  <si>
    <t>2019-11-27 08:41:00</t>
  </si>
  <si>
    <t>100021735551405</t>
  </si>
  <si>
    <t>Chào mọi người, em năm nay 16 tuổi, chưa từng xài qua mỹ phẩm nào vì da em cũng không bị nhiều vấn đề của tuổi dậy thì. Nhưng sau một lần về quê nhỏ bạn chơi thì bị nổi mụn lấm tấm ở lưng. Em có tìm hiểu sơ thì hình như chỉ cần tắm rửa, giữ da sạch sẽ là từ từ sẽ hết. Em bèn thử áp dụng các biện pháp làm sạch sâu như tắm bằng muối biển, rồi dùng miếng lột mụn mà cũng không thấy đỡ. Nản quá, em bỏ hết, chỉ mua sữa tắm detox của lifebuoy, loại matcha &amp; khổ qua về tắm rửa bình thường cho sạch sẽ thôi, không ngờ là nó giúp giảm mụn lưng hẳn luôn. Nhờ vậy em mới phát hiện ra loại sữa tắm này vì làm sạch sâu với diệt khuẩn nên mới làm giảm mụn và ngứa ngáy nữa. 
Giờ da em đã giảm được 50% mụn li ti, nên lên đây khoe với mọi người, hy vọng đóng góp được chút bí quyết làm đẹp cho các chị. 
(Mong ad duyệt bài giúp em)</t>
  </si>
  <si>
    <t>2019-12-20 12:07:18</t>
  </si>
  <si>
    <t>100011370717912</t>
  </si>
  <si>
    <t>Ai đã dùng xịt khoáng của laroche posay loại serozinc này rồi có thể cho em xin review được không ạ. Em cảm ơn ❤️</t>
  </si>
  <si>
    <t>2019-11-14 04:30:44</t>
  </si>
  <si>
    <t>100022475700965</t>
  </si>
  <si>
    <t>#gochoidap
Các chị ơi cho em hỏi về vấn đề làm nail với ạ. Tình hình là sắp tới em muốn làm bộ móng mới mà móng em khá yếu, mấy lần trước em sơn lên tay rồi luca bong ra thấy nó chán cực í :&lt;
 Nên em muốn hỏicacs chị là có cách nào cho móng tay khỏe lên k ạ? Hix giờ em cond bị xước măng rô nên nhìn tay xấu dã man :&lt; Và nếu em muốn làm móng thì nên tiếp tục sơn hay đắp móng sẽ tốt hơn ạ?
Em cảm ơn cả nhà nha 🥰</t>
  </si>
  <si>
    <t>2019-12-09 00:46:20</t>
  </si>
  <si>
    <t>Bam Boo</t>
  </si>
  <si>
    <t>100013867332031</t>
  </si>
  <si>
    <t>#ask chào mọi người, cho mình hỏi đây là môi gì và làm cách nào để có một bờ môi đẹp như vậy ạ ? nhìn môi người ta mà ham ;^;, sẵn tiện cho em hỏi làm cách nào để trị thâm môi nữa ạ ? còn da ngăm thì nên dùng son màu nào để đi học, đi chơi ạ ? mình bị thích những màu son như màu  A12, A22 Blackroughe í nhưng vẫn đang tìm màu nào đó nhẹ nhàng hơn ( không phải kiểu cam cháy ) mà là tone hồng đất, đỏ nâu cho hợp với da ngăm í, mọi người trả lời giúp em những câu hỏi trên với, em cảm ơn nhiều ạ ^^ 
Edit 1 : Mọi người bảo muốn trị thâm thì tẩy da chết môi và bôi kem dưỡng môi và bôi son dưỡng môi trước khi son thì cho mình hỏi là mình tẩy da chết bằng cách nào cho sạch trước khi bôi kem dưỡng môi ạ ? 
Cre ảnh : Nguyen Quỳnh Anh</t>
  </si>
  <si>
    <t>2019-11-30 11:26:54</t>
  </si>
  <si>
    <t>#help #ask #matngu #detox
Haiz dạo gần đây t bị mất ngủ, 11h cất đt ngủ mà toàn 3,4h mới ngủ được, người lúc nào cũng bực bội với cả trễ kinh 1 tháng, giờ còn có hơn 40kg à. Gân mắt nó tím lịm vậy luôn rồi, nay rụng dâu lại bùng ra 1 đống mụn nữa.
Có cách gì giúp mất cái gân tím đó đi và thải độc cơ thể, dễ ngủ, đỡ stress hơn không tụi bay.
Help meeeee. 😓 Cứ như vậy vài tháng nữa chắc t còn bộ xương khô luôn quá.
Edit: Cám ơn tụi bay nhiều nha t sẽ mua saffron uống thử</t>
  </si>
  <si>
    <t>2019-04-12 13:28:54</t>
  </si>
  <si>
    <t>Ha Thi Hong Nguyen</t>
  </si>
  <si>
    <t>100003988687568</t>
  </si>
  <si>
    <t xml:space="preserve">#detox #matngu #ask #help </t>
  </si>
  <si>
    <t xml:space="preserve">
#ask
Chuyện là hè em đi bệnh viện đại học y dược để khám da, bs kê cho em tuýp megaduo và srm isis, em dùng thấy ổn nên em lên shopee đặt hai món này để dùng tiếp, lúc mở hàng ra thì em thấy mẫu mã nó hơi khác với mẫu em mua trên bệnh viện. Những gì khác biệt em đã ghi rõ dưới từng ảnh. Mong mọi người giải đáp giúp em với ạ. Em ko biết có phải hàng fake ko nữa. Em hoang mang quá
#Mong_ad_duyet_bai</t>
  </si>
  <si>
    <t>2019-11-29 14:12:15</t>
  </si>
  <si>
    <t>Thảo My</t>
  </si>
  <si>
    <t>100008361731753</t>
  </si>
  <si>
    <t xml:space="preserve">#Mong_ad_duyet_bai #ask </t>
  </si>
  <si>
    <t xml:space="preserve"> #ghe #cangiup
Mng ơi chuyện là chân e thì từ trước đến giờ k có sẹo hay ghẻ gì tại da e ngâm với cả chân lắm lông nên e giữ rất kỹ chân để k bị ghẻ hay gì hết mà tự nhiên mấy tháng trước e thấy ngứa ngứa có một chỗ à e tưởng mũi chích lên e cứ gãi giờ nó để lại một cục như thế nào nhấn nhẹ thì thấy đau rồi hay nằm kiểu nghiêng về phía cục ghẻ đó là đau mng có ai bị như v chưa ạ =((( nếu rồi thì mình dùng gì để trị mấy cục này với ạ tết sắp tới nơi diện váy diện đầm mà bị zay k dám mặc quần ngắn hay gì l á =(((</t>
  </si>
  <si>
    <t>2019-12-17 23:14:15</t>
  </si>
  <si>
    <t xml:space="preserve">#cangiup #ghe  </t>
  </si>
  <si>
    <t>Mọi người ơi, da em nổi lấm chấm như này là sao vậy ạ, có cách nào hết ko ah😭 cũng đc nửa tháng rồi hic</t>
  </si>
  <si>
    <t>2019-11-28 00:27:28</t>
  </si>
  <si>
    <t>Nguyen Hoai Bao Duong</t>
  </si>
  <si>
    <t>100036858608590</t>
  </si>
  <si>
    <t>#trimun
Năm nay em 18t. Da em hỗn hợp thiên dầu em bị mụn mới đây và em dùng bộ sản phẩm hiruscar đỡ mụn nhưng vẫn còn thâm. Tư vấn dùng em các bước toner trị thâm kem dưỡng với ạ</t>
  </si>
  <si>
    <t>2019-11-24 10:19:59</t>
  </si>
  <si>
    <t>100028585213085</t>
  </si>
  <si>
    <t>Chào mọi người ạ! Cho mình hỏi là hãng mĩ phẩm LACO có phải là kem trộn không ạ? Vì mình thấy fb của một cô bán LACO mà mẹ mình quen thì có đậm chất của một hãng kem trộn ý ạ! Cảm ơn mọi người nhiều! #LACO #Giúp_đỡ</t>
  </si>
  <si>
    <t>2019-12-13 16:31:10</t>
  </si>
  <si>
    <t>La Chang Chang</t>
  </si>
  <si>
    <t>100037476331555</t>
  </si>
  <si>
    <t xml:space="preserve">#Giúp_đỡ #LACO </t>
  </si>
  <si>
    <t>Mình chưa dùng kem chống nắng bao giờ ,da mình hỗn hợp dầu ,bị đổ dầu vùng chữ T ,mn thấy kcn tốt giới thiệu mình với nhé ,mong ad duyệt bài 🥰</t>
  </si>
  <si>
    <t>2019-12-18 13:45:24</t>
  </si>
  <si>
    <t>Bùi Thị Liên</t>
  </si>
  <si>
    <t>100022348393220</t>
  </si>
  <si>
    <t>E tính đi tẩy thâm môi .mng cho e xin ít review với ạ 🤧.</t>
  </si>
  <si>
    <t>2019-12-02 01:50:35</t>
  </si>
  <si>
    <t xml:space="preserve">
#Sẹothâm
E xl vì hình ảnh nhìn hơi đau mắt ạ 😭😭
Có ai biết cách nào hay dùng sản phẩm gì trị thâm sẹo sau thuỷ đậu không cứu bà chị em với ạ
Trc kia da bà ấy đẹp lắm tốn bn tiền cả thực phẩm chức năng uống bên trong lẫn bôi bên ngoài chăm sóc da mà mới đây bị thuỷ đậu do lây từ cháu em nó đi học bị lây bạn ở lớp về lại lây sang mẹ.Ai biết lên dùng thuốc hay sp gì cho nhanh lành và hết thâm sẹo không chỉ giúp e với ạ</t>
  </si>
  <si>
    <t>2019-11-09 23:41:23</t>
  </si>
  <si>
    <t>Trần Quỳnh Trang</t>
  </si>
  <si>
    <t>100010114301471</t>
  </si>
  <si>
    <t xml:space="preserve">#Sẹothâm </t>
  </si>
  <si>
    <t xml:space="preserve"> #help
Chào các chị chuyện là em mới mua tuýp kem chống nắng the saem mới nhưng về nhà thì thấy nó khác với chai cũ ở nhà mấy điểm dưới đây. Còn lại thì giống ạ. Chị em phân biệt dùm em với ạ 😭😭😭😭
Chai bên phải màu đỏ em mới mua ạ. 😭😭😭</t>
  </si>
  <si>
    <t>2019-06-24 13:20:10</t>
  </si>
  <si>
    <t>100005100857050</t>
  </si>
  <si>
    <t>Mọi người giúp em với. Làm cách nào để wax lông nách tại nhà đúng cách ạ? Từ trước đến nay em vẫn dùng nhíp nhổ nhưng nghe nói cách này sẽ gây viêm lỗ chân lông nên e k dám nhổ nữa ạ. Nhưng nếu để đấy không nhổ thì rất mất thẩm mỹ và có mùi khó chịu ạ😭😭 Em còn là học sinh nên không có tiền đi triệt vĩnh viễn nữa 😓 Mọi người có bí quyết nào về wax lông nách tại nhà k ạ?😓</t>
  </si>
  <si>
    <t>2019-11-15 11:46:12</t>
  </si>
  <si>
    <t>100030348366934</t>
  </si>
  <si>
    <t>#ask 
Mọi người cho em hỏi mặt em như này là bị sao và cách chữa như nào ạ ? Em bắt đầu bị như này từ tháng 9, từ đấy nó cứ lúc mẩn lên lúc chìm xuống, hiện thì mặt em đang như ảnh em chỉ dám rửa bằng nước muối không dám dùng sữa rửa mặt vì rát. Nhìn trong ảnh là còn thấy nhẹ ý ạ chứ nhìn ngoài ghê hơn 😓 mong mọi người tư vấn giúp em chứ cứ bị như này mãi mệt mỏi quá 😭😭😭</t>
  </si>
  <si>
    <t>2019-12-09 05:07:40</t>
  </si>
  <si>
    <t>Ngờ Hiên</t>
  </si>
  <si>
    <t>100039828975861</t>
  </si>
  <si>
    <t>Chuyện buồn là tóc em rụng nhiều quá sắp hói rồi ạ . Mỗi lần gội đầu nó sẽ rụng nhiều như vậy hoặc hơn . Mà tóc em mau bết lắm cách ngày em gội 1 lần em xài sunsilk màu đen á mn ạ . Mn biết dầu gội hay gì hiệu quả giúp tóc khỏe mạnh và đừng rụng tóc nữa không chỉ em với ạ . Em xin cảm ơn rất nhiều 🙏🙏</t>
  </si>
  <si>
    <t>2019-11-16 12:36:11</t>
  </si>
  <si>
    <t>Phan Ngân</t>
  </si>
  <si>
    <t>100028196347732</t>
  </si>
  <si>
    <t>Chào mọi người giúp mình với ạ
Mình là 1 người chẳng bao giờ Skincare vì mình chẳng có chút kiến thức gì về việc Skincare ngoài việc dùng sữa rửa mặt (mình có tìm hiểu ở Youtube nhưng các Beautybloger cứ dùng những từ chuyên môn bằng tiếng Anh ở những chỗ mình cần nghe nên xem xong mình cũng chẳng hiểu)
Da mặt mình rất hiếm có chuyện nổi mụn, nổi lo lớn nhất là da mình hiện giờ đang thiếu ẩm trầm trọng và bị mốc khô lên mà mình thì vẫn chưa biết cách giải quyết chỉ biết trước khi ngủ sẽ xịt khoáng :(((( 
Ngày nào mình cũng dùng tay để cậy những chỗ khô đó làm nó chảy máu nên mong các bạn trong nhóm hướng dẫn mình các bước Skincare đầy đủ và dễ hiểu tiện thể giới thiệu mình vài loại Skincare dùng cho da khô nhé ^^</t>
  </si>
  <si>
    <t>2019-12-06 20:53:36</t>
  </si>
  <si>
    <t>100006457597494</t>
  </si>
  <si>
    <t xml:space="preserve">
#trangranh
Eo ôi. Xem cái này mà phát sợ vì sự kì diệu làm trắng. Mà 40k/ lọ. 🙄 
Các chị em nghĩ ntn ạ. Có hại ko ce. Chứ nhìn thích quá :((
Răng em ố vàng quá, em tính đi tẩy trắng răng ngoài nha khoa. Mà người can nhiều hơn người ủng hộ :((
Có cách nào làm răng trắng ko ạ. Em đã thử miếng dán trắng răng nhưng chẳng ăn thua gì cả. 
Răng đã xấu lại còn vàng. Tự ti quá ce ơi :((</t>
  </si>
  <si>
    <t>2019-08-10 11:25:04</t>
  </si>
  <si>
    <t>Ngọc Mai</t>
  </si>
  <si>
    <t>100002743995509</t>
  </si>
  <si>
    <t xml:space="preserve">#trangranh </t>
  </si>
  <si>
    <t xml:space="preserve">
#Tỉalôngmày
E có lông mày vừa đen vừa rậm ý mà không biết cách tỉa lun ai có mẹo gì mách e với ạ. Và có loại dao cạo nào êm mách e với
#hepl e cạo lúc bị lẹo lúc chầy cả da luôn huhu</t>
  </si>
  <si>
    <t>2019-10-18 14:24:30</t>
  </si>
  <si>
    <t>Trần Thảo Trang</t>
  </si>
  <si>
    <t>100010864054236</t>
  </si>
  <si>
    <t xml:space="preserve">#hepl #Tỉalôngmày  </t>
  </si>
  <si>
    <t>#lungcong 
Chào mn. Em năm nay 17t   ngực em 96 , hồi tầm 15t thấy ngực phát triển cứ ngại. Thấy nó to to rồi cứ ngại với bạn bạn này nọ nên lúc nào đi cũng cuối cong cong cái lưng cho nớ đỡ thấy ngực )) rồi giờ đây em thành 1 thói quen hầu như là lưng bị cong luôn rồi. Đi học ngồi xe điện mà cái lưng com riết luôn, người ta kêu em là lưng tôm 😭😭 🦐🦐   mọi người có cách nào giúp lưng thẳng ko. Chỉ giúp e với ạ</t>
  </si>
  <si>
    <t>2019-12-01 14:04:01</t>
  </si>
  <si>
    <t xml:space="preserve">#lungcong </t>
  </si>
  <si>
    <t>Mọi người ai dùng máy rửa mặt Halio hoặc Pebble Lisa rồi cho mình xin ít review đc không ạ. Tìm hiểu các thứ lúc đầu mình cũng nhắm foreo luna mini 2 mà kinh tế hiện tại eo hẹp quá. Mặt thì càng ngày lỗ chân lông càng to và xù xì do k đc vệ sinh đúng cách + chăm sóc cẩn thận. Mình thấy halio và pebble bị bóc phốt khá nhiều, nhưng mình mong nhận đc review của các bạn đã thật sự trải nghiệm ạ. Help me ❤️</t>
  </si>
  <si>
    <t>2019-11-19 09:43:35</t>
  </si>
  <si>
    <t>Mai Hương Nguyễn</t>
  </si>
  <si>
    <t>100005247195547</t>
  </si>
  <si>
    <t>#ask #serum #klairsvitC 
Em chào mọi người ạ
Mấy chị cho em hỏi là da em là hỗn hợp thiên dầu ạ
Trước đây em có từng xài timeless vitC thì bị dị ứng, da nổi mẩn 
Bây giờ em đang phân vân rước em này về để trị thâm và sáng da 
Mấy chị cho em xin rv về em này với ạ
Em cảm ơn mọi người nhiều ạ</t>
  </si>
  <si>
    <t>2019-08-09 00:48:52</t>
  </si>
  <si>
    <t>Mai Hạ</t>
  </si>
  <si>
    <t>100004079946344</t>
  </si>
  <si>
    <t xml:space="preserve">#klairsvitC #serum #ask </t>
  </si>
  <si>
    <t>#ask #help #triseo
Đợt em có bị gãy tay phải mổ và để lại sẹo như thế này. Có sẹo tự ti lắm luôn. Mng có cách nào làm mờ đi k ạ. Help em với 😭 em cảm ơn</t>
  </si>
  <si>
    <t>2019-08-06 02:08:19</t>
  </si>
  <si>
    <t>Nguyễn Minh Tú Linh</t>
  </si>
  <si>
    <t>100021526381186</t>
  </si>
  <si>
    <t xml:space="preserve">#triseo #help #ask </t>
  </si>
  <si>
    <t>Mọi người ơi cho em hỏi làm thế nào để hết đốm li ti trên gò má ạ😢
Có sản phẩm gì trị hay làm mờ hết mách em với 😢</t>
  </si>
  <si>
    <t>2019-12-13 05:12:52</t>
  </si>
  <si>
    <t xml:space="preserve">( Mong được duyệt ạ) 
Chào các chị em của ĐCS. Em mới tập tành chăm sóc da thôi nên còn chưa rành lắm. Cho em hỏi là những đốm nâu này là thâm hay nám vậy ạ ? Em bị rất nhiều ở mũi, má và đặc biệt là trên miệng. Và cho em xin típ hoặc giới thiệu em cách trị với ạ. 
Cảm ơn mọi người. 
#ask </t>
  </si>
  <si>
    <t>2019-12-13 12:02:32</t>
  </si>
  <si>
    <t>#ask 
#phụchồi
Các chị cho em hỏi 2 loại này , loại nào phục hồi da tốt hơn ạ ?
Em muốn tìm muốn tìm sản phẩm phục hồi da huhu
Mong ad duyệt bài cho em</t>
  </si>
  <si>
    <t>2019-10-20 06:59:53</t>
  </si>
  <si>
    <t xml:space="preserve">#phụchồi #ask </t>
  </si>
  <si>
    <t>Đây, chiếc cờ nhíp hại đời không biết bao nhiêu cô gái trẻ thơ ngây tội nghiệp đây. Sắp tết rồi, xem cho vui thôi nhé các chị em, làm theo mà toang rồi lại khóc bắt đền thì tui hông biết đâu à nha</t>
  </si>
  <si>
    <t>2019-12-25 07:45:51</t>
  </si>
  <si>
    <t>**#ask #munan #munsung**
Xin phép ad duyệt bài!
Mọi người tư vấn giúp mình cách trị mụn ẩn và sưng với, đây là những sản phẩm dưỡng da hiện tại mình đang sử dụng để trị mụn ẩn. Da mình là da hỗn hợp
Quy trình skincare hiện tại của mình là tối dùng Nước tẩy trang Bioderma (Hôm nào maekup thì dùng dầu tẩy trang Paulas Choice) -&gt; Sữa rửa mặt Hyalcollabo -&gt; Toner Thayers -&gt; BHA Clear Paulas Choice làm sạch sâu -&gt; Mặt nạ giấy cấp ẩm, trị mụn Sexylook (3-4 lần/tuần) -&gt; Kem dưỡng Larocheposay Legere. Sáng thì dùng thêm kem chống nắng Bioderma
Ảnh trên là da mặt mình hiện tại, Routine này khoảng 3 tháng rồi và cũng đỡ hơn trước rất nhiều, nước và dầu tẩy trang với cá nhân mình thì tương đối sạch vì mình thường chỉ bôi kem chống nắng, kem dưỡng Larocheposay thì lành tính và dưỡng ẩm khá, mình nghĩ BHA clear hỗ trợ việc trị mụn khá ổn nhưng tác dụng lại chậm, trộm vía chắc vì mình hay đắp mặt nạ giấy nên dạo này thay đổi thời tiết thì da không bị căng và bong tróc, đặc biệt cái Sexylook tràm trà mình thấy cũng làm dịu nốt mụn sưng của mình
Mọi người tư vấn giúp với chứ mặt mũi thế này mình cũng khá stress :(
Mình cảm ơn!</t>
  </si>
  <si>
    <t>2019-12-01 12:53:05</t>
  </si>
  <si>
    <t>Nguyễn Thúy Hằng</t>
  </si>
  <si>
    <t>100006236403740</t>
  </si>
  <si>
    <t xml:space="preserve">#munsung #munan #ask </t>
  </si>
  <si>
    <t xml:space="preserve">
#danhaycam
#skincare
Vâng.. Sau bao lần ngoi lên hỏi han và nhận đc tư vấn của các chị em xinh đẹp thì e đã tìm đc chân ái của da mặt e rồi ạ. Da e từng nhiễm corticoid, da trở nên nhạy cảm, kiểu gì cũng lên mụn được. E đã lên để hỏi về chu trình skincare của e vài lần, và sau bao lần e đã đổi từ srm, tới serum rồi ttbc, kem dưỡng ẩm . 
Nói về sữa rửa mặt của Laroche-Posay loại này là dành cho da cực kì nhạy cảm như e. Nó không có bọt nhưng nó đủ làm sạch và làm cho dịu da của e. Serum B5 Ciracle dùng để phục hồi da sau mụn, nó thấm nhanh và k hề gây bết rít khó chịu gì sau khi sử dụng. Kem dưỡng ẩm Klairs cũng dùng phục hồi sau mụn, nếu có nặn mụn về dùng nó cũng làm cho mấy nốt nặn mụn bớt sưng, ửng đỏ. Laroche-Posay Duo+ em dùng để chấm vào những nốt mụn lên bất ngờ. Mọi thứ đều tuyệt vời cho tới ngày hôm nay. Sau 1 đêm dậy, da mặt mịn màng, k đổ dầu. Với 1 đứa ngu ngục dính vào kem trộn thì bây giờ em đang rất là hài lòng với sự phục hồi của làn da. Khi phục hồi da ổn định e sẽ chuyển sang trị thâm và làm trắng. Em chân thành cảm ơn sự tư vấn tận tình của mấy chị em xinh đẹp dành cho em. 
Mong ad duyệt bài.. Em cảm ơn 😘😘
Edit: tại có nhiều bạn hỏi nên e trả lời là các sản phẩm của e được e sắp theo thứ tự nha . Tẩy tế bào chết 👉🏻tẩy trang👉🏻sữa rửa mặt 👉🏻toner👉🏻serum👉🏻kem dưỡng ẩm👉🏻chấm mụn duo+👉🏻chống nắng👉🏻chai có hình cá xấu là xịt khoáng.</t>
  </si>
  <si>
    <t>2019-11-13 02:07:31</t>
  </si>
  <si>
    <t xml:space="preserve">#skincare #danhaycam </t>
  </si>
  <si>
    <t xml:space="preserve">
#gochoidap
Mn xem giúp e đây là thật hay giả vs ạ. Mẹ e ra ngoài chợ mua mà có 20k lời này. E k dùng nên cx chả Bt soi thật giả ra sao 😢 sợ dùng vào chỉ hỏng người ☹️ mẹ e vừa mua nên e chụp đăng luôn. 20k/lọ 200g thì k Bt là hàng gì ạ?
Mong ad duyệt bài nhé ạ 😞 lần nào đăng cũng chả thấy ad duyệt vs cmt của group nên hơi thất vọng</t>
  </si>
  <si>
    <t>2019-12-06 05:36:14</t>
  </si>
  <si>
    <t>100024267754832</t>
  </si>
  <si>
    <t>Em vừa mua tẩy trang Bioderma này ko bt thật hay giả các chị em ơi😥😥😥</t>
  </si>
  <si>
    <t>2019-12-19 13:58:53</t>
  </si>
  <si>
    <t>100005925436699</t>
  </si>
  <si>
    <t>Mình người cao 1m65 có bộ tóc đen dài thế này ạ. Sau bao lần uốn nhuộm thì mình thấy khó chăm tóc nên đang tính là đi ép thẳng cả đầu dài thế này. Nhiều người nghiện bộ tóc của mình nhưng cũng có người bảo mình cắt rồi duỗi đi cho trẻ, chứ để tóc dài già mất mấy tuổi. Mình thì yêu tóc dài, thấy mình hợp tóc dài nên muốn ép cả đầu nè. Mọi người cho em ý kiến là giờ để tóc thẳng dài có lỗi mốt k ạ😜😜 cả người được bộ tóc nên cũng đắn đo cắt hay k cắt lắm ạ😍😍😍</t>
  </si>
  <si>
    <t>2019-10-24 05:10:51</t>
  </si>
  <si>
    <t>Hà My Nguyễn</t>
  </si>
  <si>
    <t>100033399453637</t>
  </si>
  <si>
    <t>Em chào mọi người trong group mình ạ. Có ai dùng đồ skincare của Laroche Posay mà tự nhiên lên rất nhiều mụn không ạ? Em cũng không biết là do thành phần LHA trong đồ skincare cho da dầu của Laroche làm đẩy mụn hay là do da em không hợp Laroche? Mặt em trước đó không có nhiều mụn, sau gần 1 tuần, em dùng các sản phẩm như: tẩy trang, sữa rửa mặt, toner, xịt khoáng, dành cho da dầu của Laroche xong tự nhiên mặt xuất hiện rất nhiều mụn? Giờ em phải làm sao ạ? Em không cả dám soi gương nữa. Vì ảnh dưới đây chỉ là vùng trán thôi, còn 2 bên má cũng lên mụn lắm ạ -.- vùng trán là vùng mà trước đó rất rất ít mụn, giờ lên bao nhiêu là mụn ạ
Em cảm ơn mọi người nhiều ạ, mọi người chia sẻ cách cho em nha ❤️❤️❤️
Ad duyệt bài cho em với ạ. Em cảm ơn Ad nhiều ạ ❤️</t>
  </si>
  <si>
    <t>2019-11-25 02:58:59</t>
  </si>
  <si>
    <t>100007578136257</t>
  </si>
  <si>
    <t>#trimun
Mong được ad duyệt ạ. Em cảm ơn 
Dạ mọi người ơii, da em hiện tại mụn lên 2 má và trán rất nhiều ạ 😪.Bây giờ em nên sử dụng gì để đỡ mụn hơn ạ. 
Em cảm ơn nhiều ạ</t>
  </si>
  <si>
    <t>2019-12-10 23:45:12</t>
  </si>
  <si>
    <t xml:space="preserve">Mọi người ơi cứu em với ạ . Em cám ơn nhiều !!! Em cần cách trị sẹo ạ 
Chuyện là cách đây gần 1 tháng em té xe , để lại hai vết thương  và nó đã lành như này rồi nhưng em sợ  sẽ bị sẹo cái vết thương mảng lớn còn cái miếng nhỏ hình bên trái thì hình như nó thành sẹo lồi rồi ạ :((( 
Em dạo đây có dùng dermatix được mấy ngày ạ , liệu nó có hết sẹo không mọi người ???
Em cám ơn ạ . 
#Trị_Sẹo </t>
  </si>
  <si>
    <t>2019-12-01 00:10:12</t>
  </si>
  <si>
    <t>Nguyễn Mạnh Tuấn</t>
  </si>
  <si>
    <t>100019304805489</t>
  </si>
  <si>
    <t xml:space="preserve">#Trị_Sẹo </t>
  </si>
  <si>
    <t xml:space="preserve">Dạo lướt facebook gặp live này mà cười sặc các chị ạ :&gt; 
Quẹo mua son nờ ích y 12 cây 199k đi các chị =))) 
Không hiểu sao đọc lên đơn ầm ầm.
</t>
  </si>
  <si>
    <t>2019-12-15 13:04:10</t>
  </si>
  <si>
    <t>운수좋</t>
  </si>
  <si>
    <t>100028894153450</t>
  </si>
  <si>
    <t>😂😂😂
Cre : ST</t>
  </si>
  <si>
    <t>2019-12-02 02:49:16</t>
  </si>
  <si>
    <t>Em chào mọi người ạ
Da em thuộc dạng da dầu,mụn đầu đen,lỗ chân lông to nguyên combo đau khổ luôn ạ..😔😔😔💔💔 mọi người có cách nào trị khỏi giúp em cho em còn ăn tết với hhhuuu
Mong ad duyệt bài.💗</t>
  </si>
  <si>
    <t>2019-12-01 09:06:01</t>
  </si>
  <si>
    <t>100040710250054</t>
  </si>
  <si>
    <t>#ask #tuvan 
Chào mọi người ạ. Em năm nay 14 tuổi. Em mới tập dưỡng da. Da em chỉ có xíu mụn đầu đen ở mũi với đến kì sẽ mọc xíu mụn ở má. Hay ra mồ hôi ở mũi. Giờ em muốn cải thiện cân bằng độ trắng ở da mặt( tại vì mặt em đen hơn người ) với lại mịn da hơn thì em sài những sản phẩm như hình được chưa ạ ? Cần thay đổi gì nữa không ạ? Với lại da em da gì vậy mọi người ? Mong mng giúp đỡ em. Em cảm ơn mng nhiều !</t>
  </si>
  <si>
    <t>2019-10-22 18:11:38</t>
  </si>
  <si>
    <t>100024704436290</t>
  </si>
  <si>
    <t xml:space="preserve">
#help
#mongadduyet
Huhu mọi người ơi chuyện là đợt vừa rồi mặt em mụn nhiều quá nay mụn cũng hết rồi, nhưng thâm thì muốn nát mặt. Sắp đến tết rồi mong mọi người tư vấn sp nào trị thâm ok với. E quá strees với cái mặt này rồi. Cảm ơn mng</t>
  </si>
  <si>
    <t>2019-12-24 22:38:26</t>
  </si>
  <si>
    <t>Tiên Chanh</t>
  </si>
  <si>
    <t>100011225047898</t>
  </si>
  <si>
    <t xml:space="preserve">#mongadduyet #help  </t>
  </si>
  <si>
    <t>#Ask #Review #Foundation
Em chào mọi người.
Em đang cần tìm một loại kem nền cho da hỗn hợp thiên dầu, mụn nhẹ và che khuyết điểm khá, vì da em có một đợt bị mụn nặng nên bây giờ bị thâm khá nhiều, nhưng đã mờ bớt rồi nên không còn nặng lắm. Em đang phân vân giữa Maybelline Fit Me, Catrice HD Liquid và Wet n Wild Photofocus, mọi người giúp em với ạ. Còn không thì mọi người có thể giới thiệu cho em loại kem nền nào khác giá mềm (vì em vẫn đang là sinh viên) được thì tốt quá ạ.
Em cảm ơn mọi người nhiều 😍</t>
  </si>
  <si>
    <t>2019-09-28 15:17:16</t>
  </si>
  <si>
    <t>Caroline Hoang</t>
  </si>
  <si>
    <t>100001347797860</t>
  </si>
  <si>
    <t xml:space="preserve">#Foundation #Review #Ask </t>
  </si>
  <si>
    <t xml:space="preserve">
#mong_add_duyet_bai❤
Cả nhà ơi cho em hỏi em dùng bộ này trị mụn đc k ạ ,gồm dưỡng ẩm,kem trị mụn,chống nắng,toner,nước tẩy trang.Da em thuộc loại da dầu ạ.Cả nhà ai có sp nào ok thì giới thiệu cho em dùng với ạ.Em cảm ơn</t>
  </si>
  <si>
    <t>2019-11-21 05:31:53</t>
  </si>
  <si>
    <t>100037607618225</t>
  </si>
  <si>
    <t xml:space="preserve">#mong_add_duyet_bai </t>
  </si>
  <si>
    <t>#Mong ad duyệt bài giúp em ạ 
Mọi người ơi tư vấn giúp em cách tăng cân với ạ 🙏 😣 hiện tại em 37kg 😣
Em đã từng uống bột đậu tăng cân và thuốc tăng cân , nhưng thấy không hiệu quả lắm. Trong thời gian uống thuốc e lên đc 3kg. Nhưng ngưng uống thì lại bị sút ký 😔 
Gầy quá ai nhìn em ai cũng kiu em ăn nhiều vô. Nhưng ngặt nỗi em không ăn được đồ ăn nhiều dầu mỡ , thịt cá cũng vậy 😣</t>
  </si>
  <si>
    <t>2019-11-14 11:51:46</t>
  </si>
  <si>
    <t>100022059038823</t>
  </si>
  <si>
    <t>mn đã ai dùng những cái này chưa ạ. Cho em xin review với ạ</t>
  </si>
  <si>
    <t>2019-11-30 16:35:23</t>
  </si>
  <si>
    <t>#thammat 
Mấy chị đẹp trong nhóm giúp em với ạ. Chuyện là thứ 6 này em đi chơi với cờ rớt nhưng mà vì em vừa phải ôn thi học kì thức ngày cày đêm nên bây giờ mắt em vốn đã thâm rùi nay càng thâm hơn như gấu trúc í ạ🐼, giờ làm gì để giảm thâm nhanh nhất ạ với lại có cách nào cho mắt long lanh hơn đỡ dại hơn không ạ, mắt em cận gần 5 độ 😢. Mắt em to nhưng mà lúc nào cũng lờ đờ như con dại í hix
Cảm ơn mọi người nhiều ạ ❤️❤️</t>
  </si>
  <si>
    <t>2019-12-25 12:21:41</t>
  </si>
  <si>
    <t xml:space="preserve">
#Trịthammat
Mình thâm mắt do thức khuya, có dùng sản phẩm của Nhật, nhưng vì sức ngoài da, mình nghĩ không hiệu quả lắm.
Các chị em có bí quyết nào hay không ạ? Bài giúp mình với.
Da đã đen mà còn nhìn rõ thâm mắt như vậy, buồn thiệt sự ạ T^T</t>
  </si>
  <si>
    <t>2019-12-23 12:26:24</t>
  </si>
  <si>
    <t xml:space="preserve">#Trịthammat </t>
  </si>
  <si>
    <t>Ở đây có ai thích dùng son dưỡng Nivea ko??? Mình bị khô môi và đã thử qua rất nhiều son dưỡng, mặt nạ môi đắt tiền nhưng ko ăn thua lắm. Xong mình mua lại thỏi son dưỡng Nivea này, thực sự thần thánh í. Vừa rẻ vừa thích lại mềm môi. Vote 5* 🤣</t>
  </si>
  <si>
    <t>2019-10-28 02:46:02</t>
  </si>
  <si>
    <t>Ngọc Liên Nguyễn</t>
  </si>
  <si>
    <t>100003725967670</t>
  </si>
  <si>
    <t xml:space="preserve"> #ask #dongsung 
Em thấy lọ kem nám này đc review tốt lắm, nhỏ bạn cũng mua về cho mẹ nó dùng, thấy mẹ nó dùng hết nám hẳn luôn.
Em thấy có hai phiên bản, ko biết loại nào tốt hơn. Mấy chị dùng rồi cho em xin ý kiến với ạ. Tính mua tặng mẹ
Mấy chị đừng vào khấu nghiệp với em là hỏi ngu bản mới bản cũ nha. Đơn cử như Innisfree bản mới tệ hơn hẳn bản cũ ý</t>
  </si>
  <si>
    <t>2019-08-08 09:39:43</t>
  </si>
  <si>
    <t>Thy Minh</t>
  </si>
  <si>
    <t>100037123992977</t>
  </si>
  <si>
    <t xml:space="preserve">#dongsung #ask  </t>
  </si>
  <si>
    <t xml:space="preserve">
#giupdo
Mấy ci đẹp cho e xin ít bí kíp sửa e nay đi cho vừa chan với ạ 😪 dây thừa nhiều thế này e phải làm sao dc ạ? 
Mong ad duyệt bài.. mấy lần e k dc ad duyệt 😢😢</t>
  </si>
  <si>
    <t>2019-12-03 08:05:39</t>
  </si>
  <si>
    <t>Đắng Cà Phê</t>
  </si>
  <si>
    <t>100029873242830</t>
  </si>
  <si>
    <t xml:space="preserve">#giupdo </t>
  </si>
  <si>
    <t>#dior #check #fake
Mn ơi tình hình là e mới ord cây dior này nhưng mà lại sợ trúng fake quá :( mn check hộ e với ạ :( e lên mạng coi mấy cái nhận biết nhưng thấy cây fake vẫn có những dấu hiệu đó nên h hoang mang quá ạ :(((((( màu của e là 001 ạ :(</t>
  </si>
  <si>
    <t>2019-12-13 12:53:43</t>
  </si>
  <si>
    <t>Mon Hin</t>
  </si>
  <si>
    <t>100035160845497</t>
  </si>
  <si>
    <t xml:space="preserve">#fake #check #dior </t>
  </si>
  <si>
    <t>#makeup #review #tips #phanphu #dadau
Da em thuộc dạng siêu dầu nhưng bình thường em rất lười makeup rườm rà nên em muốn hỏi 500 ce recommend giúp em loại phấn phủ nào kiềm dầu tốt chút với ạ :'( hè này nóng thế mà mặt dầu vậy chắc em chếtt.
Và tiện luôn cho em hỏi tư vấn về da em với, chả hiểu sao da em cứ sử dụng sản phẩm nào kiềm dầu được 2,3 ngày kiềm dầu về sau nó lại như cũ thành ra nhiều khi mua về phí dã mann, có ai bị như em không thì cho em xin cách chữa với ạ? Em uống đủ nước và dưỡng ẩm đầy đủ luôn ạ.</t>
  </si>
  <si>
    <t>2019-05-31 03:32:32</t>
  </si>
  <si>
    <t>Nguyễn Thiên Kim</t>
  </si>
  <si>
    <t>100014119418898</t>
  </si>
  <si>
    <t xml:space="preserve">#dadau #phanphu #tips #review #makeup </t>
  </si>
  <si>
    <t xml:space="preserve">
#tham
#lamdepsausinh
Các chị em mình ơiii 😢😢😢😢
Em có bầu, bị thâm nách, nhũ hoa vs bẹn lắm ạ. Các chị em mình ngoài spa thì có loại kem gel nào trị thâm đc k. E thấy quảng cáo nhiều nhưng k biết thật sự chất lượng như nào. 
Nhũ hoa vs bẹn còn đỡ vì giấu đi đc chứ nách thì hơi chán ạ 😩😩
Các chị em mình cứu em vớiiiu 🥺🥺🥺</t>
  </si>
  <si>
    <t>2019-06-22 07:53:21</t>
  </si>
  <si>
    <t>Bling Bling</t>
  </si>
  <si>
    <t>100030914445481</t>
  </si>
  <si>
    <t xml:space="preserve">#lamdepsausinh #tham </t>
  </si>
  <si>
    <t>Detox choanh soả của mấy chị nổi tiếng pr rầm rộ này 😅
Edit: Mình chỉ muốn khai sáng cho mọi người, nhưng thấy cmt bảo sẽ bị rip nick liền vì trước đó có mấy bạn bị rồi. Có cách nào để không bị rip không nhỉ 🤭</t>
  </si>
  <si>
    <t>2019-08-08 11:56:21</t>
  </si>
  <si>
    <t>Liên Nguyễn</t>
  </si>
  <si>
    <t>100011508660394</t>
  </si>
  <si>
    <t xml:space="preserve">
#ask
#aonguc
Chào mọi người ạ, mọi người có thể cho em xin vài loại áo ngực để mặc với váy áo hai dây hoặc trễ vai giúp giữ được form ngực mà không lỏng lẻo với ạ. Trước giờ em chỉ dùng áo ngực bỏ dây ra để mặc với những loại này mà em thấy không chắc chắn lắm, nhưng do không rành nên em cũng chẳng biết dùng loại nào. Mong mọi người giúp em với, và có hình mẫu thì càng tốt ạ, em xin cảm ơn
Cre: em kiếm trên gg tag là váy hai dây với áo trễ vai nên cũng không biết nguồn từ đâu ạ ^^</t>
  </si>
  <si>
    <t>2019-12-23 16:16:34</t>
  </si>
  <si>
    <t>Phạm Thanh Thảo</t>
  </si>
  <si>
    <t>100006214807017</t>
  </si>
  <si>
    <t xml:space="preserve">#aonguc #ask </t>
  </si>
  <si>
    <t xml:space="preserve">
#Góchỏihan
Cả nhà ai biết phương pháp triệt lông hiệu quả mà ko phải đi spa ko ( Do điều kiện chưa cho phép và người thì full lông ) 🙄🙄🙄
Mình mới mua 1 lọ wax lông của Hàn quốc mà dùng k quen bị đỏ hết cả lcl. 🙄 và rất dát. hic. trước có dùng kem tẩy lông của Hàn  (mình k nhớ tên) dùng có mướt da k bị  nóng dát nhưng đc ít ngày lại mọc lại rồi hic.
Cả nhà có biết loại kem tẩy lông nào mà khi mọc lại lông thưa mỏng hơn ko ạ?
Xin cảm ơn tất cả mn.</t>
  </si>
  <si>
    <t>2019-10-14 10:34:45</t>
  </si>
  <si>
    <t>Yến Nga</t>
  </si>
  <si>
    <t>100008119458745</t>
  </si>
  <si>
    <t>Bao năm rồi vẫn chưa chữa đc hết ce ạ, có ai đã chữa rạn khỏi ko?
Mình thấy mn bảo ko hết đc, buồn quá!😔</t>
  </si>
  <si>
    <t>2019-11-26 13:27:20</t>
  </si>
  <si>
    <t>Mai Phạm</t>
  </si>
  <si>
    <t>1493283366</t>
  </si>
  <si>
    <t>huhu mấy chị ơi cứu emmmm!!!! Làm sao để hết mụn này ạ! Hiện tại e đang xài sữa rửa mặt hada labo ạ và ko sd thêm bất kì mĩ phẩm nào khác!!
#trimun</t>
  </si>
  <si>
    <t>2019-12-15 23:50:13</t>
  </si>
  <si>
    <t>Vy Phương</t>
  </si>
  <si>
    <t>100036534770571</t>
  </si>
  <si>
    <t>Cíu cíu. Tết nhứt tới đít r như này thì phải mần thao hả mn 😭
Da mình thuộc loại cực kỳ độc. Cứ muỗi cắn hay bụi bậm gãi phát là trầy da và sẹo chi chít. Mà sẹo thì mấy tháng trời k mờ luôn. Nên cứ e này chưa hết là e khác cứ thế xuất hiện. Mà mình thì k chịu ngứa đc, cứ ngứa là phải gãi cho đã mới chịu. Ai có bí kíp gì chia sẽ mình với 🤗</t>
  </si>
  <si>
    <t>2019-12-17 23:13:32</t>
  </si>
  <si>
    <t>Riley Tran</t>
  </si>
  <si>
    <t>100000366567511</t>
  </si>
  <si>
    <t>Các chị em ơi cho e hỏi làm cách nào giảm mỡ bụng sau sinh an toàn với ạ. Sau sinh đang cho con bú có dùng đc loại trà giảm cân này ko ạ
#giảmcân</t>
  </si>
  <si>
    <t>2019-12-17 08:13:50</t>
  </si>
  <si>
    <t>Hiền Thu Nguyễn</t>
  </si>
  <si>
    <t>100003861334437</t>
  </si>
  <si>
    <t xml:space="preserve">#giảmcân </t>
  </si>
  <si>
    <t>Các chị e ơi giúp e
E bị ngã xe hom qua xước hết như này e có ra trạm sát trùng băng bó xong về tối e có tháo băng ra và cho thuốc đỏ vào r lại lấy băng mới đắp lại ,giờ k bóc lớp giấy kia ra được . Chị e có cách nào bóc ra để bớt đau k ạ. Huhu
Cách nào nhanh khô vết thương chứ giờ n vẫn đang ra huyết tương
Và tư vấn cho e loại kem bôi chống sẹo luôn ạ
Tết nhất đến nơi rồi. Rõ chán.</t>
  </si>
  <si>
    <t>2019-12-21 13:17:01</t>
  </si>
  <si>
    <t>vũ thị Nhàn</t>
  </si>
  <si>
    <t>100007158799258</t>
  </si>
  <si>
    <t>#moikho #moitham #ask 
Mn ơi môi em bị thâm và khô đến nứt ra chảy máu luôn ý ạ TT em có tẩy tbc và dưỡng môi nhưng nó không có tác dụng lâu cỡ 1-2 tiếng là bắt đầu khô lại rồi ý ạ TT mọi người giúp em với 
Em 16 tuổi ạ, mà môi dày và thâm nên tự ti quá môi dày mà em không biết nên đánh son nhue thế nào để che đi thâm và không biết màu nào hợp nữa, da em là da ngăm</t>
  </si>
  <si>
    <t>2019-12-07 05:13:51</t>
  </si>
  <si>
    <t>Hà Đáng Yếu</t>
  </si>
  <si>
    <t>100043480476970</t>
  </si>
  <si>
    <t xml:space="preserve">#ask #moitham #moikho </t>
  </si>
  <si>
    <t>#ask
#niengrang
#nepnhan
Em chào mọi người ạ, em 22t rùi ạ nhưng mà da em rất yếu do em không chăm sóc với hay thức khuya :’&lt;&lt; nên bây giờ cười khoé miệng với mắt nhiều nếp nhăn lắm. Mọi người cho em hỏi có thể cải thiện được không. Chứ em với người yêu em bằng tuổi mà em nhìn như chị gái hắn vậy huhuuu :’&lt; 
Với lại em niềng răng mới gắn mắc cài được 2 tuần, trước lúc gắn thì e chỉ nhai 1 bên má phải, sau đó e thấy mặt lệch quá e lại nhai 1 bên má trái 😭😭 mà bây giờ mặt e lệch nhiều quá với hóp có mỗi 1 bên 😭cho em hỏi có cách nào cho đỡ không ạ vì bác sĩ nói mặt lệch niềng răng không cải thiện được. Ảnh em chụp cam thường iphone. Tấm cuối là em lúc chưa niềng ạ tại mặt lệch với da xấu nên em ít hình cam thường trước niềng lắm mng thông cảm. 
Lời cuối em cám ơn mọi người nhiều ❤️❤️
Cảm ơn ad duyệt bài của em nữa hihiii😘😘</t>
  </si>
  <si>
    <t>2019-12-12 08:54:00</t>
  </si>
  <si>
    <t>Trang Hoàng</t>
  </si>
  <si>
    <t>100004979911639</t>
  </si>
  <si>
    <t xml:space="preserve">#nepnhan #niengrang #ask </t>
  </si>
  <si>
    <t>Mọi người chỉ cho em cách trị thâm với sẹo rỗ với ạ😭  em nên sài mỹ phẩm or đi tmv ạ</t>
  </si>
  <si>
    <t>2019-11-15 23:21:42</t>
  </si>
  <si>
    <t>Lê Ngọc Mỹ Hạnh</t>
  </si>
  <si>
    <t>100025239842979</t>
  </si>
  <si>
    <t>**#ask #lankhumuiEtiaxil #phanbiethangthat #Etiaxil**
**Chào các bạn trẻ trong nhóm, cho mình xin chút ý kiến với ạ**
**Mình mua chai Etiaxil bên tay trái tại Nuty xài rất ok, lăn 1 lần 1 tuần mới phải lăn lại tiếp. Mình sử dụng được 4-5 chai rồi, chưa hề thấy vệt ố vàng hay vấn đề gì cả.**
**Nay hết chai thứ 5  rồi mình lang thang lên mạng tìm mua chai mới ( do bận không ra của hàng được) thì thấy được hình ảnh Etiaxil chai bên phải ( nhìn rất lạ, Etiaxil đổi bao bì ???)**
**Bạn nào đã sử dụng chai bên phải cho mình xin ý kiến  với.**
**Chai nào mới là chính hãng đây ???**</t>
  </si>
  <si>
    <t>2019-11-26 10:33:40</t>
  </si>
  <si>
    <t>Ong Thị Ngọc Huyền</t>
  </si>
  <si>
    <t>100030608143279</t>
  </si>
  <si>
    <t xml:space="preserve">#Etiaxil #phanbiethangthat #lankhumuiEtiaxil #ask </t>
  </si>
  <si>
    <t xml:space="preserve">Em lâu lâu hay bị mọc vài cục mụn kiểu này,sưng đỏ lên và không có nhân,nhìn gồ ghề ghê lắm 
Anh chị có tips nào (về ăn uống,dou+,..)  để lặn cục mụn này xuống không ạ,chứ nặn chắc mặt em tanh bành luôn π_π 
Hiện em đang dùng nước muối sinh lý, srm Hazeline, toner simple,bha Paula's Choice 2% ,serum cc melano 
</t>
  </si>
  <si>
    <t>2019-11-26 13:20:25</t>
  </si>
  <si>
    <t>#Askdepchanhsa#sẹolom
Sẹo lõm do thủy đậu có cách nào để trị không vậy chị em ơi?? Sắp tới tết rồi, gặp ai cũng hỏi lấy chồng chưa con mà đau lòng, trong khi nhan sắc mình cũng đâu tới nỗi nào đâu chỉ là bị 1 vài nốt sẹo do ngày trước bị thủy đậu thôi à. Vậy nên ai có bí quyết gì thì chia sẻ giúp mình với nhé,xin cám ơn</t>
  </si>
  <si>
    <t>2019-11-30 09:03:05</t>
  </si>
  <si>
    <t xml:space="preserve">#sẹolom #Askdepchanhsa </t>
  </si>
  <si>
    <t>Mong ad duyệt giúp mình với ạ. 
Mình vừa mua máy Foreo Luna 3 nhưng lại không kết nối được với app. Mình cũng đã thử xoá app và khởi động lại máy nhiều lần nhưng vẫn không được. Phần dây sạc cũng không cắm vào được lỗ cắm hoàn toàn. Mn có ai gặp trường hợp này chưa, hướng dẫn mình cách giải quyết với ạ. Cám ơn mọi người.
À còn nữa. Trên app có phần Can't find your device, rồi yêu cầu nhập số serie vào, vậy cho mình hỏi số serie mình có thể tìm ở đâu ạ
Chân thành cãm ơn mọi ng.</t>
  </si>
  <si>
    <t>2019-11-06 05:44:29</t>
  </si>
  <si>
    <t>Dann</t>
  </si>
  <si>
    <t>100014619609115</t>
  </si>
  <si>
    <t>#ask
#cắtmí
Em mới cắt mí và mở góc mắt được hơn 1 tháng, cả nhà thấy thế nào ạ?
Với lại mn cho e hỏi nhìn tổng thể khuôn mặt của e thế này đã ổn chưa, cần sửa gì thêm nữa k?</t>
  </si>
  <si>
    <t>2019-11-18 04:51:13</t>
  </si>
  <si>
    <t>Lệ Mỹ</t>
  </si>
  <si>
    <t>100004986460899</t>
  </si>
  <si>
    <t>#ask 
Mình có bị như vậy lâu rồi và có đi bác sĩ . Bác sĩ nói mình bị viêm nan lông và cho thuốc đến giờ vẫn chưa khỏi . Mong chị em cho mình cách để trị khỏi chứ lúc nào cũng mặc đồ kín cũng buồn :((
cám ơn mọi người nhiều ❤</t>
  </si>
  <si>
    <t>2019-12-19 23:25:28</t>
  </si>
  <si>
    <t>Sen Sen</t>
  </si>
  <si>
    <t>100026080845289</t>
  </si>
  <si>
    <t>Cho em hỏi da của con em em bị mụn ẩn lâu rồi mà xài cũng đủ thứ không thấy hết ace coi em em nên sd gì bây giờ ạ 
P/s: nó da dầu ạ với cho em hỏi sẹo lâu năm bh chữa đc kh ạ</t>
  </si>
  <si>
    <t>2019-12-18 23:08:26</t>
  </si>
  <si>
    <t>100044222619884</t>
  </si>
  <si>
    <t>Chào mn e năm nay 20t , 
Ko biết ở đây có ai như e ko  :(
Chuyện là hồi cấp 2 (6năm trc) e có tật hay nhổ tóc ngứa , nhưng chặp lâu ngày thành quen dần e ko thể bỏ đc , cứ vài ba bữa  lại thò tay lên đầu  tìm tóc ngứa và những sợi đã bị nhổ ngắn ngủn và ... bứt :( Cứ ngồi rảnh rỗi e lại nhổ từg sợi k kiểm soát đc ,
 tuy e đó biết là tật xấu và điên rồ nhưng việc nhổ tóc làm mk thấy thoải mái nên cứ mặc kệ :( và  
đến đỉnh điểm cho đến bây giờ đã lên ĐH hậu quả là đầu e bị hói mất 1 phần tóc 1 mảng rộng và thêm 1 chùm tóc chỉ 2-5phân ( như hình ạ) do e nhổ ko hết gốc . Tóc e trc kia nhiều nhưng bh còn rất it .
[Ảnh này e chụp trc kia , còn giờ nó hói hơn nhiều lắm ạ  Nhìn ở ngoài còn khủng kiếp hơn nhiều ]
Vì tật  xấu ấy nên e rất tự ti về mái tóc của mk ,
rất lâu rồi e chỉ biết cột lên hoặc bối thôi ạ. Xõa ra nhìn thủng ( do hói) 1 lỗ hổng ghê lm ạ.
 E ở chung vs bạn bè đều che giấu k dám xõa ra , cắt tóc cũg k dám ra tiệm chỉ biết nhờ bạn thân cắt cho 😭 Em tự ti và chán nản lm ạ
E phải làm sao đây mn . Có cách cách nào khắc phục mảng đầu bị hói và chùm tóc đó mau dài lại vs ạ . Emcarm ơn ạ!
#ask
#rungtoc</t>
  </si>
  <si>
    <t>2019-11-30 12:43:40</t>
  </si>
  <si>
    <t>Tuổi Thanh Xuân</t>
  </si>
  <si>
    <t>100029000977107</t>
  </si>
  <si>
    <t>Chào mọi người em là thành viên mới💜
Chân em bị từ hồi nhỏ và có sử dụng nhiều cách khác nhau nhưng không bớt được :&lt; em luôn luôn bị chê cười vì không có chân hoàn hảo như những bạn khác, và mỗi lần em mặc đầm hay váy đều phải mang vớ. Người ta bảo em bị phong rồi máu xấu này nọ. Mong mọi người giúp em ạ 😢</t>
  </si>
  <si>
    <t>2019-12-08 12:06:23</t>
  </si>
  <si>
    <t>Kim Huyền</t>
  </si>
  <si>
    <t>100026964755357</t>
  </si>
  <si>
    <t>#đẹp_chanh_sả
Cho em xin cách dưỡng môi hồng ạ.
Bôi son nhiều nên mỗi lần đi đâu mà k có son nhìn nhợt nhạt chán quá ạ</t>
  </si>
  <si>
    <t>2019-11-14 04:12:58</t>
  </si>
  <si>
    <t>Bất Hối</t>
  </si>
  <si>
    <t>100009618990491</t>
  </si>
  <si>
    <t>Cho em xin review về các loại kem chống nắng kềm dầu với ạ. Em đang dùng kcn của innisfree, lúc đầu dùng kềm dầu rất tốt nhưng 1 thời gian sd sau đó thì không kềm dầu được nữa, da mặt em lại cứ ra dầu bình thường, sau 1 buổi sáng thì mặt em có thể đem chiên trứng được luôn ạ =))). Cho em xin review về kcn sd lâu dài vẫn kiềm dầu tốt với ạ.
Mong ad duyệt giúp em ạ!!! Thanks ad.</t>
  </si>
  <si>
    <t>2019-11-18 23:54:31</t>
  </si>
  <si>
    <t>Các chị ơi mặt e như này thì vớt nó làm sao ạ. E năm nay 19t .trước ko bị mụn hay j hết. Đợt này nó tự dưng phun lên. Ai cứu e vs😭😭. E chỉ dùng sữa rửa mặt innisfree thôi ạ.</t>
  </si>
  <si>
    <t>2019-12-07 13:02:06</t>
  </si>
  <si>
    <t>100009290606174</t>
  </si>
  <si>
    <t>#Help 
#Helps
#HelpMe
Em xin dùng nick clone để up bài ạ 
Do lạm dụng ngăn khử mùi mà nách em bây giờ bị thâm. Không biết có ai có thể chia sẻ tips trị thâm nách ở nhà cho em được ko ạ ?</t>
  </si>
  <si>
    <t>2019-11-26 13:28:48</t>
  </si>
  <si>
    <t>김태국</t>
  </si>
  <si>
    <t>100037099577269</t>
  </si>
  <si>
    <t xml:space="preserve">#HelpMe #Helps #Help </t>
  </si>
  <si>
    <t xml:space="preserve">
#ask
#botdaudo
Mọi nguời tư vấn giúp em  với ạ. Trong hội mình có ai xài bột đậu đỏ chưa ạ. Vì do da em khó xài mỹ phẩm nên em chỉ xài bột thiên nhiên là nhiều. Em có đọc nhiều bài nói bột đậu đỏ làm  trắng nhanh sạch da. Mng xài pha với gì để có hiệu quả cho da ok nhất ạ. Face  và cả body luôn ạ. Da mặt em thuộc loại hỗn hợp nhưng em  thấy dầu nhiều hơn khô ạ :(((</t>
  </si>
  <si>
    <t>2019-08-16 04:25:17</t>
  </si>
  <si>
    <t>Phạm Ngọc Thảo Quỳnh</t>
  </si>
  <si>
    <t>100037328543086</t>
  </si>
  <si>
    <t xml:space="preserve">#botdaudo #ask </t>
  </si>
  <si>
    <t>Chào mọi người. Hôm nay em viết bài này để chia sẻ cùng mọi người về cái cục xinh xinh kia ở tai em 🤣
Thời trẻ trâu em rất thích bấm lỗ tai và theo như bác sĩ nói thì em bị nhiễm trùng chỗ bấm, tổn thương sụn và bị đẩy ra 1 cục thu lu như kia. Em đã phải chung sống với nó khoảng 3 năm em đã đi cắt 1 lần, nhưng đợt đấy em cắt xong nó lại lên lại,em cắt ở nhà em. Bác sĩ cũng nói là khả năng lên lại rất cao. Và vừa rồi em lại đi cắt lần tiếp theo, lần này em cắt ở viện 108, các bác sĩ đốt chân sụn bằng laser cho em, vì em đã cắt 1 lần rồi nên chân sụn khá rộng, bác sĩ phải lóc da 2 bên vành tai để khâu lại. Hiện giờ em đã cắt chỉ chỗ mổ, đang theo dõi trong vòng 1 đến 3 tháng nếu nó có hiện tượng lồi lại thì sẽ đến tái khám và có hướng điều trị khác. Nhân đây em cũng muốn hỏi các chị đã có ai bị như em và đi cắt mà nó k lên lại k ạ. Htrc em đi cắt chỉ cũng thấy có bạn bị như em và đi khám. Mong mọi người chia sẻ để cùng tham khảo ạ ❤️😘
Mong ad duyệt bài của em . Em xin cảm ơn</t>
  </si>
  <si>
    <t>2019-10-27 14:05:53</t>
  </si>
  <si>
    <t>100004422720125</t>
  </si>
  <si>
    <t>Cho e hỏi xíu là duỗi mà không thẳng lắm thì lí do gì ak.
 E có để tóc ẩm ngủ nhưng hôm sau e gội lại để khô mà vẫn cong như hình 1
P/s.toc e cũng mượt không xù</t>
  </si>
  <si>
    <t>2019-12-12 12:27:22</t>
  </si>
  <si>
    <t>Nguyễn Kiều</t>
  </si>
  <si>
    <t>100023394761786</t>
  </si>
  <si>
    <t>#ask #chuyennhaycam
Mong ad duyệt giúp mình, mình đã thêm tag vào rồi
Góc nhạy cảm (có bạn nam nào đi ngang thì né ra nhé): mọi người cho mình hỏi, lần trước mình đi khám phụ khoa do thấy bị ngứa liên tục, mình chưa qhtd bao giờ và cũng nói thật với bsi như thế (vì đi khám bệnh thì ai mà nói dối làm gì), thế mà bà bsi đấy khám cho mình xong cứ lẩm bẩm "như này mà chưa qhtd à", mình điên lắm mà đang khám nên k nói gì. Mình khám bt chứ k siêu âm đầu dò gì cả.
Trước đấy mình k để ý đến vùng nhạy cảm, nghe bà ấy nói thế mình mới về xem xem thì thấy vùng nhạy cảm của mình rất thâm, môi lớn (so với những gì mình tìm hiểu trên mạng). Mọi người có ai bị như thế không? Như thế có bình thường không? 
Thật sự sau chuyện đi khám đấy mình chán mấy bà bsi quá, kiểu kỳ thị hay sao đấy, mà mình có phải người sống bừa bãi buông thả gì đâu.
Vì hỏi chuyện nhạy cảm nên mình dùng acc giả nhé mn thông cảm</t>
  </si>
  <si>
    <t>2019-08-16 13:36:38</t>
  </si>
  <si>
    <t>Cây Xanh</t>
  </si>
  <si>
    <t>100037879383784</t>
  </si>
  <si>
    <t xml:space="preserve">#chuyennhaycam #ask </t>
  </si>
  <si>
    <t>#tiphongmoi #LANEIGE #BUBIBUBILIP #share 
Chào các cậu! Sau khi sử dụng thấy khá hiệệu quả nên hôm nay muốn chia sẻ cho các cậu TIP môi hồng hào 
Bước 1: Tẩy da chết dạng sủi bọt BUBI BUBI LIP. Làm ướt môi bằng nước ấm, thoa một lượng vừa đủ lên môi, chờ khoảng 4-5 phút, dùng bàn chải đánh răng chà nhẹ để lấy đi tế bào chết.
Bước 2: Ủ môi qua đêm bằng Lip Sleeping Mask của LANEIGE  ( Sáng hôm sau lại dùng bàn chải đánh răng chà nhẹ để rửa sach môi ) 
- Chia sẻ thêm giá tại store Hàn BUBI BUBI LIP 12ml 9kw ( 180k ) và dưỡng môi LANEIGE Full size 20g 16kw ( 320k ). Theo mình tìm hiểu dưỡng môi LANEIGE mini chỉ là hàng tặng kèm tại các store Hàn, nhưng ở Việt Nam thấy bán khá nhiều nên các cậu cân nhắc khi mua mini size nha &lt;3</t>
  </si>
  <si>
    <t>2019-10-26 00:39:44</t>
  </si>
  <si>
    <t>서윤</t>
  </si>
  <si>
    <t>100029260688610</t>
  </si>
  <si>
    <t xml:space="preserve">#share #BUBIBUBILIP #LANEIGE #tiphongmoi </t>
  </si>
  <si>
    <t>Có ai bị như em và xin cho em xin cách điều trị ạ 😞 em bị nv cũg phải hơn 2 tháng rồi ạ huhu Em uống thuốc lọc gan rất nhiều nhưng mãi vẫn chẳng khỏi.... xin ad duyệt bài !!!</t>
  </si>
  <si>
    <t>2019-12-03 15:26:54</t>
  </si>
  <si>
    <t>Nguyễn Hoài Khánh Linh</t>
  </si>
  <si>
    <t>100004372333109</t>
  </si>
  <si>
    <t>.                                                     
Mình bị tàn nhang đã dùng nhiều sp nhưng ko đỡ. Mình uống 2 hộp transino của nhật mà ko có tác dụng gì. Mọi người có ai biết sp nào tốt hiệu quả chỉ giùm mình với ạ. Cảm ơn mọi người. Da mình thuộc dạng da nhờn nhiều mụn cám</t>
  </si>
  <si>
    <t>2019-11-17 07:52:47</t>
  </si>
  <si>
    <t>Huong Dung</t>
  </si>
  <si>
    <t>100024593610343</t>
  </si>
  <si>
    <t>#ask 
Trong group có ai xài kem nám Dongsung chưa ạ. Em xem mấy chị bên Hàn review tốt lắm mà chưa dám mua dùng thử. 
Mọi người cho em xin ít review nhé 🥰🥰🥰
Mong ad duyệt bài ạ.</t>
  </si>
  <si>
    <t>2019-09-26 03:49:09</t>
  </si>
  <si>
    <t>QN Q Như</t>
  </si>
  <si>
    <t>100005668807275</t>
  </si>
  <si>
    <t>#Review 
Các chị có ai bị rụng tóc như em k . 1 lần mà rụng cỡ đó thì thôi chứ em nói thật em sắp thành ni cô dô chùa ở luôn quá 😭 . Các chị dùng loại dầu gội nào có hiệu quả cho em cái review với 😭😭😭  . Không phải khoe khoang gì chứ trước kia tóc em đẹp lắm . Dày mà đen , còn mượt nữa , bởi vì tóc chưa qua nhuộm hay uốn gì . Tóc nguyên chất 18 năm , dô tiệm làm tóc mà ai cũng kêu bán cho chị đi . Mà h nó sinh xong là nó rụng như vậy đó 😭</t>
  </si>
  <si>
    <t>2019-11-02 03:40:42</t>
  </si>
  <si>
    <t>Vi Sumii</t>
  </si>
  <si>
    <t>100035185305830</t>
  </si>
  <si>
    <t xml:space="preserve"> #Review </t>
  </si>
  <si>
    <t>Ce nào bị thâm nách như em k ạ. Mất tự tin lắm ạ. Có ai trong hội đã từng chữa trị hiệu quả rồi k ạ. Mách e với a. Cảm ơn Ad đã duyệt bài ạ.</t>
  </si>
  <si>
    <t>2019-12-23 16:17:35</t>
  </si>
  <si>
    <t>100011743789318</t>
  </si>
  <si>
    <t>#review #moitraitim
 Ao ước có đôi môi trái tim, hồng và căng mọng như trái đào chín...Mình đã quyết định đi làm môi trái tim.
 Lúc làm bs tiêm thuốc nên k đau, sau đó bác sĩ cho đơn thuốc về uống ngoài mấy loại kháng sinh kháng viêm, còn uống thêm long huyết p/h. Hỏi thì dc bảo là giúp giảm sưng đau với đỡ bầm tím. Ngày thứ 4 sau khi phẫu thuật mik đi cắt chỉ, bác sĩ bảo nếu mik để muộn hơn chỉ 1 ngày bs nói sẽ khó mà rút chỉ (cái này mik phải tuân thủ lời bác sĩ nhé). Trong vòng 1 tháng kể từ lúc làm cứ khi nào ăn xong fai xúc miệng nước muối và thấm qua vùng môi đc pt, tránh để rớt nước mắm và mới đầu nên ăn nhạt nhé, kiêng đồ tanh, đồ nếp, thịt gà nữa .
 Lúc mới cắt chỉ về môi tớ có vẻ mỏng đi rất nhiều, và căng nữa, cứ cảm giác nó đang chằng ra vậy cười to sợ toác môi.hii, ko kín đc hở cả răng. Tuy nhiên cũng đọc nhiều kinh nghiệm của mấy người làm trên hội dao kéo nên tớ chịu khó day day và nói cười nhìu để môi đàn hồi ra vào và đc tự nhiên hơn, lúc đầu cái vết phẫu thuật đó tê và khá đau . Bây h sau 1 tháng thì nhìn khả quan hơn lúc đầu rồiTớ vẫn muốn khuyên các bạn nào môi thật sự dày thì hãng làm nhé, môi mỏng làm ko ra hình mà cứng đơ đấy. Con bạn tớ môi mỏng nhưng cứ thích bon chen làm giờ cười đơ và hơi kém duyên.</t>
  </si>
  <si>
    <t>2019-11-06 10:53:47</t>
  </si>
  <si>
    <t>100012768159696</t>
  </si>
  <si>
    <t xml:space="preserve">#moitraitim #review </t>
  </si>
  <si>
    <t>#damong
Mọi người ơi ! Cho em hỏi 1 xíu da em thuộc da mỏng (do kem trộn em sài 1 năm trước ) em ngưng sài cũng 1 thời gian rồi , da em lúc chưa dưỡng thì có bị sương ăn , sau đó em bắt đầu dùng mỹ phẩm ban đêm thì k sao , nhưng ban ngày ra nắng nó đỏ và nóng ran( em có sài kem chống nắng innisfree màu trắng mà nó bết quá với còn ra mấy hột trắng li ti ) em nên sài sang loại kem chống nắng nào thì tốt hơn ạ . Mong ad duyệt bài , em cảm ơn ạ.</t>
  </si>
  <si>
    <t>2019-12-09 05:07:48</t>
  </si>
  <si>
    <t>100030140370659</t>
  </si>
  <si>
    <t xml:space="preserve">#damong </t>
  </si>
  <si>
    <t xml:space="preserve">
#review
Hội mình có ai dùng qua viên tảo xoắn Nhật Bản này chưa cho em xin chút review với ạ</t>
  </si>
  <si>
    <t>2019-08-01 07:42:23</t>
  </si>
  <si>
    <t>Thái Thị Tuyết Trinh</t>
  </si>
  <si>
    <t>100011944848941</t>
  </si>
  <si>
    <t>“_Kể ra thì MAGICSKIN cũng làm ”hại”  đời nhiều người phết rồi đấy 🙂 _”
Biết là em ấy muốn nói ý ngược. Nhưng theo chị nghĩ thì em đang nói chuẩn nghĩa đen đấy em gái ạ 😆😆😆 nên không cần để từ “hại” trong ngoặc kép đâu 😆😆😆</t>
  </si>
  <si>
    <t>2019-12-20 05:42:13</t>
  </si>
  <si>
    <t>Thanh Tamm</t>
  </si>
  <si>
    <t>100023476462767</t>
  </si>
  <si>
    <t>#ask #kemtron
Mọi người ơi, cho e hỏi là A Comestic này có phải là kem trộn không ạ??? Bản thân e nghĩ nó là kem trộn nhưng e đi tìm phốt của nó lại không có bài nào. Chị gái e đang tính mua về xài thử mà e không có cách nào ngăn lại. Mọi người ai bk phốt gì của nó share cho e với để em còn kịp thời ngăn chặn bà chị của em lại.</t>
  </si>
  <si>
    <t>2019-03-08 10:40:12</t>
  </si>
  <si>
    <t>Bella Phạm</t>
  </si>
  <si>
    <t>100005780100705</t>
  </si>
  <si>
    <t xml:space="preserve">#kemtron #ask </t>
  </si>
  <si>
    <t xml:space="preserve">Chào mn ạ, em muốn nhờ mn giúp em cách nào để hết sẹo ở chân ( ghẻ ) thế ạ :(( em bị sẹo ở chân từ hồi bé đến giờ rồi ạ, mẹ em bảo do thịt em độc nên nó mới bị thế. Em cũng sử dụng nhiều gel trị sẹo các thứ nhưng vẫn ko có tình trạng giảm ! Có a/c nào biết nên sử dụng gì để bớt thâm với hết ko ạ ;( Em cám ơn mn ạ &lt;3 
#Help </t>
  </si>
  <si>
    <t>2019-12-04 15:11:23</t>
  </si>
  <si>
    <t>Bánh Pò</t>
  </si>
  <si>
    <t>100036437121734</t>
  </si>
  <si>
    <t>#ask #help #munan
em xin phép dc xài acc clone vì trong đây quá là nhiều người quen 😢
Xin chào cả nhà ❤️ da em hỗn hợp nhma nó biến đổi linh hoạt đôi khi khô đôi khi dầu hic, tình hình hiện tại mặt em bị mụn ẩn trên trán là chủ yếu em muốn xin mọi người cách trị mụn ẩn hiệu quả ạ 😢😢
Với cả em muốn xin mn giới thiệu cho dòng cushion nào tốt tốt hợp da mặt em có thể che khuyết điểm như mụn và quầng thâm giá dưới 1tr ạ
Mong ad duyệt ạ</t>
  </si>
  <si>
    <t>2019-12-24 02:00:56</t>
  </si>
  <si>
    <t>Hi Minh</t>
  </si>
  <si>
    <t>100042524122712</t>
  </si>
  <si>
    <t xml:space="preserve">#munan #help #ask </t>
  </si>
  <si>
    <t>Mỗi lần gội xong là cứ như này. Không thể cột tóc lên được vì xù tứa lung tung. Muốn tóc đẹp vào nếp phải để 3-4 ngày ko gội thì lúc đó nó mới xẹp bớt mới vào nếp và đẹp tóc. Đầu em tuần chưa gội mà ko bị bết nữa. Help em cũng muốn có tóc như mọi người. Hiện tại em đang sd Sunsilk đen ạ.</t>
  </si>
  <si>
    <t>2019-12-16 07:21:24</t>
  </si>
  <si>
    <t>Gia Kỳ</t>
  </si>
  <si>
    <t>100034551374832</t>
  </si>
  <si>
    <t>#ask #bỏng #triseo #tritham #help
E bị bỏng nước sôi  nguyên một siêu 7l vào người, e đi viện tri bỏng  giờ da em đang bong và mọc da non rồi ạ.  
Bác sĩ kêu e bỏng độ 2-3 hỏi  có sẹo không thì ai cũng kêu là không  và không kê cho thuốc trị sẹo gì ngoài dặn về vệ sinh sạch sẽ cho ra viện trong khi vẫn cuốn băng còn nguyên mài.  Em đã tự tìm hiểu và dùng mỡ trăn để bong mài sau đó bôi thuốc contractubex để trị sẹo. 
Đây là chân và tay e hiện tại Mn có biết thuốc nào trị sẹo thâm tốt ( nghe nói bỏng bị thâm ghê lắm)  với đều màu da thì chỉ em với 😢😢😢</t>
  </si>
  <si>
    <t>2019-10-04 10:35:44</t>
  </si>
  <si>
    <t>Bui Ngoc Bich</t>
  </si>
  <si>
    <t>100006959356397</t>
  </si>
  <si>
    <t xml:space="preserve">#help #tritham #triseo #bỏng #ask </t>
  </si>
  <si>
    <t>#Mụnliti #Mụnẩn #caryophy
Xin chào mọi người , cách đây khoảng 3 tháng trước da mặt mình sau khi xài thuốc rượu xong thì bị dị ứng mà nổi một nùi mụn ẩn , mụn li ti , da sạm màu đi trông thấy rõ. Mình được người yêu CŨ giới thiệu xài rất nhiều loại mỹ phẩm nhưng chỉ làm mặt mình còn nhiều mụn hơn.Lúc đó thật sự là mình hết tin tưởng vào mỹ phẩm nữa luôn 😢
Sau đó mình có lên youtuber và tìm hiểu về Caryophy bảo là an toàn không kích ứng nên cũng muốn thử lần cuối ai ngờ trộm vía dính luôn. Mình không hiểu nhiều về mỹ phẩm nên review không được chi tiết nên mình minh họa qua hình ảnh trong thời gian sử dụng 
Sau khi kết hợp với lấy nhân mụn hằng tháng và sử dụng sản phẩm thì mụn ẩn , thâm này kia mờ đi trông rõ rệt. Sau cỡ tầm 2 tháng có nghĩa là qua 2 chai serum thì da mình đã ổn đi nhiều đi trông thấy. Da có sáng hơn một ti tí do thâm không còn và ít mụn liti làm da sần nữa. 🥰</t>
  </si>
  <si>
    <t>2019-10-28 12:43:32</t>
  </si>
  <si>
    <t>Âu Thanh Khải</t>
  </si>
  <si>
    <t>100010412595112</t>
  </si>
  <si>
    <t xml:space="preserve">#caryophy #Mụnẩn #Mụnliti </t>
  </si>
  <si>
    <t>Mọi người ơi tay mình bị nẻ nứt chảy máu thì dùng gì được ạ! 😥😥😥</t>
  </si>
  <si>
    <t>2019-12-08 00:47:39</t>
  </si>
  <si>
    <t>100009245063143</t>
  </si>
  <si>
    <t>Lần đầu tiên đăng bài trên nhóm. Mong được duyệt ạ. 
Chả là em có người quen ở Hàn chuẩn bị về nước. Em muốn nhờ mua ít mĩ phẩm bên đó. Nhưng không biết mua loại gì cho phù hợp. Tình trạng da: Da em là da dầu, nhiều mụn ẩn, khá nhiều thâm mụn nữa ạ. Em mong muốn tìm các sản phẩm giúp trị mụn ẩn, thâm và trắng da chút để vớt vát chút nhan sắc ăn Tết. Mong mọi người giúp đỡ ạ ♥️
#tuvan #miphamhanquoc</t>
  </si>
  <si>
    <t>2019-12-22 05:11:32</t>
  </si>
  <si>
    <t>Minh Clara</t>
  </si>
  <si>
    <t>100007471629602</t>
  </si>
  <si>
    <t xml:space="preserve">#miphamhanquoc #tuvan </t>
  </si>
  <si>
    <t xml:space="preserve">
#Timsanphamchamsocvungmắt
#Help
Mong add duyệt giúp e 
E cần tìm 1 sản phẩm chăm sóc vùng mắt 
Do đó h e chỉ tập trung skincare mà lãng quên chăm sóc vùng mắt này và hậu quả là mắt e bọng , khi ngước lên còn xuất hiện 1 vài vết nhăn nữa
Mb giới thiệu giúp e sản phẩm chăm sóc mắt hiệu quả  vs ạ e xin cảm ơn !</t>
  </si>
  <si>
    <t>2019-11-05 15:12:13</t>
  </si>
  <si>
    <t xml:space="preserve">#Help #Timsanphamchamsocvungmắt </t>
  </si>
  <si>
    <t>Em cần mua kem trị sẹo loại nào tốt nhất. Ai biết hoặc đã dùng rồi giúp e với.
E đội ơn👏👏👏</t>
  </si>
  <si>
    <t>2019-11-18 08:23:53</t>
  </si>
  <si>
    <t>Lê Tương Vy</t>
  </si>
  <si>
    <t>100009329594866</t>
  </si>
  <si>
    <t xml:space="preserve">
#askmụnviêm
#askgiảmthâm
#askgiảmđổdầu
Mn cho mình hỏi da mà hể ăn đồ hơi nóng tí là hôm sau nổi bụp bụp như này làm sao để khắc phục ạ. Chị mình đi spa lấy nhân mụn các thứ rồi mà vẫn không thuyên giảm, mụn viêm cứ chòi lên hoài.
Với cả da mình với chị mình dầu lắm, kiểu chiên cá là khét luôn ý, có loại mask đất sét nào hay mask cấp nước tốt cho da dầu mn chỉ mình với ạ^^ 
Sản phẩm hiện tại đang sử dụng:
Tẩy trang Lo'real
Gel rửa mặt simple
Toner Lo'real</t>
  </si>
  <si>
    <t>2019-08-26 01:00:19</t>
  </si>
  <si>
    <t>Bích Liễu</t>
  </si>
  <si>
    <t>100005455629802</t>
  </si>
  <si>
    <t xml:space="preserve">#askgiảmđổdầu #askgiảmthâm #askmụnviêm </t>
  </si>
  <si>
    <t xml:space="preserve">Cả nhà ơi...
Chế nào biết cách phân biệt son mac chuẩn không ạ...
Em vừa được tặng 2 thỏi son của mac..em muốn biết là chuẩn hay fake ạ...
Các chế chỉ giúp em...
</t>
  </si>
  <si>
    <t>2019-12-03 03:34:25</t>
  </si>
  <si>
    <t>Nguyễn Khuyên</t>
  </si>
  <si>
    <t>100028324365208</t>
  </si>
  <si>
    <t>#giảm_mỡ_bụng
Các chị em đã sinh con rồi cho em hỏi có cách nào giảm được mỡ bụng ngoài đi tập gym ko ạ? Con em hiện tại gần 14th. Khoảng 3 tháng trở lại đây em ngồi nhiều và bụng bắt đầu tích tụ mỡ. Các ch em cho em xin ý kiến vớiiii</t>
  </si>
  <si>
    <t>2019-11-30 15:10:00</t>
  </si>
  <si>
    <t>An Yen</t>
  </si>
  <si>
    <t>100016407464195</t>
  </si>
  <si>
    <t xml:space="preserve">#giảm_mỡ_bụng </t>
  </si>
  <si>
    <t>#ask 
Chào mọi người, em muốn tham khảo về sữa rửa mặt. Da e là da hỗn hợp em mới bắt đầu dùng thì nên dùng sữa rửa mặt gì ạ ? Em chỉ dùng mỗi srm để tẩy bụi bẩn sau 1 ngày, k dùng thêm sp  gì khác nữa thì đc không ạ vì em không trang điểm. E có tìm hiểu trên mạng rồi nhưng mà không biết dùng loại nào tốt mong mọi người giúp ạ.
Mong ad duyệt bài giúp em❤️</t>
  </si>
  <si>
    <t>2019-11-29 15:41:56</t>
  </si>
  <si>
    <t>Duy Anh</t>
  </si>
  <si>
    <t>100020110448182</t>
  </si>
  <si>
    <t>#ask #taytrang Gấp !! Ad ơi xin duyệt bài giúp em với ạ huhu !! Hiện em muốn hỏi mn cách để tẩy trang sạch với ạ 😭😭 thường ngày em hay sử dụng phấn phủ dòng glow của eglips xài khá ok thế nhưng nó lại có nhũ nên khó tẩy trang cực kì luôn ạ . Sau 1 ngày với lớp phấn phủ trên mặt thì em tẩy trang dạng nước kết hợp dầu của loreal với 5 miếng bông tẩy trang , sau đó tẩy trang dầu của hada labo 2 lần nữa rồi mới rửa mặt bằng srm hada labo kết hợp mrm foreo luna play plus . Vậy mà soi gương vẫn thấy 3-4 hạt nhũ lấp lánh trên mặt và kết quả là mặt em một ề mụn luôn huhu . Cần mọi người một lời khuyên ạ !!!</t>
  </si>
  <si>
    <t>2019-10-04 14:50:14</t>
  </si>
  <si>
    <t>100037792853011</t>
  </si>
  <si>
    <t>Mọi người giúp em với ạ. Em dùng combo này cũng được gần một năm rồi ạ. Nhưng da em lâu lâu cứ bị nổi mụn bọc to ở dưới cằm. Khoảng hơn tuần nay da em bắt đầu nặng hơn vừa mụn bọc vừa bị thâm lại có nhiều mụn ẩn nữa ạ. Mọi người tư vấn giúp em phải làm sao để cải thiện với ạ. Em cảm ơn.</t>
  </si>
  <si>
    <t>2019-11-23 15:54:04</t>
  </si>
  <si>
    <t>Nguyễn An Di</t>
  </si>
  <si>
    <t>100038210775175</t>
  </si>
  <si>
    <t>#ask
#đẹpchanhsả
#lôngvùngkín
Em là nữ dưới 20 tuổi và em muốn hỏi các chị có kinh nghiệm về sử lí phần lông ở vùng kín.
Thật sự violông của em nó phát triển quá mức, dài , lan rộng , rậm rạp. Thật sự em rất thấy phiền muộn vì điều này, bởi trông vô cùng thô thiển, kém sang í ạ. Không biết có ai biết cách nào chỉ cho em với. Chứ trông kinh lắm. 
Em tìm trên gg thì toàn chỉ cách mọc dài ra (/-/)
(Ad xin hãy duyệt giúp em)</t>
  </si>
  <si>
    <t>2019-09-18 00:28:01</t>
  </si>
  <si>
    <t>Khương Minh</t>
  </si>
  <si>
    <t>100041733360789</t>
  </si>
  <si>
    <t xml:space="preserve">#lôngvu #đe #ask </t>
  </si>
  <si>
    <t xml:space="preserve">Bạn nào có cách trị thâm tốt ko vậy. Mặt mình bị mụn, giờ đỡ rồi còn thâm quá 
</t>
  </si>
  <si>
    <t>2019-12-04 03:36:08</t>
  </si>
  <si>
    <t>Mai Diem Thanh</t>
  </si>
  <si>
    <t>100000488062144</t>
  </si>
  <si>
    <t>Các chị em trong group cho e hỏi ah, làm sao để trị thâm nhanh và hiệu quả nhất ạ. Mặt em trước cũng k đến nổi giờ mụn mọc quanh miêng xong giờ lại bị thâm. Em xin cám ơn ạ.</t>
  </si>
  <si>
    <t>2019-12-09 00:27:17</t>
  </si>
  <si>
    <t>Nina Ho</t>
  </si>
  <si>
    <t>100015498514663</t>
  </si>
  <si>
    <t>Mình cần tìm kem chống nắng cho da nhạy cảm
Đang dùng innissfree mà nó rít rít da mình bị nổi mụn 😭
Da mình da dầu. Help meeeee ♥️♥️♥️♥️♥️</t>
  </si>
  <si>
    <t>2019-10-28 16:32:32</t>
  </si>
  <si>
    <t>Minh Nga</t>
  </si>
  <si>
    <t>100009842850810</t>
  </si>
  <si>
    <t>#review #nuoctaytrang #loreal
Mình biết đã có rất nhiều bài review về em nước tẩy trang này rồi, nhưng hôm nay mình vẫn muốn viết một bài về trải nghiệm của một đứa có làn da dầu mụn như mình.
- Mình đã dùng qua kha khá loại và quyết định tạm thời là dành tình yêu cho em nước tẩy trang của L'Oreal, giá thành tốt  dễ tìm mua, dung tích lại lớn ( 400ml) và sẽ được sale rất nhiều vào những ngày lễ nếu bạn mua online.
- Em này thì có ba dòng và mình đã mua cả ba :)) nhưng chỉ mới dùng hai em màu xanh thôi. Giá gốc là 150k đổ lại, nhưng mình toàn canh sale trên Shopee hoặc Lazada nên chưa bao giờ mua quá 99k cho một em 😂
- Nói về dòng nắp xanh nhạt thì mình nghĩ nó sẽ hợp với những bạn chỉ dùng kcn hoặc makeup nhẹ nhàng, cảm giác khi lau của em này rất là thích, nó nhẹ mà làm da thấy thoải mái lắm ý. 
- Còn dòng nắp xanh đậm có lớp dầu ( mình đang dùng) thì nó tẩy trang tốt hơn hẳn, mình makeup full face, dùng chuốt mi kh trôi, son lì thì lau qua khoảng 4,5 miếng bông sẽ hoàn toàn sạch sẽ. Em này thì mình cảm thấy hơi bất tiện là mỗi khi dùng đều phải lắc đều lên thôi, lau trên da thì mình cảm thấy nó không bị dính và cũng ráo rất nhanh, sau khi dùng gần hết 1 chai rồi thì trộm vía là da mình cũng không bị nổi mụn vì em này có chứa dầu.
- Túm lại thì nếu bạn có điều kiện thì bạn hoàn toàn có thể đầu tư vào những dòng tẩy trang tốt hơn, còn nếu không thì bạn có thể nghía qua thử nước tẩy trang của L'Oreal, bởi vì mình cảm thấy em này thật sự ổn.
Xong rồi, xin hết review ạ 😂
 Mà chai xanh nhạt mình dùng hết nên kh còn mẫu chai để chụp ạ, hai chai xanh trong ảnh đều là nắp xanh đậm có chứa dầu nha</t>
  </si>
  <si>
    <t>2019-11-27 09:08:10</t>
  </si>
  <si>
    <t>Bảo Quyên</t>
  </si>
  <si>
    <t>100007338360538</t>
  </si>
  <si>
    <t xml:space="preserve">#loreal #nuoctaytrang #review </t>
  </si>
  <si>
    <t>mùa hanh khô là bị ntn làm cách nào để khỏi ngứa với rát đây mn ơi.</t>
  </si>
  <si>
    <t>2019-12-03 15:32:03</t>
  </si>
  <si>
    <t>Cô Tiên</t>
  </si>
  <si>
    <t>100009690665073</t>
  </si>
  <si>
    <t>Ce ơi cho e hỏi nối chun hơn hay nối sáp hơn ạhh
Trc giờ e toàn nối chun mà thấy mng kêu nối sáp ok lắm mà kb ntn ạ</t>
  </si>
  <si>
    <t>2019-12-21 18:03:15</t>
  </si>
  <si>
    <t>Thảo Phương Thảo</t>
  </si>
  <si>
    <t>100009836020330</t>
  </si>
  <si>
    <t>Mn ơi ..e ốm kinh niên ao ước được tăng kg ,, ai biết và đã dùng loại gì tăng cân an toàn hiệu quả không chỉ giúp e với ạ ..e cảm ơn mn nhiều !!!</t>
  </si>
  <si>
    <t>2019-11-16 12:36:37</t>
  </si>
  <si>
    <t>Nguyễn Thị Như Yến</t>
  </si>
  <si>
    <t>100004763403950</t>
  </si>
  <si>
    <t>#help
Vì vấn đều nhạy cảm nên e xin phép dùng nick ảo ạ 
Có ai bị giống e k? nhủ hoa, nách, bẹn, vùng kín bị thâm  -.-, mặc dù em chưa quan hệ lần nào mà vùng kín bị thâm đen đi ấy ạ, nhiều khi chán nghĩ chắc khỏi lấy chồng luôn 🤣😂, các chị có bí kíp gì chỉ cho em với ạ chứ em cũng khổ sở quá.</t>
  </si>
  <si>
    <t>2019-11-26 15:25:11</t>
  </si>
  <si>
    <t>Yee Umi</t>
  </si>
  <si>
    <t>100041201438917</t>
  </si>
  <si>
    <t>Các c ơi đây là trán e ạ 
Có ai bị giống e k e cứ bị nổi mụn li ti đầu trắng ở trán nó nổi 1,2 hôm rỗi vỡ lại hết rồi mặt e đẹp được 1,2 nó lại nổi.
Nhìn xa thì k thấy nhưng nhìn gần thì nó cứ lẩn mẩn kinh lắm ạ.
Mà rất lạ là có thể hôm nay trán e k có nốt nào nhưng sáng hôm sau ngủ dậy lại thấy lẩn mẩn mấy nốt đầu trắng luôn.
Em rất khó chịu e cũng đi spa rồi c đấy cũng là bác sĩ vừa bán thuốc vừa làm spa thì c ấy bảo do da e nhạy cảm.
Em chán lắm rồi các c ơi mặt hôm nay đẹp nhưng ngày mai nó lại trở mặt luôn mà mụn này của e nó k thâm đâu ạ 
Ngày trước e k có mụn đâu ạ tự nhiên k hiểu sao lại tn e cũng k dùng mấy đồ vớ vẩn đâu ạ
Mong các c cho e lời khuyên ạ</t>
  </si>
  <si>
    <t>2019-11-28 11:32:24</t>
  </si>
  <si>
    <t>Linh Diệu Linh</t>
  </si>
  <si>
    <t>100010690939260</t>
  </si>
  <si>
    <t>Da mình thuộc da dầu nhạy cảm có mụn li ti và mụn ẩn , thì dùng sản phẩm gì để cải thiện hết mụn mà an toàn cho da ạ 😔 ai biết chỉ mình với 🙆😭</t>
  </si>
  <si>
    <t>2019-12-11 07:17:34</t>
  </si>
  <si>
    <t>Xin chào mọi người
Da đầu và tóc e rất yếu,rụng nhiều rất nhiều, tóc rụng e thấy nang tóc rất bé,mọi người có cách nào giúp tóc chắc khỏe và dày lên không ạ?
Sắp hói rồi ạ :(
Mong ad duyệt giúp ạ.vì trong nhóm có nhiều bạn bè nên e dùng acc clone ạ.
E cảm ơn.
#tócyếu #rụngtoc</t>
  </si>
  <si>
    <t>2019-12-21 13:15:20</t>
  </si>
  <si>
    <t>Nhạt Nhoà</t>
  </si>
  <si>
    <t>100031892993361</t>
  </si>
  <si>
    <t xml:space="preserve">#rụngtoc #tócyếu  </t>
  </si>
  <si>
    <t xml:space="preserve">
#gochoihan 
Các chị em cho em hỏi với ạ , vết của em bị lõm như này có thuốc nào bôi khắc phục được không ạ , giúp em với nó lên da non em dùng thuốc ở hiệu thuốc cho em bôi đc 3 hôm rồi , ai có thuốc gì hiệu quả chỉ em với 
Mong ad duyệt giúp em !</t>
  </si>
  <si>
    <t>2019-08-14 11:35:15</t>
  </si>
  <si>
    <t>Lê T. Thuỳ</t>
  </si>
  <si>
    <t>100018585932914</t>
  </si>
  <si>
    <t>#benhviendalieuDaNang 
Có ai từng trị mụn ở bệnh viện da liễu Đà Nẵng chưa ạ? 
Mình đã điều trị ở bệnh viện này gần 2 tháng mà chẳng thấy đỡ gì cả. Đến khám mà bác sỹ chỉ liếc nhìn mình một cái rồi kê đơn thuốc, không hề nói mình biết nguyên nhân mụn, không hề thăm khám gì cả. Thuốc cũng chỉ là kháng sinh, vitamin C và kẽm. Mình hỏi đến thì bác sỹ la, bảo là đây là pháp đồ điều trị của bác sỹ rồi, người ta uống thuốc cả năm đấy.
Mình thấy nản lắm ạ. Mình bị mụn thực sự rất khổ sở luôn ấy. Biết kháng sinh k tốt nhưng mình vẫn cố uống, mỗi lần uống xong đều buồn nôn. Vậy mà cố gắng vẫn chẳng thấy kết quả đâu.
Mong mọi người cho mình một lời khuyên với 😭</t>
  </si>
  <si>
    <t>2019-09-13 12:28:38</t>
  </si>
  <si>
    <t>Đặng Huỳnh Tố Uyên</t>
  </si>
  <si>
    <t>100004786960446</t>
  </si>
  <si>
    <t xml:space="preserve">#benhviendalieuDaNang </t>
  </si>
  <si>
    <t>#thuocbomat #ask
e mới mổ mắt cận được 2 tháng. Hôm nay tình cờ e đi mua thuốc nhỏ mắt được chị bán thuốc tư vấn nên uống cả thuốc bổ mắt nữa thì sẽ tốt hơn. Trong nhóm mình có ai uống thuốc bổ mắt tốt k ạ  
cho e xin 1 ít thông tin về thuốc bổ mắt tốt với 😘😘</t>
  </si>
  <si>
    <t>2019-08-06 10:42:37</t>
  </si>
  <si>
    <t>Hhoaa Mỡ</t>
  </si>
  <si>
    <t>100003269000819</t>
  </si>
  <si>
    <t xml:space="preserve">#ask #thuocbomat </t>
  </si>
  <si>
    <t xml:space="preserve"> 
Đây là da mình hiện tại bị mụn ẩn và mụn thâm đỏ do dị ứng detox blanc, da trước khi sd sp đó thì khá đẹp không mụn và 1 năm trước mình có sd thuốc rượu SMT và MTM, hiện tại mình
.Rửa nước muối sinh lí
. Sữa tươi ko đường
.Srm cetaphill
.xông mặt chanh xả muối 1 lần 1 tuần để thải độc da
. Đắp mask giấy các loại, nạ ngũ hoa hạt
Da mình vẫn chưa bớt mình bị nổi mụn hơn 2 tuần nay mong mọi người chỉ mình cách trị với :(((</t>
  </si>
  <si>
    <t>2019-10-14 10:23:04</t>
  </si>
  <si>
    <t>Huỳnh Minh Trí</t>
  </si>
  <si>
    <t>100012833866666</t>
  </si>
  <si>
    <t>Em xin phép lập topic mở góc mắt. 
Qua lời tư vấn của bs mở góc trong ngoài hạ xếch. Khiên mắt có hồn hơn. 😞
Em đã đồng ý lam. Hiện tại đã hạ xếch mở góc như bác sỹ nói nhưng khi liếc mắt sang 2 bên em thấy đau quá và gượng lắm. Bs bảo em góc mắt tổn thương nên đau gượng là điều bt. Bảo em về uống thuốc theo đơn và vs mắt nghỉ dưỡng. Nất thường gọi lại ngay bs. 
Nhưng trong này đã ai hạ xếch chưa? Em thấy các c chỉ mở góc thôi. Chứ chưa thấy ai hj xếch bao h. Lo lắng quá</t>
  </si>
  <si>
    <t>2019-11-01 15:01:17</t>
  </si>
  <si>
    <t>Phương Liên</t>
  </si>
  <si>
    <t>100034513420989</t>
  </si>
  <si>
    <t>#helpme #tuvan
Chào mọi người
Em là thành viên mới 
Da em bị mụn ẩn và thâm nhưng ít, vì là con trai nên không rõ skincare như thế nào, các anh chị giúp em các bước skincare với ạ
Vì da còn thâm vs mụn ẩn nên e có xài 2 loại sản phẩm của hiruscar
Nên mong các chị hướng dẫn skin care kết hợp loại thuốc trên ạ</t>
  </si>
  <si>
    <t>2019-08-10 15:32:24</t>
  </si>
  <si>
    <t>Nguyễn Tân</t>
  </si>
  <si>
    <t>100024406023495</t>
  </si>
  <si>
    <t xml:space="preserve">#tuvan #helpme </t>
  </si>
  <si>
    <t>Da em hơn tháng nay cứ bị lên mụn sưng đỏ e có sử dụng chàm trà và sông mặt với sả ,chanh nhưng k có thấy đỡ mà cứ sưng đỏ như vậy 2 tuần rồi. 
Mn chỉ em với chứ tự ti lắm ạ.</t>
  </si>
  <si>
    <t>2019-12-09 05:06:00</t>
  </si>
  <si>
    <t>Trần Lan Thanh</t>
  </si>
  <si>
    <t>100030858002724</t>
  </si>
  <si>
    <t>#thuoctangchieucao #tư vấn 
Ai xài thuốc tăng chiều cao Gh của Nhật này rồi cho mình tí thông tin đi ạ ? 
Nge nói review trên các kênh bán hàng thấy ok lắm có thể tăng 3-9cm cho người dưới 30 tuổi có đúng k ? Mình đang tính xem có hiệu quẢ thật ko để mua 
Mong ad duyệt bài</t>
  </si>
  <si>
    <t>2019-05-03 07:19:59</t>
  </si>
  <si>
    <t>Minh Tain Tain</t>
  </si>
  <si>
    <t>100003703214714</t>
  </si>
  <si>
    <t xml:space="preserve">#tư #thuoctangchieucao </t>
  </si>
  <si>
    <t>Đây là mặt e bị mụn chữa 4 tháng, giờ hết mụn nhưng vẫn còn đỏ và có sẹo lõm như ảnh.
Có ai bị sẹo giống e mà đã chữa mờ được chưa cho e xin xít review thuốc làm mờ sẹo lõm với ạ!
E cảm ơn.</t>
  </si>
  <si>
    <t>2019-12-25 12:23:49</t>
  </si>
  <si>
    <t>Vũ Đình Cường</t>
  </si>
  <si>
    <t>100006363330583</t>
  </si>
  <si>
    <t>#đẹp_chanh_sả
Mọi người giải thích hộ mình với ạ
Lọ serum C này con mình lấy bút đâm thủng để qua đêm nó chảy ra bàn và lớp sơn bị tẩy trắng đồng thời nó rộp lớp sơn mình lau mạnh nó bong luôn. Hoang mang vđ
P/s: lọ C này người quen mua tại bên Nhật xách về cho mình</t>
  </si>
  <si>
    <t>2019-11-17 03:09:13</t>
  </si>
  <si>
    <t>Sa Hoàng</t>
  </si>
  <si>
    <t>100034315903765</t>
  </si>
  <si>
    <t>Tha thiết mong được Ad duyệt bài:
Chuyện là mũi của mình bị hơi nhỏ và hếch nên nhìn cánh mũi to ra, đặc biệt lại không có đầu mũi. Tuy nhiên mình chưa bao giờ nghĩ tới chuyện đi nâng mũi phần vì kinh tế mà phần mình lại rất sợ đau cũng như những rủi ro khác.
Hiện tại mình đang có ý định tiêm filler đầu mũi nhưng tham khảo nhiều nguồn thấy bảo ko nên, các anh chị em trong hội có thể tư vấn giúp mình đc ko? Hoặc là tiêm filler đầu mũi hoặc đi cắt thu nhỏ cánh mũi thì nên làm cái nào hơn ạ?
Tiện thể cho mình hỏi nhóm mình ai cắt  cánh mũi rồi thì tv giúp mình là nên cắt ở BV hay tmv nào ạ? Mình ở Nha Trang.
Rất rất cảm ơn Ad duyệt bài và mn đóng góp.
#fillermui
#catcanhmui
#xintuvan</t>
  </si>
  <si>
    <t>2019-10-07 05:17:42</t>
  </si>
  <si>
    <t>Mai Ngọc</t>
  </si>
  <si>
    <t>100011733730726</t>
  </si>
  <si>
    <t xml:space="preserve">#xintuvan #catcanhmui #fillermui </t>
  </si>
  <si>
    <t xml:space="preserve"> #tocdep
Cả nhà ơi cho em hỏi vs khuôn mặt này thì nên làm kiểu nào phù hợp ạ, e đg định làm kiểu như hình mà sợ k hợp, có ai 98 mà già em không, 😭😭 ad duyệt bài dùm e ạ, xin cảm ơn 😍</t>
  </si>
  <si>
    <t>2019-12-20 03:16:36</t>
  </si>
  <si>
    <t>Huyền Ngọc Nguyen</t>
  </si>
  <si>
    <t>100024849832849</t>
  </si>
  <si>
    <t>Em bị viêm dạ dày HP nên uống kháng sinh gần 2 tháng và bây giờ mặt em toang hoang như thế này thì phải làm sao ạ? 😭</t>
  </si>
  <si>
    <t>2019-12-04 23:43:12</t>
  </si>
  <si>
    <t>Trần Phúc Tiến</t>
  </si>
  <si>
    <t>100013924596979</t>
  </si>
  <si>
    <t>#ask #huxley
Mọi người cho em xin review tẩy tế bào chết của Huxley với ạ.
Da em là da dầu có mụn ẩn</t>
  </si>
  <si>
    <t>2019-11-29 08:12:30</t>
  </si>
  <si>
    <t>Nguyen NhuNgoc</t>
  </si>
  <si>
    <t>100004646175253</t>
  </si>
  <si>
    <t xml:space="preserve">#huxley #ask </t>
  </si>
  <si>
    <t>Group mình có ai gặp tình trạng tóc nát, sơ do tẩy nhiều lần không ạ. Huhu tóc em vừa sơ nát mỏng lại bị rụng gần hết làm em muốn stress luôn mn ơi . Sẵn tiện mn chia sẻ cách dưỡng tóc với 😭😭😭😭</t>
  </si>
  <si>
    <t>2019-12-05 14:15:56</t>
  </si>
  <si>
    <t>[Ảnh em chụp lúc 4h sáng vì stress quá ko ngủ được nên mong Ad duyệt bài ạ !!! ] 
Em vừa đi bắn laser se khít lỗ chân lông ở mũi và 2 bên cánh mũi về thì ở bọng mắt xuất hiện đỏ như vậy như là da bị tổn thương do tác động mạnh ấy ạ. 
Lúc mới xong nó đỏ và rát nữa nhưng ở đó bảo ko sao mai là hết. Mà đến 4h sáng ngủ mơ thấy nó ko hết !! Giật mình dậy soi gương thấy quầng đỏ kia vẫn ko hết thật :((( có ai từng điều trị laser se khít mà như em chưa ạ? Cái vết đỏ kia nó có ở lại mãi trên mắt ko nhỉ ? Hay mấy hôm nữa nó đóng vảy bong ra nhỉ huhu giờ em soi gương có 2 cái bớt đỏ 2 bên mắt trông như bà lão 80 ấy ạ :(((
Vì nó rất phẳng lì, chỉ tụ đỏ thôi ạ nên em ko biết nó có phải vết thương hở ko hay là tụ ở dưới da nữa 😞</t>
  </si>
  <si>
    <t>2019-12-26 00:20:33</t>
  </si>
  <si>
    <t>#ask, #mayruamat, #foreo
Mình đang phân vân giữa 3 loại của máy rửa mặt foreo: 
- Foreo luna
- Foreo luna go 
- Foreo Foto
Bạn nào đã sử dụng qua 3 dòng này cho mình xin ít review. Hiện tại mình cũng đang nghiêng về Foreo Luna go do bảo là phiên bản này cũng phân ra từng loại da, cũng đầy đủ chức năng như Foreo luna nhưng khác ở chỗ ít mức độ rung và mỗi lần sạc chỉ sử dụng đi 30 lần. 
Còn Foreo foto sử dụng công nghệ Bluetooth gì ấy, ko biết có bạn nào sử dụng qua chưa? 
Tài chính cũng hơi hạn hẹp nên mình cũng đang phân vân nhiều! Da
Da mình là da dầu mụn, lỗ chân lông to
Cám ơn các bạn rất nhiều!
Mong ad duyệt bài giúp ạ. Thanks ad nhiều!</t>
  </si>
  <si>
    <t>2019-05-01 18:44:49</t>
  </si>
  <si>
    <t>#Seosauphauthuat
Chào mọi ng !!! Pttm thì mọi ng quá quen vs thời điểm hiện tại r , mà sau phẩu thuật thì mình nên tránh ăn loại thức ăn gì mọi ng nhỉ ??? Đặc biệt là sau khi nâng ngực ? 
S em thấy nhiều c kiêng cả giá đỗ , đậu nành nữa 😩 mấy thứ đó e ăn tất từ tuần đầu ( chỉ kiêng bò , gà , hải sản, nếp , mắm này nọ và chất kích thích bia rượu, cf , nc uống có gas &amp; tránh ng hút thuốc lá thôi í ) &amp; kiêng khoảng bao lâu ce nhỉ ????
==&gt; Còn vết thương vùng nách thì mình nên dùng sp nào để hạn chế sẹo tối đa ạ . ( em sd kem trị sẹo của Nga ) 
Cho em hỏi có chị nào uống thuốc kháng sinh sau pttm mà lên mụn vùng trc ngưc k ạ ! Đó h em k có mụn ở ngực tự dưng từ 1.2 đốm nhỏ bgio nó lan ra rồi 😭 lan ra bgio gần nữa bên ngực trái luôn</t>
  </si>
  <si>
    <t>2019-11-30 00:07:38</t>
  </si>
  <si>
    <t>Cậu Bé Bút Chì</t>
  </si>
  <si>
    <t>100016470576081</t>
  </si>
  <si>
    <t xml:space="preserve">#Seosauphauthuat </t>
  </si>
  <si>
    <t xml:space="preserve">Chào mọi người. Nằm vùng khá lâu nay mạnh dạn tham khảo ý kiến anh chị em trong hội về 2 vấn đề ạ:
Vđ1: có ai từng tẩy nốt ruồi mà không để lại sẹo không ạ. Em có cả bầy trên mặt, nhỏ và mờ thôi ạ (không lồi). Tính đi tẩy mà sợ để lại sẹo, vì ngay mặt tiền.
Vđ2: ai biết loại muối tắm tẩy da chết body nào ok cho da nhạy cảm k ạ. Cho e tham khảo với, chứ tìm mua mà thấy toàn vài chục nghìn 1 hũ to đoành. Sợ hàng nhái dùng xong ghẻ lở hỏng hết da ạ
Mong ad duyệt bài em ạ😘
</t>
  </si>
  <si>
    <t>2019-11-20 08:29:21</t>
  </si>
  <si>
    <t>100008239922771</t>
  </si>
  <si>
    <t xml:space="preserve">tóc uốn xoăn nhẹ tự nhiên thế này gọi là kiểu gì vậy à, với cho e xin tips dưỡng tóc và giữ nếp sau khi uốn ạ, tks mng ạ
</t>
  </si>
  <si>
    <t>2019-11-28 12:36:31</t>
  </si>
  <si>
    <t>Đinh Ngọc Minh Thư</t>
  </si>
  <si>
    <t>100012349986366</t>
  </si>
  <si>
    <t>Mọi người cho em hỏi là có cách nào và sử dụng sản phẩm gì để vùng cổ được mịn màng và giảm nếp nhăn k ạ?
Em cảm ơn mn nhiều. 💋💋💋</t>
  </si>
  <si>
    <t>2019-12-02 00:31:46</t>
  </si>
  <si>
    <t>Nấm Nấm</t>
  </si>
  <si>
    <t>100014241194556</t>
  </si>
  <si>
    <t>#ask
Mấy hôm nay cứ đến đêm là người em nổi mề đay rất ngứa, không ngủ được luôn mà uống thuốc không có khỏi. Chị nào từng bị cho em xin tips chữa hoặc giảm ngứa với ạ :((</t>
  </si>
  <si>
    <t>2019-04-15 17:16:08</t>
  </si>
  <si>
    <t>Ngọc Diệp</t>
  </si>
  <si>
    <t>100010666666721</t>
  </si>
  <si>
    <t>Mọi người cho em hỏi tí với ạ?
Mặt em bị mụn mủ và thâm khá nhiều . Tham khảo trên này em thấy nhiều chị tư vấn sử dụng kẽm với colagen nên e đã mua. Nhưng e chưa biết sử dụng thế nào cho hợp lý. Các chị thông thái cho em xin ít kinh nghiệm với ạ.
Em cảm ơn mọi người nhiều ạ ❤</t>
  </si>
  <si>
    <t>2019-12-09 11:58:12</t>
  </si>
  <si>
    <t>Xị Phươngg</t>
  </si>
  <si>
    <t>100014634421641</t>
  </si>
  <si>
    <t>#tocdep #lamtoc #tocmai 
Mình chuẩn bị làm tóc mà chưa biết chọn kiểu gì cho mặt vuông, to. Tóc mình dày, dài ngang vai và nó cứ xẹp xẹp chứ k có phồng lên. Phần đuôi thì mình có làm đủ kiểu rồi giờ chẳng biết chọn kiểu gì nữa luôn 😔 riêng phần mái mình nuôi dài rồi nhưng nó cứ bị xẹp xẹp, giờ mình muốn làm hóa chất để có kiểu mái như hình dưới (ảnh minh họa) thì có được không mọi người nhỉ? Trước mình có thử dập phồng chân tóc nhưng nó cũng k phồng lên mà chỉ trông rối rồi đứt gãy, và vì tóc dày nên dập phồng nó siêu nhiều chứ k có thấy bồng bềnh :((( Cần lắm những lời khuyên cho vụ tóc mái này. Mình cảm ơn nhiều ạ!</t>
  </si>
  <si>
    <t>2019-09-17 14:45:57</t>
  </si>
  <si>
    <t xml:space="preserve">#tocmai #lamtoc #tocdep </t>
  </si>
  <si>
    <t>#ask #tóc 
gần tết rồi nên em muốn làm tóc, mn cho em hỏi mặt bé da sáng bthuong làm tóc ngắn gì thì ok ạ mà ko bị già quá ạ, em năm nay lớp 12. cách đây 4 tháng em có làm cụp phồng và giờ cắt ngắn như hình r ạ
ảnh em chụp ulike hơi trẻ trâu mn thông cảm hihi =)</t>
  </si>
  <si>
    <t>2019-12-16 10:55:37</t>
  </si>
  <si>
    <t>Nguyễn Hương Ly</t>
  </si>
  <si>
    <t>100012005345954</t>
  </si>
  <si>
    <t>#tramrang
Chào m.n. Phía trong răng cửa ở bên phải gần khe giữa có 1 lỗ sâu khá sâu và rộng. Mẹ mình bảo đi trám ngay. K biết có ai đi trám chưa ạ. Mn tư vấn giúp mình với ạ. Cảm ơn mn</t>
  </si>
  <si>
    <t>2019-11-30 02:15:02</t>
  </si>
  <si>
    <t>Mỹ Thư</t>
  </si>
  <si>
    <t>100035131003784</t>
  </si>
  <si>
    <t xml:space="preserve">#tramrang </t>
  </si>
  <si>
    <t>Mọi người có biết sản phẩm nào chăm sóc da mặt tốt hơn không mặn mình mụn cứ lên mà không xuống dc mình da dầu.</t>
  </si>
  <si>
    <t>2019-12-09 00:42:11</t>
  </si>
  <si>
    <t>Lý Thị Thu Trang</t>
  </si>
  <si>
    <t>100005877330853</t>
  </si>
  <si>
    <t>Chào mọi người ạ. 
Da mặt em khô và thuộc dạng da dầu đặc biệt là rất dễ dị ứng và nhạy cảm thái quá luôn ạ,  em sử dụng dưa leo đắp mặt nạ hay sữa chua đều bị ngứa,  Đi ra ngoài trời gặp gió hay nước mưa vào mặt cũng ngứa ạ,  
Vào mùa lạnh này da em khô hơn nhiều và bị mụn lẫn thâm ,
và bị bong như thế này ạ Rất là ngứa luôn😢
Em làm việc cả ngày nên uống nước rất ít ạ(,  (có khi cả 24 tiếng thì em chỉ uống được 500ml nước thôi vì môi trường làm việc khép kín nên ra chỗ uống nước rất xa).  mọi người ai biết sản phẩm nào giúp em cải thiện da với ạ,  sắp tết rồi mà thấy cái mặt nản lòng quá ạ 
Tiện thể cho em xin loại sản phẩm nào làm trắng da toàn thân luôn với ạ 
Cảm ơn ad và mọi người nhiều ❤</t>
  </si>
  <si>
    <t>2019-12-06 13:46:33</t>
  </si>
  <si>
    <t>xin ý kiến vote của mn ạ. Da e bị mụn thuộc dạng da hỗn hợp thiên dầu ạ. Em nên dùng tt gì ạ. Em học sinh c3 ở nông thôn nên cũng ko mekup gì cả. Chỉ là ra đường bị bụi bẩn nên tẩy trang. Tẩy trang nào diệu nhẹ ko có cồn cho xin với ý kiến với ạ.</t>
  </si>
  <si>
    <t>2019-11-27 05:35:04</t>
  </si>
  <si>
    <t>#deptranhsa #trimun
Da m hỗn hợp nên cũng thi thoảng có mụn. Nhưng 2 tháng gần đây mụn viêm của m k giảm tí nào mà ltuc lên lại đúng vào chỗ cũ nữa làm thâm càm thâm hơn 😭
Ce chia sẻ e pp xử lí với ạh!
Mong admin duyệt bài!!!</t>
  </si>
  <si>
    <t>2019-12-20 09:31:44</t>
  </si>
  <si>
    <t>100015697865262</t>
  </si>
  <si>
    <t xml:space="preserve">#trimun #deptranhsa </t>
  </si>
  <si>
    <t xml:space="preserve">
#ask
#tóc
Chuyện là vừa chiều nay em đi tẩy tóc nhuộm rêu. Lần đầu tiên em tẩy. Mà đến lúc tẩy xong bôi thuốc nhuộm. Em đau quá nên k nhuộm được nữa. Về em vạch da đầu thì có mấy chỗ chảy máu. Người ta bảo trong 1 tháng tới em k nên nhuộm tóc. Mọi người có thể cho em cách trị lành các vết thương tại da đầu. Và chăm sóc tóc sau tẩy được k ạ? Thật sự em đang khá là hối hận. Nhưng cũng là do da đầu mình yếu quá nên như vậy. Cảm ơn ad duyệt bài ạ.</t>
  </si>
  <si>
    <t>2019-06-07 11:11:37</t>
  </si>
  <si>
    <t xml:space="preserve">#tóc #ask  </t>
  </si>
  <si>
    <t xml:space="preserve">
Mọi người có ai giống em ko ạ :(( bị kiểu bắp chân to ấy. Em cao 1m63, 47kg cx ko phải béo lắm nhưng ko hiểu sao giảm cân hay tăng cân bắp chân vẫn thế, nó ko thể nào thon gọn đc ấy ạ. Trông chân cứ to to kiểu gì, mọi người có cách nào giúp bắp chân, đùi thon gọn và chân dài hơn ko ạ chỉ giúp em với. Em cảm ơn 😭😭</t>
  </si>
  <si>
    <t>2019-11-23 05:41:14</t>
  </si>
  <si>
    <t>100006425862611</t>
  </si>
  <si>
    <t>#bocphot #magicskin
Đang lướt tiktok thì gặp được clip này kèm caption của chủ vid “Nhà có chút điều kiện thôi mà” 🤣 bỏ mấy trăm triệu ra làm nhà phân phối này nọ để nhận cái điện thoại mấy chục triệu kèm theo 1 đống hàng tồn. Thời buổi thông tin đầy ra mà vẫn có mấy người đâm đầu vào 🤦‍♀️</t>
  </si>
  <si>
    <t>2019-10-13 00:23:23</t>
  </si>
  <si>
    <t>Phan Hoàng Bạch Ngọc</t>
  </si>
  <si>
    <t>100005373649341</t>
  </si>
  <si>
    <t xml:space="preserve">#magicskin #bocphot </t>
  </si>
  <si>
    <t>#ask #daugoi
Tóc e sau sinh rụng nhiều kinh khủng có dùng thái dương thì đỡ nhưng dạo này chắc bị nhờn nên lại quay trở lại rụng nhiều, gội sang dầu dược liệu nguyên xuân thì bị ngứa da đầu. Lòng vòng siêu thị thấy dầu này vỏ xinh quá không biết trong hội có chị em nào dùng dầu này bớt rụng tóc và bớt khô xơ tóc k ạ?</t>
  </si>
  <si>
    <t>2019-09-30 02:15:45</t>
  </si>
  <si>
    <t>Linh Dím</t>
  </si>
  <si>
    <t>100003068151750</t>
  </si>
  <si>
    <t>#ask 
Cả nhà có ai sử dụng serum này chưa ạ, cho em xin chút review với ạ, e nghe nói là hàng nội địa Hàn, hay mn có thể tư vấn giúp em loại nào tốt tốt với ạ, em thì không hợp với mỹ phẩm của Nhật, da em hợp nhất với mỹ phẩm của Pháp, Hàn cũng ổn, da em thuộc da thường nhưng hơi thiên khô một tí ạ, mong mn giúp đỡ e với ạ, em cảm ơn mn nhiều ❤️
Mong ad duyệt bài cho em với ạ, em xin cảm ơn 😊</t>
  </si>
  <si>
    <t>2019-08-21 03:33:24</t>
  </si>
  <si>
    <t>Lynn Lynn</t>
  </si>
  <si>
    <t>100004399298128</t>
  </si>
  <si>
    <t>#ask #kcn 
Mấy chị ơi, tư vấn giúp em về kem chống nắng với ạ. Em tìm loại kem chống nắng dịu , nhẹ , không bí da. Da em hỗn hợp thiên dầu, nám ở mũi, 2 má, đang sử dụng Dongsung nên cần kcn ban ngày không lên tone. Do em ở nhà 24/24 nên không muốn sử dụng loại kcn có kèm màu kem nền ♥️ em cảm ơn mấy chị trước ạ .</t>
  </si>
  <si>
    <t>2019-10-26 06:15:26</t>
  </si>
  <si>
    <t>Ngọc Hani</t>
  </si>
  <si>
    <t>100006483538198</t>
  </si>
  <si>
    <t>#dasan
Chụp mặt mộc cũng ngại lắm  😢
Da em o ngoài cứ bị như kiểu k được láng , sần sần . 
Nước da bánh ít mà lại là thuộc bánh ít mật nua ạ 😥 
Mọi người ai co sp hoặc bí quyết nào giúp da điều màu , Láng láng 1 xíu không ah !
Bật tone càng tốt luôn!
Ai biết hoặc đã từng sữ dụng sp nào thì giới thiệu giúp em dùng với ❤️</t>
  </si>
  <si>
    <t>2019-12-15 11:27:09</t>
  </si>
  <si>
    <t xml:space="preserve">#dasan </t>
  </si>
  <si>
    <t>Da mặt em 23 nồi bánh trưng rồi chưa 1 lần dùng mỹ phẩm hay dưỡng da gì. Giờ nhìn da bị sạm đen nổi nhiều tàn nhang quá nên e đang tìm hiểu cách dưỡng da mặt, mà k biết bắt đầu từ bước nào? và dùng hãng gì?. Mong các chị trong grop có kinh nghiệp tư vấn giúp em với ạ. 
Giờ e muốn da mặt căng mịn, sáng trắng bà bớt tàn nhang thì dùng hãng estee lauder dc k ạ? 😒</t>
  </si>
  <si>
    <t>2019-12-15 14:13:37</t>
  </si>
  <si>
    <t>Hạnh An</t>
  </si>
  <si>
    <t>100003828965022</t>
  </si>
  <si>
    <t>#ask 
Em dạo này bị thích mấy màu son hồng cam đất nhẹ nhàng thanh lịch chanh sả như vậy lắm nhưng chưa tìm được cây nào thật sự chuẩn màu ý ạ :((( mọi người có thể recommend cho em mấy cây có màu như này được không ạ. Highend hay drugstore cũng được hết ạ. Em cảm ơn mn ❤️❤️❤️</t>
  </si>
  <si>
    <t>2019-11-29 04:06:11</t>
  </si>
  <si>
    <t>Le Vinh Hoang Ly</t>
  </si>
  <si>
    <t>100015515656039</t>
  </si>
  <si>
    <t>Mọi người có ai biết loại thuốc gì bôi vào làm mờ tàn nhang không, đây là con gái mình mới học lớp một mà quanh mắt cháu đã mọc tàn nhang rồi .</t>
  </si>
  <si>
    <t>2019-12-01 02:59:23</t>
  </si>
  <si>
    <t>Oanh Chu</t>
  </si>
  <si>
    <t>100021745127880</t>
  </si>
  <si>
    <t>Mọi người ơi có vài tips nào chỉ mình với. Mình da dầu vs mụn ẩn và đầu đen ạ. Tư vấn mình một vài sp vừa túi tiền luôn. 
Cảm ơn mn trc.</t>
  </si>
  <si>
    <t>2019-12-01 12:18:43</t>
  </si>
  <si>
    <t>Đạt Triệu</t>
  </si>
  <si>
    <t>100043849720296</t>
  </si>
  <si>
    <t>Trước em bị mụn ẩn với ít mụn viêm, không hiểu sao dạo này bị lên một lượt như này thì giờ phải trị như nào ạ, ad duyệt bài giúp em với :((
Trước em có up bài nhưng không được duyệt, tham khảo các bài trong group thì mua dùng tẩy trang bioderma, toner melvita với bôi klenzitC được tgian nhưng k thấy thuyên giảm ạ. Mọi người giúp em với, bị mụn như này em stress quá 😭</t>
  </si>
  <si>
    <t>2019-12-25 08:57:28</t>
  </si>
  <si>
    <t>Thành Khang Phan</t>
  </si>
  <si>
    <t>100010025106431</t>
  </si>
  <si>
    <t>Chào tất cả các anh chị trong nhóm. Da em là da dầu, da em bị mụn rất lâu rồi. Từ hồi cấp 3 đến giờ. Trước đây em không biết nên dính phải rượu thuốc nên giờ da rất mỏng và yếu ạ.Nhìn mặt mình stress thực sự. Xin tư vấn cho em nên dùng sản phẩm nào để hết mụn và thâm ạ.Nhất là về khoản skincare da mặt đấy ạ.Xin mọi người giúp em với ạ.
Xin ad duyệt bài giúp em với. 
Em cảm ơn ạ.</t>
  </si>
  <si>
    <t>2019-12-16 13:11:37</t>
  </si>
  <si>
    <t>Thục Quân</t>
  </si>
  <si>
    <t>100024612616192</t>
  </si>
  <si>
    <t>Chào mọi ng, em năm nay 18 tuổi. Em phát hiện xung quanh môi em có ba đốm nâu như trong ảnh cũng rất lâu rồi ạ. Có phải em bị đồi mồi ko ạ :((
Có ai biết tư vấn em sp nào mờ ba đốm ấy chứ nó càng ngày càng đậm nhìn rất mất thẩm mỹ 
Sẵn em dưỡng môi nhưng môi trên bệt bạt quá,  có ai bị giống em mà dưỡng đều đc màu 2 bờ môi ko ạ?
Em cám ơn &lt;3</t>
  </si>
  <si>
    <t>2019-12-21 08:02:33</t>
  </si>
  <si>
    <t>LN Hy</t>
  </si>
  <si>
    <t>100016503488787</t>
  </si>
  <si>
    <t>Mọi người giúp em với ạ :(
Bị mụn trên mặt 1 tí e ko tự ti nhưng bị ngay chỗ này mà nó nhiều rồi đỏ cứ mọc 1 chùm vô vậy em thấy rất kinh tởm ấy ạ huhu :( bạn bè e nhìn vô cứ hỏi bị sao thế, em thấy tự ti lắm
Nó chỉ bị ngay bên trái, rất là đau, rát và ngứa nữa. Nó bị ngay đó nên e cũng ko nhìn rõ được là mình bị mụn gì :(
Em bị hồi năm lớp 6 ạ đến giờ e học lớp 9 rồi
Bạn em có nói là mụn đầu đen nhưng khi chụp hình e còn thấy nhiều mụn khác rồi còn bị nổi vẫy gì trắng trắng nữa ạ?? Có đỏ lên nữa 
Ảnh em mới chụp vào hôm nay bức đầu bực flash nên nhìn hơi khác ấy ạ :(</t>
  </si>
  <si>
    <t>2019-12-17 01:37:31</t>
  </si>
  <si>
    <t>Gia Giang</t>
  </si>
  <si>
    <t>100017520704246</t>
  </si>
  <si>
    <t>#hepl                                                    Ad duyệt bài giúp e với ạ                                                   E mới mua hũ Langeige này không biết auth hay fake các chị giúp e với ạ. E cảm ơn</t>
  </si>
  <si>
    <t>2019-12-19 07:59:36</t>
  </si>
  <si>
    <t>100006434589214</t>
  </si>
  <si>
    <t xml:space="preserve">#hepl </t>
  </si>
  <si>
    <t xml:space="preserve">
Mọi ng ơi cho e hỏi nhà mình đã ai dùng loại kem thải độc jewel này chưa ạ. Đây có phải kem trộn không. E thấy ghi cả tiếng hàn và tiếng việt nên hơi sợ. E đọc fb thì rất tốt mà không biết ntn. 
Cảm ơn a.c trong nhóm ạ.</t>
  </si>
  <si>
    <t>2019-12-12 04:50:12</t>
  </si>
  <si>
    <t>Thanh Dung</t>
  </si>
  <si>
    <t>100003336162627</t>
  </si>
  <si>
    <t>Mọi người giúp em với ạ
Tóc em để dài đến tầm ngang lưng là cứ bị khô, xơ, mất độ bóng, rụng nhiều tóc với lại cứ xù xù xỉa xỉa như hình ạ. Em đổi dầu gội không hết, cách 1 ngày lại gội 1 lần ạ. Chỉ có cắt đi một nửa tóc mới hết xơ nhưng vẫn rụng nhiều
Mọi người có cách nào không cần uống thuốc mà vẫn hết không ạ. Em cảm ơn</t>
  </si>
  <si>
    <t>2019-12-23 12:23:54</t>
  </si>
  <si>
    <t>Đặng Thảo Phương</t>
  </si>
  <si>
    <t>100009871355986</t>
  </si>
  <si>
    <t xml:space="preserve">
#mongaddduyetbai
Mọi người ơi! Mọi người nhìn xem răng em vậy bọc 2 răng trước cho dài ra tí có được không ạ
Cho em vài kinh nghiệm</t>
  </si>
  <si>
    <t>2019-11-25 23:30:36</t>
  </si>
  <si>
    <t>100042788132547</t>
  </si>
  <si>
    <t xml:space="preserve">#mongaddduyetbai </t>
  </si>
  <si>
    <t>#ask
#lănkim 
#phikim
#đepchanhsa 
Chào cả nhà mình 🤗. Không biết là cả nhà mình có ai đã đang và sẽ lăn kim or phi kim để điều trị mụn ẩn và sẹo thâm chưa ạ. Tình hình là e mới sanh baby đc 5 tháng. Thay đổi nội tiet to va Da đang có rất rất nhiều thâm và mụn ẩn. E skincare rất kỹ nhưng càng ngày da càng tệ đi. E đang hăm he đến phương pháp lăn kim hoặc phi kim để trị. Cả nhà mình có ai từng làm cho e xin ít kinh nghiệm với ạ. Với cả da e trước đây từng dùng kem trộn và rượu thuốc nhưng đã ngưng đc 2 năm. Da cũng đã ổn định nhưng còn yếu và nổi mao mạch thì ko biết có lăn kim được ko ạ. Và sau lăn thì minh nên dưỡng da ntn. Mong mọi người chỉ giáo giúp e e đội ơn mọi người ♥️♥️
Lời cuối e mong ad đáng yêu duyệt bài 💋</t>
  </si>
  <si>
    <t>2019-09-01 16:05:44</t>
  </si>
  <si>
    <t>Kie Bbn</t>
  </si>
  <si>
    <t>100014535992735</t>
  </si>
  <si>
    <t xml:space="preserve">#đepchanhsa #phikim #lănkim #ask </t>
  </si>
  <si>
    <t>#help #dadaumunkho 
Vào đông là da e bị như thế này. Dùng dưỡng ẩm k hợp n lại càng lên mụn mà chỉ đc lúc lại bị tróc da.
Tuần e tdc 2 lần đắp mặt nạ nghệ vs mặt nạ trà xanh. Vid e k hợp mặt nạ giấy. Có dùng kcn và serum cấp ẩm 🤧
Ai biết sp dưỡng ẩm nào hợp mùa này k ạ 
 Ad duyệt bài giúp e ạ ❤️</t>
  </si>
  <si>
    <t>2019-09-27 10:23:08</t>
  </si>
  <si>
    <t xml:space="preserve">#dadaumunkho #help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</si>
</sst>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theme="1"/>
      <name val="Times New Roman"/>
    </font>
    <font>
      <b/>
      <sz val="11.0"/>
      <color rgb="FF000000"/>
      <name val="Times New Roman"/>
    </font>
    <font>
      <b/>
      <sz val="12.0"/>
      <color rgb="FF000000"/>
      <name val="Times New Roman"/>
    </font>
    <font>
      <sz val="12.0"/>
      <name val="Times New Roman"/>
    </font>
    <font>
      <sz val="12.0"/>
      <color theme="1"/>
      <name val="Times New Roman"/>
    </font>
    <font>
      <u/>
      <sz val="12.0"/>
      <color rgb="FF0563C1"/>
      <name val="Times New Roman"/>
    </font>
    <font>
      <color theme="1"/>
      <name val="Times New Roman"/>
    </font>
    <font>
      <color theme="1"/>
      <name val="Arial"/>
    </font>
    <font>
      <u/>
      <sz val="12.0"/>
      <color rgb="FF0563C1"/>
      <name val="Times New Roman"/>
    </font>
    <font>
      <sz val="12.0"/>
      <color rgb="FF000000"/>
      <name val="Times New Roman"/>
    </font>
    <font>
      <sz val="12.0"/>
      <color theme="1"/>
      <name val="Calibri"/>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4">
    <border/>
    <border>
      <right style="thin">
        <color rgb="FF000000"/>
      </right>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2" fillId="2" fontId="2" numFmtId="0" xfId="0" applyAlignment="1" applyBorder="1" applyFont="1">
      <alignment horizontal="center" shrinkToFit="0" vertical="top" wrapText="1"/>
    </xf>
    <xf borderId="2" fillId="2" fontId="3" numFmtId="0" xfId="0" applyAlignment="1" applyBorder="1" applyFont="1">
      <alignment horizontal="center" shrinkToFit="0" vertical="top" wrapText="1"/>
    </xf>
    <xf borderId="0" fillId="2" fontId="1" numFmtId="0" xfId="0" applyAlignment="1" applyFont="1">
      <alignment shrinkToFit="0" vertical="top" wrapText="1"/>
    </xf>
    <xf borderId="0" fillId="2" fontId="1" numFmtId="0" xfId="0" applyAlignment="1" applyFont="1">
      <alignment horizontal="center" shrinkToFit="0" vertical="top" wrapText="1"/>
    </xf>
    <xf borderId="0" fillId="0" fontId="4" numFmtId="0" xfId="0" applyAlignment="1" applyFont="1">
      <alignment horizontal="right"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6" numFmtId="0" xfId="0" applyAlignment="1" applyFont="1">
      <alignment vertical="bottom"/>
    </xf>
    <xf borderId="0" fillId="0" fontId="5" numFmtId="0" xfId="0" applyAlignment="1" applyFont="1">
      <alignment horizontal="right" vertical="bottom"/>
    </xf>
    <xf borderId="0" fillId="0" fontId="5" numFmtId="0" xfId="0" applyAlignment="1" applyFont="1">
      <alignment vertical="top"/>
    </xf>
    <xf borderId="0" fillId="3" fontId="5" numFmtId="0" xfId="0" applyAlignment="1" applyFill="1" applyFont="1">
      <alignment shrinkToFit="0" vertical="top" wrapText="1"/>
    </xf>
    <xf borderId="0" fillId="2" fontId="7" numFmtId="0" xfId="0" applyAlignment="1" applyFont="1">
      <alignment vertical="bottom"/>
    </xf>
    <xf borderId="0" fillId="0" fontId="8" numFmtId="0" xfId="0" applyAlignment="1" applyFont="1">
      <alignment vertical="bottom"/>
    </xf>
    <xf borderId="3" fillId="0" fontId="5" numFmtId="0" xfId="0" applyAlignment="1" applyBorder="1" applyFont="1">
      <alignment shrinkToFit="0" vertical="bottom" wrapText="0"/>
    </xf>
    <xf borderId="3" fillId="2" fontId="7" numFmtId="0" xfId="0" applyAlignment="1" applyBorder="1" applyFont="1">
      <alignment shrinkToFit="0" vertical="bottom" wrapText="0"/>
    </xf>
    <xf borderId="0" fillId="2" fontId="8" numFmtId="0" xfId="0" applyAlignment="1" applyFont="1">
      <alignment vertical="bottom"/>
    </xf>
    <xf borderId="0" fillId="2" fontId="5" numFmtId="0" xfId="0" applyAlignment="1" applyFont="1">
      <alignment vertical="bottom"/>
    </xf>
    <xf borderId="0" fillId="2" fontId="7" numFmtId="0" xfId="0" applyAlignment="1" applyFont="1">
      <alignment shrinkToFit="0" vertical="top" wrapText="1"/>
    </xf>
    <xf borderId="0" fillId="0" fontId="5" numFmtId="0" xfId="0" applyAlignment="1" applyFont="1">
      <alignment shrinkToFit="0" vertical="top" wrapText="1"/>
    </xf>
    <xf borderId="0" fillId="0" fontId="9" numFmtId="0" xfId="0" applyAlignment="1" applyFont="1">
      <alignment shrinkToFit="0" vertical="top" wrapText="1"/>
    </xf>
    <xf borderId="0" fillId="0" fontId="5" numFmtId="0" xfId="0" applyAlignment="1" applyFont="1">
      <alignment horizontal="right" shrinkToFit="0" vertical="top" wrapText="1"/>
    </xf>
    <xf borderId="0" fillId="3" fontId="8" numFmtId="0" xfId="0" applyAlignment="1" applyFont="1">
      <alignment vertical="top"/>
    </xf>
    <xf borderId="0" fillId="3" fontId="10" numFmtId="0" xfId="0" applyAlignment="1" applyFont="1">
      <alignment vertical="bottom"/>
    </xf>
    <xf borderId="0" fillId="0" fontId="7" numFmtId="0" xfId="0" applyAlignment="1" applyFont="1">
      <alignment vertical="bottom"/>
    </xf>
    <xf borderId="0" fillId="0" fontId="1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9.57"/>
  </cols>
  <sheetData>
    <row r="1">
      <c r="A1" s="1" t="s">
        <v>0</v>
      </c>
      <c r="B1" s="2" t="s">
        <v>1</v>
      </c>
      <c r="C1" s="3" t="s">
        <v>2</v>
      </c>
      <c r="D1" s="3" t="s">
        <v>3</v>
      </c>
      <c r="E1" s="3" t="s">
        <v>4</v>
      </c>
      <c r="F1" s="3" t="s">
        <v>5</v>
      </c>
      <c r="G1" s="2" t="s">
        <v>6</v>
      </c>
      <c r="H1" s="2" t="s">
        <v>7</v>
      </c>
      <c r="I1" s="2" t="s">
        <v>8</v>
      </c>
      <c r="J1" s="2" t="s">
        <v>9</v>
      </c>
      <c r="K1" s="4" t="s">
        <v>10</v>
      </c>
      <c r="L1" s="2" t="s">
        <v>11</v>
      </c>
      <c r="M1" s="4" t="s">
        <v>12</v>
      </c>
      <c r="N1" s="4" t="s">
        <v>13</v>
      </c>
      <c r="O1" s="4" t="s">
        <v>14</v>
      </c>
      <c r="P1" s="4" t="s">
        <v>15</v>
      </c>
      <c r="Q1" s="4" t="s">
        <v>16</v>
      </c>
      <c r="R1" s="4" t="s">
        <v>17</v>
      </c>
      <c r="S1" s="4" t="s">
        <v>18</v>
      </c>
      <c r="T1" s="5" t="s">
        <v>19</v>
      </c>
      <c r="U1" s="5" t="s">
        <v>20</v>
      </c>
      <c r="V1" s="5" t="s">
        <v>21</v>
      </c>
      <c r="W1" s="6" t="s">
        <v>22</v>
      </c>
      <c r="X1" s="6" t="s">
        <v>23</v>
      </c>
    </row>
    <row r="2">
      <c r="A2" s="7">
        <v>1.0</v>
      </c>
      <c r="B2" s="8" t="s">
        <v>24</v>
      </c>
      <c r="C2" s="9" t="s">
        <v>25</v>
      </c>
      <c r="D2" s="10" t="str">
        <f>HYPERLINK("https://facebook.com/367089020688300_505853770145157", "367089020688300_505853770145157")</f>
        <v>367089020688300_505853770145157</v>
      </c>
      <c r="E2" s="11">
        <v>19.0</v>
      </c>
      <c r="F2" s="11">
        <v>0.0</v>
      </c>
      <c r="G2" s="11">
        <v>28.0</v>
      </c>
      <c r="H2" s="9" t="s">
        <v>26</v>
      </c>
      <c r="I2" s="9" t="s">
        <v>27</v>
      </c>
      <c r="J2" s="9" t="s">
        <v>28</v>
      </c>
      <c r="K2" s="9" t="s">
        <v>29</v>
      </c>
      <c r="L2" s="9" t="s">
        <v>30</v>
      </c>
      <c r="M2" s="9" t="s">
        <v>31</v>
      </c>
      <c r="N2" s="9" t="s">
        <v>32</v>
      </c>
      <c r="O2" s="12" t="s">
        <v>33</v>
      </c>
      <c r="P2" s="12" t="s">
        <v>34</v>
      </c>
      <c r="Q2" s="9"/>
      <c r="R2" s="13" t="s">
        <v>35</v>
      </c>
      <c r="S2" s="14" t="s">
        <v>36</v>
      </c>
      <c r="T2" s="14" t="s">
        <v>37</v>
      </c>
      <c r="U2" s="14" t="s">
        <v>38</v>
      </c>
      <c r="V2" s="14"/>
      <c r="W2" s="15"/>
      <c r="X2" s="15"/>
    </row>
    <row r="3">
      <c r="A3" s="7">
        <v>2.0</v>
      </c>
      <c r="B3" s="8" t="s">
        <v>39</v>
      </c>
      <c r="C3" s="9" t="s">
        <v>40</v>
      </c>
      <c r="D3" s="10" t="str">
        <f>HYPERLINK("https://facebook.com/367089020688300_535506167179917", "367089020688300_535506167179917")</f>
        <v>367089020688300_535506167179917</v>
      </c>
      <c r="E3" s="11">
        <v>3.0</v>
      </c>
      <c r="F3" s="11">
        <v>0.0</v>
      </c>
      <c r="G3" s="11">
        <v>4.0</v>
      </c>
      <c r="H3" s="9" t="s">
        <v>26</v>
      </c>
      <c r="I3" s="9" t="s">
        <v>41</v>
      </c>
      <c r="J3" s="16" t="s">
        <v>42</v>
      </c>
      <c r="K3" s="9"/>
      <c r="L3" s="9" t="s">
        <v>30</v>
      </c>
      <c r="M3" s="9" t="s">
        <v>31</v>
      </c>
      <c r="N3" s="9" t="s">
        <v>32</v>
      </c>
      <c r="O3" s="12" t="s">
        <v>33</v>
      </c>
      <c r="P3" s="12" t="s">
        <v>34</v>
      </c>
      <c r="Q3" s="9"/>
      <c r="R3" s="13" t="s">
        <v>35</v>
      </c>
      <c r="S3" s="14" t="s">
        <v>43</v>
      </c>
      <c r="T3" s="14" t="s">
        <v>44</v>
      </c>
      <c r="U3" s="14" t="s">
        <v>45</v>
      </c>
      <c r="V3" s="17" t="s">
        <v>46</v>
      </c>
      <c r="W3" s="15"/>
      <c r="X3" s="15"/>
    </row>
    <row r="4">
      <c r="A4" s="7">
        <v>3.0</v>
      </c>
      <c r="B4" s="8" t="s">
        <v>47</v>
      </c>
      <c r="C4" s="9" t="s">
        <v>48</v>
      </c>
      <c r="D4" s="10" t="str">
        <f>HYPERLINK("https://facebook.com/367089020688300_550117909052076", "367089020688300_550117909052076")</f>
        <v>367089020688300_550117909052076</v>
      </c>
      <c r="E4" s="11">
        <v>48.0</v>
      </c>
      <c r="F4" s="11">
        <v>1.0</v>
      </c>
      <c r="G4" s="11">
        <v>17.0</v>
      </c>
      <c r="H4" s="9" t="s">
        <v>26</v>
      </c>
      <c r="I4" s="9" t="s">
        <v>49</v>
      </c>
      <c r="J4" s="9" t="s">
        <v>50</v>
      </c>
      <c r="K4" s="9" t="s">
        <v>51</v>
      </c>
      <c r="L4" s="9" t="s">
        <v>30</v>
      </c>
      <c r="M4" s="9" t="s">
        <v>31</v>
      </c>
      <c r="N4" s="9" t="s">
        <v>32</v>
      </c>
      <c r="O4" s="12" t="s">
        <v>33</v>
      </c>
      <c r="P4" s="12" t="s">
        <v>34</v>
      </c>
      <c r="Q4" s="9"/>
      <c r="R4" s="18"/>
      <c r="S4" s="18"/>
      <c r="T4" s="18"/>
      <c r="U4" s="18"/>
      <c r="V4" s="18"/>
      <c r="W4" s="15"/>
      <c r="X4" s="15"/>
    </row>
    <row r="5">
      <c r="A5" s="7">
        <v>4.0</v>
      </c>
      <c r="B5" s="8" t="s">
        <v>52</v>
      </c>
      <c r="C5" s="9" t="s">
        <v>53</v>
      </c>
      <c r="D5" s="10" t="str">
        <f>HYPERLINK("https://facebook.com/367089020688300_419589195438282", "367089020688300_419589195438282")</f>
        <v>367089020688300_419589195438282</v>
      </c>
      <c r="E5" s="11">
        <v>732.0</v>
      </c>
      <c r="F5" s="11">
        <v>56.0</v>
      </c>
      <c r="G5" s="11">
        <v>695.0</v>
      </c>
      <c r="H5" s="9" t="s">
        <v>26</v>
      </c>
      <c r="I5" s="9" t="s">
        <v>54</v>
      </c>
      <c r="J5" s="9" t="s">
        <v>55</v>
      </c>
      <c r="K5" s="9" t="s">
        <v>56</v>
      </c>
      <c r="L5" s="9" t="s">
        <v>30</v>
      </c>
      <c r="M5" s="9" t="s">
        <v>31</v>
      </c>
      <c r="N5" s="9" t="s">
        <v>32</v>
      </c>
      <c r="O5" s="12" t="s">
        <v>33</v>
      </c>
      <c r="P5" s="12" t="s">
        <v>34</v>
      </c>
      <c r="Q5" s="9"/>
      <c r="R5" s="19" t="s">
        <v>57</v>
      </c>
      <c r="S5" s="20" t="s">
        <v>58</v>
      </c>
      <c r="T5" s="20" t="s">
        <v>59</v>
      </c>
      <c r="U5" s="20" t="s">
        <v>60</v>
      </c>
      <c r="V5" s="20" t="s">
        <v>61</v>
      </c>
      <c r="W5" s="15"/>
      <c r="X5" s="15"/>
    </row>
    <row r="6">
      <c r="A6" s="7">
        <v>5.0</v>
      </c>
      <c r="B6" s="8" t="s">
        <v>62</v>
      </c>
      <c r="C6" s="9" t="s">
        <v>63</v>
      </c>
      <c r="D6" s="10" t="str">
        <f>HYPERLINK("https://facebook.com/367089020688300_506443070086227", "367089020688300_506443070086227")</f>
        <v>367089020688300_506443070086227</v>
      </c>
      <c r="E6" s="11">
        <v>516.0</v>
      </c>
      <c r="F6" s="11">
        <v>20.0</v>
      </c>
      <c r="G6" s="11">
        <v>420.0</v>
      </c>
      <c r="H6" s="9" t="s">
        <v>26</v>
      </c>
      <c r="I6" s="9" t="s">
        <v>64</v>
      </c>
      <c r="J6" s="9" t="s">
        <v>65</v>
      </c>
      <c r="K6" s="9" t="s">
        <v>66</v>
      </c>
      <c r="L6" s="9" t="s">
        <v>30</v>
      </c>
      <c r="M6" s="9" t="s">
        <v>31</v>
      </c>
      <c r="N6" s="9" t="s">
        <v>32</v>
      </c>
      <c r="O6" s="12" t="s">
        <v>33</v>
      </c>
      <c r="P6" s="12" t="s">
        <v>34</v>
      </c>
      <c r="Q6" s="9"/>
      <c r="R6" s="18"/>
      <c r="S6" s="18"/>
      <c r="T6" s="18"/>
      <c r="U6" s="18"/>
      <c r="V6" s="18"/>
      <c r="W6" s="15"/>
      <c r="X6" s="15"/>
    </row>
    <row r="7">
      <c r="A7" s="7">
        <v>6.0</v>
      </c>
      <c r="B7" s="8" t="s">
        <v>67</v>
      </c>
      <c r="C7" s="9" t="s">
        <v>68</v>
      </c>
      <c r="D7" s="10" t="str">
        <f>HYPERLINK("https://facebook.com/367089020688300_555325628531304", "367089020688300_555325628531304")</f>
        <v>367089020688300_555325628531304</v>
      </c>
      <c r="E7" s="11">
        <v>195.0</v>
      </c>
      <c r="F7" s="11">
        <v>4.0</v>
      </c>
      <c r="G7" s="11">
        <v>205.0</v>
      </c>
      <c r="H7" s="9" t="s">
        <v>26</v>
      </c>
      <c r="I7" s="9" t="s">
        <v>69</v>
      </c>
      <c r="J7" s="16" t="s">
        <v>70</v>
      </c>
      <c r="K7" s="9"/>
      <c r="L7" s="9" t="s">
        <v>30</v>
      </c>
      <c r="M7" s="9" t="s">
        <v>31</v>
      </c>
      <c r="N7" s="9" t="s">
        <v>32</v>
      </c>
      <c r="O7" s="12" t="s">
        <v>33</v>
      </c>
      <c r="P7" s="12" t="s">
        <v>34</v>
      </c>
      <c r="Q7" s="9"/>
      <c r="R7" s="18"/>
      <c r="S7" s="18"/>
      <c r="T7" s="18"/>
      <c r="U7" s="18"/>
      <c r="V7" s="18"/>
      <c r="W7" s="15"/>
      <c r="X7" s="15"/>
    </row>
    <row r="8">
      <c r="A8" s="7">
        <v>7.0</v>
      </c>
      <c r="B8" s="8" t="s">
        <v>71</v>
      </c>
      <c r="C8" s="9" t="s">
        <v>72</v>
      </c>
      <c r="D8" s="10" t="str">
        <f>HYPERLINK("https://facebook.com/367089020688300_552102812186919", "367089020688300_552102812186919")</f>
        <v>367089020688300_552102812186919</v>
      </c>
      <c r="E8" s="11">
        <v>116.0</v>
      </c>
      <c r="F8" s="11">
        <v>3.0</v>
      </c>
      <c r="G8" s="11">
        <v>152.0</v>
      </c>
      <c r="H8" s="9" t="s">
        <v>26</v>
      </c>
      <c r="I8" s="9" t="s">
        <v>73</v>
      </c>
      <c r="J8" s="16" t="s">
        <v>74</v>
      </c>
      <c r="K8" s="9"/>
      <c r="L8" s="9" t="s">
        <v>30</v>
      </c>
      <c r="M8" s="9" t="s">
        <v>31</v>
      </c>
      <c r="N8" s="9" t="s">
        <v>32</v>
      </c>
      <c r="O8" s="12" t="s">
        <v>33</v>
      </c>
      <c r="P8" s="12" t="s">
        <v>34</v>
      </c>
      <c r="Q8" s="9"/>
      <c r="R8" s="18"/>
      <c r="S8" s="18"/>
      <c r="T8" s="18"/>
      <c r="U8" s="18"/>
      <c r="V8" s="18"/>
      <c r="W8" s="15"/>
      <c r="X8" s="15"/>
    </row>
    <row r="9">
      <c r="A9" s="7">
        <v>8.0</v>
      </c>
      <c r="B9" s="8" t="s">
        <v>75</v>
      </c>
      <c r="C9" s="9" t="s">
        <v>76</v>
      </c>
      <c r="D9" s="10" t="str">
        <f>HYPERLINK("https://facebook.com/367089020688300_529983757732158", "367089020688300_529983757732158")</f>
        <v>367089020688300_529983757732158</v>
      </c>
      <c r="E9" s="11">
        <v>21.0</v>
      </c>
      <c r="F9" s="11">
        <v>0.0</v>
      </c>
      <c r="G9" s="11">
        <v>12.0</v>
      </c>
      <c r="H9" s="9" t="s">
        <v>26</v>
      </c>
      <c r="I9" s="9" t="s">
        <v>77</v>
      </c>
      <c r="J9" s="9" t="s">
        <v>78</v>
      </c>
      <c r="K9" s="9" t="s">
        <v>51</v>
      </c>
      <c r="L9" s="9" t="s">
        <v>30</v>
      </c>
      <c r="M9" s="9" t="s">
        <v>31</v>
      </c>
      <c r="N9" s="9" t="s">
        <v>32</v>
      </c>
      <c r="O9" s="12" t="s">
        <v>33</v>
      </c>
      <c r="P9" s="12" t="s">
        <v>34</v>
      </c>
      <c r="Q9" s="9"/>
      <c r="R9" s="18"/>
      <c r="S9" s="18"/>
      <c r="T9" s="18"/>
      <c r="U9" s="18"/>
      <c r="V9" s="18"/>
      <c r="W9" s="15"/>
      <c r="X9" s="15"/>
    </row>
    <row r="10">
      <c r="A10" s="7">
        <v>9.0</v>
      </c>
      <c r="B10" s="8" t="s">
        <v>79</v>
      </c>
      <c r="C10" s="9" t="s">
        <v>80</v>
      </c>
      <c r="D10" s="10" t="str">
        <f>HYPERLINK("https://facebook.com/367089020688300_515650529165481", "367089020688300_515650529165481")</f>
        <v>367089020688300_515650529165481</v>
      </c>
      <c r="E10" s="11">
        <v>2502.0</v>
      </c>
      <c r="F10" s="11">
        <v>366.0</v>
      </c>
      <c r="G10" s="11">
        <v>1352.0</v>
      </c>
      <c r="H10" s="9" t="s">
        <v>26</v>
      </c>
      <c r="I10" s="9" t="s">
        <v>81</v>
      </c>
      <c r="J10" s="16" t="s">
        <v>82</v>
      </c>
      <c r="K10" s="9"/>
      <c r="L10" s="9" t="s">
        <v>30</v>
      </c>
      <c r="M10" s="9" t="s">
        <v>31</v>
      </c>
      <c r="N10" s="9" t="s">
        <v>32</v>
      </c>
      <c r="O10" s="12" t="s">
        <v>33</v>
      </c>
      <c r="P10" s="12" t="s">
        <v>34</v>
      </c>
      <c r="Q10" s="9"/>
      <c r="R10" s="18"/>
      <c r="S10" s="18"/>
      <c r="T10" s="18"/>
      <c r="U10" s="18"/>
      <c r="V10" s="18"/>
      <c r="W10" s="15"/>
      <c r="X10" s="15"/>
    </row>
    <row r="11">
      <c r="A11" s="7">
        <v>10.0</v>
      </c>
      <c r="B11" s="21" t="s">
        <v>83</v>
      </c>
      <c r="C11" s="21" t="s">
        <v>84</v>
      </c>
      <c r="D11" s="22" t="str">
        <f>HYPERLINK("https://facebook.com/367089020688300_536430407087493", "367089020688300_536430407087493")</f>
        <v>367089020688300_536430407087493</v>
      </c>
      <c r="E11" s="23">
        <v>62.0</v>
      </c>
      <c r="F11" s="23">
        <v>0.0</v>
      </c>
      <c r="G11" s="23">
        <v>32.0</v>
      </c>
      <c r="H11" s="21" t="s">
        <v>26</v>
      </c>
      <c r="I11" s="21" t="s">
        <v>85</v>
      </c>
      <c r="J11" s="21" t="s">
        <v>86</v>
      </c>
      <c r="K11" s="21" t="s">
        <v>87</v>
      </c>
      <c r="L11" s="21" t="s">
        <v>30</v>
      </c>
      <c r="M11" s="21" t="s">
        <v>31</v>
      </c>
      <c r="N11" s="21" t="s">
        <v>32</v>
      </c>
      <c r="O11" s="21" t="s">
        <v>33</v>
      </c>
      <c r="P11" s="12" t="s">
        <v>34</v>
      </c>
      <c r="Q11" s="21"/>
      <c r="R11" s="13" t="s">
        <v>35</v>
      </c>
      <c r="S11" s="13" t="s">
        <v>36</v>
      </c>
      <c r="T11" s="13" t="s">
        <v>88</v>
      </c>
      <c r="U11" s="13" t="s">
        <v>89</v>
      </c>
      <c r="V11" s="13" t="s">
        <v>90</v>
      </c>
      <c r="W11" s="24"/>
      <c r="X11" s="24"/>
    </row>
    <row r="12">
      <c r="A12" s="7">
        <v>11.0</v>
      </c>
      <c r="B12" s="8" t="s">
        <v>91</v>
      </c>
      <c r="C12" s="9" t="s">
        <v>92</v>
      </c>
      <c r="D12" s="10" t="str">
        <f>HYPERLINK("https://facebook.com/367089020688300_393211724742696", "367089020688300_393211724742696")</f>
        <v>367089020688300_393211724742696</v>
      </c>
      <c r="E12" s="11">
        <v>445.0</v>
      </c>
      <c r="F12" s="11">
        <v>15.0</v>
      </c>
      <c r="G12" s="11">
        <v>271.0</v>
      </c>
      <c r="H12" s="9" t="s">
        <v>26</v>
      </c>
      <c r="I12" s="9" t="s">
        <v>93</v>
      </c>
      <c r="J12" s="9" t="s">
        <v>94</v>
      </c>
      <c r="K12" s="9" t="s">
        <v>95</v>
      </c>
      <c r="L12" s="9" t="s">
        <v>30</v>
      </c>
      <c r="M12" s="9" t="s">
        <v>31</v>
      </c>
      <c r="N12" s="9" t="s">
        <v>32</v>
      </c>
      <c r="O12" s="12" t="s">
        <v>33</v>
      </c>
      <c r="P12" s="12" t="s">
        <v>34</v>
      </c>
      <c r="Q12" s="9"/>
      <c r="R12" s="18"/>
      <c r="S12" s="18"/>
      <c r="T12" s="18"/>
      <c r="U12" s="18"/>
      <c r="V12" s="18"/>
      <c r="W12" s="15"/>
      <c r="X12" s="15"/>
    </row>
    <row r="13">
      <c r="A13" s="7">
        <v>12.0</v>
      </c>
      <c r="B13" s="8" t="s">
        <v>96</v>
      </c>
      <c r="C13" s="9" t="s">
        <v>97</v>
      </c>
      <c r="D13" s="10" t="str">
        <f>HYPERLINK("https://facebook.com/367089020688300_544556996274834", "367089020688300_544556996274834")</f>
        <v>367089020688300_544556996274834</v>
      </c>
      <c r="E13" s="11">
        <v>267.0</v>
      </c>
      <c r="F13" s="11">
        <v>1.0</v>
      </c>
      <c r="G13" s="11">
        <v>36.0</v>
      </c>
      <c r="H13" s="9" t="s">
        <v>26</v>
      </c>
      <c r="I13" s="9" t="s">
        <v>98</v>
      </c>
      <c r="J13" s="16" t="s">
        <v>99</v>
      </c>
      <c r="K13" s="9"/>
      <c r="L13" s="9" t="s">
        <v>30</v>
      </c>
      <c r="M13" s="9" t="s">
        <v>31</v>
      </c>
      <c r="N13" s="9" t="s">
        <v>32</v>
      </c>
      <c r="O13" s="12" t="s">
        <v>33</v>
      </c>
      <c r="P13" s="12" t="s">
        <v>34</v>
      </c>
      <c r="Q13" s="9"/>
      <c r="R13" s="18"/>
      <c r="S13" s="18"/>
      <c r="T13" s="18"/>
      <c r="U13" s="18"/>
      <c r="V13" s="18"/>
      <c r="W13" s="15"/>
      <c r="X13" s="15"/>
    </row>
    <row r="14">
      <c r="A14" s="7">
        <v>13.0</v>
      </c>
      <c r="B14" s="8" t="s">
        <v>100</v>
      </c>
      <c r="C14" s="9" t="s">
        <v>101</v>
      </c>
      <c r="D14" s="10" t="str">
        <f>HYPERLINK("https://facebook.com/367089020688300_448671249196743", "367089020688300_448671249196743")</f>
        <v>367089020688300_448671249196743</v>
      </c>
      <c r="E14" s="11">
        <v>1226.0</v>
      </c>
      <c r="F14" s="11">
        <v>38.0</v>
      </c>
      <c r="G14" s="11">
        <v>868.0</v>
      </c>
      <c r="H14" s="9" t="s">
        <v>26</v>
      </c>
      <c r="I14" s="9" t="s">
        <v>102</v>
      </c>
      <c r="J14" s="9" t="s">
        <v>103</v>
      </c>
      <c r="K14" s="9" t="s">
        <v>104</v>
      </c>
      <c r="L14" s="9" t="s">
        <v>30</v>
      </c>
      <c r="M14" s="9" t="s">
        <v>31</v>
      </c>
      <c r="N14" s="9" t="s">
        <v>32</v>
      </c>
      <c r="O14" s="12" t="s">
        <v>33</v>
      </c>
      <c r="P14" s="12" t="s">
        <v>34</v>
      </c>
      <c r="Q14" s="9"/>
      <c r="R14" s="18"/>
      <c r="S14" s="18"/>
      <c r="T14" s="18"/>
      <c r="U14" s="18"/>
      <c r="V14" s="18"/>
      <c r="W14" s="15"/>
      <c r="X14" s="15"/>
    </row>
    <row r="15">
      <c r="A15" s="7">
        <v>14.0</v>
      </c>
      <c r="B15" s="8" t="s">
        <v>105</v>
      </c>
      <c r="C15" s="9" t="s">
        <v>106</v>
      </c>
      <c r="D15" s="10" t="str">
        <f>HYPERLINK("https://facebook.com/367089020688300_493219024741965", "367089020688300_493219024741965")</f>
        <v>367089020688300_493219024741965</v>
      </c>
      <c r="E15" s="11">
        <v>1296.0</v>
      </c>
      <c r="F15" s="11">
        <v>21.0</v>
      </c>
      <c r="G15" s="11">
        <v>621.0</v>
      </c>
      <c r="H15" s="9" t="s">
        <v>26</v>
      </c>
      <c r="I15" s="9" t="s">
        <v>107</v>
      </c>
      <c r="J15" s="9" t="s">
        <v>108</v>
      </c>
      <c r="K15" s="9" t="s">
        <v>109</v>
      </c>
      <c r="L15" s="9" t="s">
        <v>30</v>
      </c>
      <c r="M15" s="9" t="s">
        <v>31</v>
      </c>
      <c r="N15" s="9" t="s">
        <v>32</v>
      </c>
      <c r="O15" s="12" t="s">
        <v>33</v>
      </c>
      <c r="P15" s="12" t="s">
        <v>34</v>
      </c>
      <c r="Q15" s="9"/>
      <c r="R15" s="25" t="s">
        <v>110</v>
      </c>
      <c r="S15" s="20" t="s">
        <v>111</v>
      </c>
      <c r="T15" s="20" t="s">
        <v>112</v>
      </c>
      <c r="U15" s="20" t="s">
        <v>113</v>
      </c>
      <c r="V15" s="20" t="s">
        <v>114</v>
      </c>
      <c r="W15" s="15"/>
      <c r="X15" s="15"/>
    </row>
    <row r="16">
      <c r="A16" s="7">
        <v>15.0</v>
      </c>
      <c r="B16" s="8" t="s">
        <v>115</v>
      </c>
      <c r="C16" s="9" t="s">
        <v>116</v>
      </c>
      <c r="D16" s="10" t="str">
        <f>HYPERLINK("https://facebook.com/367089020688300_531006607629873", "367089020688300_531006607629873")</f>
        <v>367089020688300_531006607629873</v>
      </c>
      <c r="E16" s="11">
        <v>102.0</v>
      </c>
      <c r="F16" s="11">
        <v>12.0</v>
      </c>
      <c r="G16" s="11">
        <v>133.0</v>
      </c>
      <c r="H16" s="9" t="s">
        <v>26</v>
      </c>
      <c r="I16" s="9" t="s">
        <v>117</v>
      </c>
      <c r="J16" s="9" t="s">
        <v>118</v>
      </c>
      <c r="K16" s="9" t="s">
        <v>119</v>
      </c>
      <c r="L16" s="9" t="s">
        <v>30</v>
      </c>
      <c r="M16" s="9" t="s">
        <v>31</v>
      </c>
      <c r="N16" s="9" t="s">
        <v>32</v>
      </c>
      <c r="O16" s="12" t="s">
        <v>33</v>
      </c>
      <c r="P16" s="12" t="s">
        <v>34</v>
      </c>
      <c r="Q16" s="9"/>
      <c r="R16" s="18"/>
      <c r="S16" s="18"/>
      <c r="T16" s="18"/>
      <c r="U16" s="18"/>
      <c r="V16" s="18"/>
      <c r="W16" s="15"/>
      <c r="X16" s="15"/>
    </row>
    <row r="17">
      <c r="A17" s="7">
        <v>16.0</v>
      </c>
      <c r="B17" s="8" t="s">
        <v>120</v>
      </c>
      <c r="C17" s="9" t="s">
        <v>121</v>
      </c>
      <c r="D17" s="10" t="str">
        <f>HYPERLINK("https://facebook.com/367089020688300_540085310055336", "367089020688300_540085310055336")</f>
        <v>367089020688300_540085310055336</v>
      </c>
      <c r="E17" s="11">
        <v>905.0</v>
      </c>
      <c r="F17" s="11">
        <v>2.0</v>
      </c>
      <c r="G17" s="11">
        <v>365.0</v>
      </c>
      <c r="H17" s="9" t="s">
        <v>26</v>
      </c>
      <c r="I17" s="9" t="s">
        <v>122</v>
      </c>
      <c r="J17" s="9" t="s">
        <v>123</v>
      </c>
      <c r="K17" s="9" t="s">
        <v>124</v>
      </c>
      <c r="L17" s="9" t="s">
        <v>30</v>
      </c>
      <c r="M17" s="9" t="s">
        <v>31</v>
      </c>
      <c r="N17" s="9" t="s">
        <v>32</v>
      </c>
      <c r="O17" s="12" t="s">
        <v>33</v>
      </c>
      <c r="P17" s="12" t="s">
        <v>34</v>
      </c>
      <c r="Q17" s="9"/>
      <c r="R17" s="18"/>
      <c r="S17" s="18"/>
      <c r="T17" s="18"/>
      <c r="U17" s="18"/>
      <c r="V17" s="18"/>
      <c r="W17" s="15"/>
      <c r="X17" s="15"/>
    </row>
    <row r="18">
      <c r="A18" s="7">
        <v>17.0</v>
      </c>
      <c r="B18" s="8" t="s">
        <v>125</v>
      </c>
      <c r="C18" s="9" t="s">
        <v>126</v>
      </c>
      <c r="D18" s="10" t="str">
        <f>HYPERLINK("https://facebook.com/367089020688300_537124003684800", "367089020688300_537124003684800")</f>
        <v>367089020688300_537124003684800</v>
      </c>
      <c r="E18" s="11">
        <v>418.0</v>
      </c>
      <c r="F18" s="11">
        <v>3.0</v>
      </c>
      <c r="G18" s="11">
        <v>305.0</v>
      </c>
      <c r="H18" s="9" t="s">
        <v>26</v>
      </c>
      <c r="I18" s="9" t="s">
        <v>127</v>
      </c>
      <c r="J18" s="9" t="s">
        <v>128</v>
      </c>
      <c r="K18" s="9" t="s">
        <v>129</v>
      </c>
      <c r="L18" s="9" t="s">
        <v>30</v>
      </c>
      <c r="M18" s="9" t="s">
        <v>31</v>
      </c>
      <c r="N18" s="9" t="s">
        <v>32</v>
      </c>
      <c r="O18" s="12" t="s">
        <v>33</v>
      </c>
      <c r="P18" s="12" t="s">
        <v>34</v>
      </c>
      <c r="Q18" s="9"/>
      <c r="R18" s="18"/>
      <c r="S18" s="18"/>
      <c r="T18" s="18"/>
      <c r="U18" s="18"/>
      <c r="V18" s="18"/>
      <c r="W18" s="15"/>
      <c r="X18" s="15"/>
    </row>
    <row r="19">
      <c r="A19" s="7">
        <v>18.0</v>
      </c>
      <c r="B19" s="8" t="s">
        <v>130</v>
      </c>
      <c r="C19" s="9" t="s">
        <v>131</v>
      </c>
      <c r="D19" s="10" t="str">
        <f>HYPERLINK("https://facebook.com/367089020688300_536363360427531", "367089020688300_536363360427531")</f>
        <v>367089020688300_536363360427531</v>
      </c>
      <c r="E19" s="11">
        <v>28.0</v>
      </c>
      <c r="F19" s="11">
        <v>0.0</v>
      </c>
      <c r="G19" s="11">
        <v>4.0</v>
      </c>
      <c r="H19" s="9" t="s">
        <v>26</v>
      </c>
      <c r="I19" s="9" t="s">
        <v>132</v>
      </c>
      <c r="J19" s="16" t="s">
        <v>133</v>
      </c>
      <c r="K19" s="9"/>
      <c r="L19" s="9" t="s">
        <v>30</v>
      </c>
      <c r="M19" s="9" t="s">
        <v>31</v>
      </c>
      <c r="N19" s="9" t="s">
        <v>32</v>
      </c>
      <c r="O19" s="12" t="s">
        <v>33</v>
      </c>
      <c r="P19" s="12" t="s">
        <v>34</v>
      </c>
      <c r="Q19" s="9"/>
      <c r="R19" s="18"/>
      <c r="S19" s="18"/>
      <c r="T19" s="18"/>
      <c r="U19" s="18"/>
      <c r="V19" s="18"/>
      <c r="W19" s="15"/>
      <c r="X19" s="15"/>
    </row>
    <row r="20">
      <c r="A20" s="7">
        <v>19.0</v>
      </c>
      <c r="B20" s="8" t="s">
        <v>134</v>
      </c>
      <c r="C20" s="9" t="s">
        <v>135</v>
      </c>
      <c r="D20" s="10" t="str">
        <f>HYPERLINK("https://facebook.com/367089020688300_505879260142608", "367089020688300_505879260142608")</f>
        <v>367089020688300_505879260142608</v>
      </c>
      <c r="E20" s="11">
        <v>65.0</v>
      </c>
      <c r="F20" s="11">
        <v>3.0</v>
      </c>
      <c r="G20" s="11">
        <v>61.0</v>
      </c>
      <c r="H20" s="9" t="s">
        <v>26</v>
      </c>
      <c r="I20" s="9" t="s">
        <v>136</v>
      </c>
      <c r="J20" s="16" t="s">
        <v>137</v>
      </c>
      <c r="K20" s="9"/>
      <c r="L20" s="9" t="s">
        <v>30</v>
      </c>
      <c r="M20" s="9" t="s">
        <v>31</v>
      </c>
      <c r="N20" s="9" t="s">
        <v>32</v>
      </c>
      <c r="O20" s="12" t="s">
        <v>33</v>
      </c>
      <c r="P20" s="12" t="s">
        <v>34</v>
      </c>
      <c r="Q20" s="9"/>
      <c r="R20" s="18"/>
      <c r="S20" s="18"/>
      <c r="T20" s="18"/>
      <c r="U20" s="18"/>
      <c r="V20" s="18"/>
      <c r="W20" s="15"/>
      <c r="X20" s="15"/>
    </row>
    <row r="21">
      <c r="A21" s="7">
        <v>20.0</v>
      </c>
      <c r="B21" s="8" t="s">
        <v>138</v>
      </c>
      <c r="C21" s="9" t="s">
        <v>139</v>
      </c>
      <c r="D21" s="10" t="str">
        <f>HYPERLINK("https://facebook.com/367089020688300_536609363736264", "367089020688300_536609363736264")</f>
        <v>367089020688300_536609363736264</v>
      </c>
      <c r="E21" s="11">
        <v>6.0</v>
      </c>
      <c r="F21" s="11">
        <v>0.0</v>
      </c>
      <c r="G21" s="11">
        <v>5.0</v>
      </c>
      <c r="H21" s="9" t="s">
        <v>26</v>
      </c>
      <c r="I21" s="9" t="s">
        <v>140</v>
      </c>
      <c r="J21" s="9" t="s">
        <v>141</v>
      </c>
      <c r="K21" s="9" t="s">
        <v>142</v>
      </c>
      <c r="L21" s="9" t="s">
        <v>30</v>
      </c>
      <c r="M21" s="9" t="s">
        <v>31</v>
      </c>
      <c r="N21" s="9" t="s">
        <v>32</v>
      </c>
      <c r="O21" s="12" t="s">
        <v>33</v>
      </c>
      <c r="P21" s="12" t="s">
        <v>34</v>
      </c>
      <c r="Q21" s="9"/>
      <c r="R21" s="18"/>
      <c r="S21" s="18"/>
      <c r="T21" s="18"/>
      <c r="U21" s="18"/>
      <c r="V21" s="18"/>
      <c r="W21" s="15"/>
      <c r="X21" s="15"/>
    </row>
    <row r="22">
      <c r="A22" s="7">
        <v>21.0</v>
      </c>
      <c r="B22" s="8" t="s">
        <v>143</v>
      </c>
      <c r="C22" s="9" t="s">
        <v>144</v>
      </c>
      <c r="D22" s="10" t="str">
        <f>HYPERLINK("https://facebook.com/367089020688300_547558365974697", "367089020688300_547558365974697")</f>
        <v>367089020688300_547558365974697</v>
      </c>
      <c r="E22" s="11">
        <v>273.0</v>
      </c>
      <c r="F22" s="11">
        <v>12.0</v>
      </c>
      <c r="G22" s="11">
        <v>241.0</v>
      </c>
      <c r="H22" s="9" t="s">
        <v>26</v>
      </c>
      <c r="I22" s="9" t="s">
        <v>145</v>
      </c>
      <c r="J22" s="16" t="s">
        <v>146</v>
      </c>
      <c r="K22" s="9"/>
      <c r="L22" s="9" t="s">
        <v>30</v>
      </c>
      <c r="M22" s="9" t="s">
        <v>31</v>
      </c>
      <c r="N22" s="9" t="s">
        <v>32</v>
      </c>
      <c r="O22" s="12" t="s">
        <v>33</v>
      </c>
      <c r="P22" s="12" t="s">
        <v>34</v>
      </c>
      <c r="Q22" s="9"/>
      <c r="R22" s="18"/>
      <c r="S22" s="18"/>
      <c r="T22" s="18"/>
      <c r="U22" s="18"/>
      <c r="V22" s="18"/>
      <c r="W22" s="15"/>
      <c r="X22" s="15"/>
    </row>
    <row r="23">
      <c r="A23" s="7">
        <v>22.0</v>
      </c>
      <c r="B23" s="8" t="s">
        <v>147</v>
      </c>
      <c r="C23" s="9" t="s">
        <v>148</v>
      </c>
      <c r="D23" s="10" t="str">
        <f>HYPERLINK("https://facebook.com/367089020688300_495043924559475", "367089020688300_495043924559475")</f>
        <v>367089020688300_495043924559475</v>
      </c>
      <c r="E23" s="11">
        <v>118.0</v>
      </c>
      <c r="F23" s="11">
        <v>7.0</v>
      </c>
      <c r="G23" s="11">
        <v>121.0</v>
      </c>
      <c r="H23" s="9" t="s">
        <v>26</v>
      </c>
      <c r="I23" s="9" t="s">
        <v>149</v>
      </c>
      <c r="J23" s="9" t="s">
        <v>150</v>
      </c>
      <c r="K23" s="9" t="s">
        <v>151</v>
      </c>
      <c r="L23" s="9" t="s">
        <v>30</v>
      </c>
      <c r="M23" s="9" t="s">
        <v>31</v>
      </c>
      <c r="N23" s="9" t="s">
        <v>32</v>
      </c>
      <c r="O23" s="12" t="s">
        <v>33</v>
      </c>
      <c r="P23" s="12" t="s">
        <v>34</v>
      </c>
      <c r="Q23" s="9"/>
      <c r="R23" s="18"/>
      <c r="S23" s="18"/>
      <c r="T23" s="18"/>
      <c r="U23" s="18"/>
      <c r="V23" s="18"/>
      <c r="W23" s="15"/>
      <c r="X23" s="15"/>
    </row>
    <row r="24">
      <c r="A24" s="7">
        <v>23.0</v>
      </c>
      <c r="B24" s="8" t="s">
        <v>152</v>
      </c>
      <c r="C24" s="9" t="s">
        <v>153</v>
      </c>
      <c r="D24" s="10" t="str">
        <f>HYPERLINK("https://facebook.com/367089020688300_510883572975510", "367089020688300_510883572975510")</f>
        <v>367089020688300_510883572975510</v>
      </c>
      <c r="E24" s="11">
        <v>490.0</v>
      </c>
      <c r="F24" s="11">
        <v>14.0</v>
      </c>
      <c r="G24" s="11">
        <v>398.0</v>
      </c>
      <c r="H24" s="9" t="s">
        <v>26</v>
      </c>
      <c r="I24" s="9" t="s">
        <v>154</v>
      </c>
      <c r="J24" s="9" t="s">
        <v>155</v>
      </c>
      <c r="K24" s="9" t="s">
        <v>156</v>
      </c>
      <c r="L24" s="9" t="s">
        <v>30</v>
      </c>
      <c r="M24" s="9" t="s">
        <v>31</v>
      </c>
      <c r="N24" s="9" t="s">
        <v>32</v>
      </c>
      <c r="O24" s="12" t="s">
        <v>33</v>
      </c>
      <c r="P24" s="12" t="s">
        <v>34</v>
      </c>
      <c r="Q24" s="9"/>
      <c r="R24" s="18"/>
      <c r="S24" s="18"/>
      <c r="T24" s="18"/>
      <c r="U24" s="18"/>
      <c r="V24" s="18"/>
      <c r="W24" s="15"/>
      <c r="X24" s="15"/>
    </row>
    <row r="25">
      <c r="A25" s="7">
        <v>24.0</v>
      </c>
      <c r="B25" s="21" t="s">
        <v>157</v>
      </c>
      <c r="C25" s="21" t="s">
        <v>158</v>
      </c>
      <c r="D25" s="22" t="str">
        <f>HYPERLINK("https://facebook.com/367089020688300_485607072169827", "367089020688300_485607072169827")</f>
        <v>367089020688300_485607072169827</v>
      </c>
      <c r="E25" s="23">
        <v>97.0</v>
      </c>
      <c r="F25" s="23">
        <v>1.0</v>
      </c>
      <c r="G25" s="23">
        <v>69.0</v>
      </c>
      <c r="H25" s="21" t="s">
        <v>26</v>
      </c>
      <c r="I25" s="21" t="s">
        <v>159</v>
      </c>
      <c r="J25" s="21" t="s">
        <v>160</v>
      </c>
      <c r="K25" s="21" t="s">
        <v>161</v>
      </c>
      <c r="L25" s="21" t="s">
        <v>30</v>
      </c>
      <c r="M25" s="21" t="s">
        <v>31</v>
      </c>
      <c r="N25" s="21" t="s">
        <v>32</v>
      </c>
      <c r="O25" s="21" t="s">
        <v>33</v>
      </c>
      <c r="P25" s="12" t="s">
        <v>34</v>
      </c>
      <c r="Q25" s="21"/>
      <c r="R25" s="13" t="s">
        <v>162</v>
      </c>
      <c r="S25" s="13" t="s">
        <v>163</v>
      </c>
      <c r="T25" s="13" t="s">
        <v>164</v>
      </c>
      <c r="U25" s="13" t="s">
        <v>165</v>
      </c>
      <c r="V25" s="24"/>
      <c r="W25" s="13" t="s">
        <v>166</v>
      </c>
      <c r="X25" s="24"/>
    </row>
    <row r="26">
      <c r="A26" s="7">
        <v>25.0</v>
      </c>
      <c r="B26" s="8" t="s">
        <v>167</v>
      </c>
      <c r="C26" s="9" t="s">
        <v>168</v>
      </c>
      <c r="D26" s="10" t="str">
        <f>HYPERLINK("https://facebook.com/367089020688300_474078526656015", "367089020688300_474078526656015")</f>
        <v>367089020688300_474078526656015</v>
      </c>
      <c r="E26" s="11">
        <v>176.0</v>
      </c>
      <c r="F26" s="11">
        <v>1.0</v>
      </c>
      <c r="G26" s="11">
        <v>132.0</v>
      </c>
      <c r="H26" s="9" t="s">
        <v>26</v>
      </c>
      <c r="I26" s="9" t="s">
        <v>169</v>
      </c>
      <c r="J26" s="9" t="s">
        <v>170</v>
      </c>
      <c r="K26" s="9" t="s">
        <v>171</v>
      </c>
      <c r="L26" s="9" t="s">
        <v>30</v>
      </c>
      <c r="M26" s="9" t="s">
        <v>31</v>
      </c>
      <c r="N26" s="9" t="s">
        <v>32</v>
      </c>
      <c r="O26" s="12" t="s">
        <v>33</v>
      </c>
      <c r="P26" s="12" t="s">
        <v>34</v>
      </c>
      <c r="Q26" s="9"/>
      <c r="R26" s="18"/>
      <c r="S26" s="18"/>
      <c r="T26" s="18"/>
      <c r="U26" s="18"/>
      <c r="V26" s="18"/>
      <c r="W26" s="15"/>
      <c r="X26" s="15"/>
    </row>
    <row r="27">
      <c r="A27" s="7">
        <v>26.0</v>
      </c>
      <c r="B27" s="21" t="s">
        <v>172</v>
      </c>
      <c r="C27" s="21" t="s">
        <v>173</v>
      </c>
      <c r="D27" s="22" t="str">
        <f>HYPERLINK("https://facebook.com/367089020688300_397438834319985", "367089020688300_397438834319985")</f>
        <v>367089020688300_397438834319985</v>
      </c>
      <c r="E27" s="23">
        <v>537.0</v>
      </c>
      <c r="F27" s="23">
        <v>41.0</v>
      </c>
      <c r="G27" s="23">
        <v>497.0</v>
      </c>
      <c r="H27" s="21" t="s">
        <v>26</v>
      </c>
      <c r="I27" s="21" t="s">
        <v>174</v>
      </c>
      <c r="J27" s="21" t="s">
        <v>175</v>
      </c>
      <c r="K27" s="21" t="s">
        <v>176</v>
      </c>
      <c r="L27" s="21" t="s">
        <v>30</v>
      </c>
      <c r="M27" s="21" t="s">
        <v>31</v>
      </c>
      <c r="N27" s="21" t="s">
        <v>32</v>
      </c>
      <c r="O27" s="21" t="s">
        <v>33</v>
      </c>
      <c r="P27" s="12" t="s">
        <v>34</v>
      </c>
      <c r="Q27" s="21"/>
      <c r="R27" s="13" t="s">
        <v>57</v>
      </c>
      <c r="S27" s="13" t="s">
        <v>177</v>
      </c>
      <c r="T27" s="13" t="s">
        <v>178</v>
      </c>
      <c r="U27" s="13" t="s">
        <v>179</v>
      </c>
      <c r="V27" s="13" t="s">
        <v>180</v>
      </c>
      <c r="W27" s="13"/>
      <c r="X27" s="24"/>
    </row>
    <row r="28">
      <c r="A28" s="7">
        <v>27.0</v>
      </c>
      <c r="B28" s="8" t="s">
        <v>181</v>
      </c>
      <c r="C28" s="9" t="s">
        <v>182</v>
      </c>
      <c r="D28" s="10" t="str">
        <f>HYPERLINK("https://facebook.com/367089020688300_486434338753767", "367089020688300_486434338753767")</f>
        <v>367089020688300_486434338753767</v>
      </c>
      <c r="E28" s="11">
        <v>1411.0</v>
      </c>
      <c r="F28" s="11">
        <v>105.0</v>
      </c>
      <c r="G28" s="11">
        <v>404.0</v>
      </c>
      <c r="H28" s="9" t="s">
        <v>26</v>
      </c>
      <c r="I28" s="9" t="s">
        <v>183</v>
      </c>
      <c r="J28" s="9" t="s">
        <v>184</v>
      </c>
      <c r="K28" s="9" t="s">
        <v>185</v>
      </c>
      <c r="L28" s="9" t="s">
        <v>30</v>
      </c>
      <c r="M28" s="9" t="s">
        <v>31</v>
      </c>
      <c r="N28" s="9" t="s">
        <v>32</v>
      </c>
      <c r="O28" s="12" t="s">
        <v>33</v>
      </c>
      <c r="P28" s="12" t="s">
        <v>34</v>
      </c>
      <c r="Q28" s="9"/>
      <c r="R28" s="18"/>
      <c r="S28" s="18"/>
      <c r="T28" s="18"/>
      <c r="U28" s="18"/>
      <c r="V28" s="18"/>
      <c r="W28" s="15"/>
      <c r="X28" s="15"/>
    </row>
    <row r="29">
      <c r="A29" s="7">
        <v>28.0</v>
      </c>
      <c r="B29" s="8" t="s">
        <v>186</v>
      </c>
      <c r="C29" s="9" t="s">
        <v>187</v>
      </c>
      <c r="D29" s="10" t="str">
        <f>HYPERLINK("https://facebook.com/367089020688300_521806251883242", "367089020688300_521806251883242")</f>
        <v>367089020688300_521806251883242</v>
      </c>
      <c r="E29" s="11">
        <v>1136.0</v>
      </c>
      <c r="F29" s="11">
        <v>14.0</v>
      </c>
      <c r="G29" s="11">
        <v>280.0</v>
      </c>
      <c r="H29" s="9" t="s">
        <v>26</v>
      </c>
      <c r="I29" s="9" t="s">
        <v>188</v>
      </c>
      <c r="J29" s="9" t="s">
        <v>189</v>
      </c>
      <c r="K29" s="9" t="s">
        <v>190</v>
      </c>
      <c r="L29" s="9" t="s">
        <v>30</v>
      </c>
      <c r="M29" s="9" t="s">
        <v>31</v>
      </c>
      <c r="N29" s="9" t="s">
        <v>32</v>
      </c>
      <c r="O29" s="12" t="s">
        <v>33</v>
      </c>
      <c r="P29" s="12" t="s">
        <v>34</v>
      </c>
      <c r="Q29" s="9"/>
      <c r="R29" s="18"/>
      <c r="S29" s="18"/>
      <c r="T29" s="18"/>
      <c r="U29" s="18"/>
      <c r="V29" s="18"/>
      <c r="W29" s="15"/>
      <c r="X29" s="15"/>
    </row>
    <row r="30">
      <c r="A30" s="7">
        <v>29.0</v>
      </c>
      <c r="B30" s="8" t="s">
        <v>191</v>
      </c>
      <c r="C30" s="9" t="s">
        <v>192</v>
      </c>
      <c r="D30" s="10" t="str">
        <f>HYPERLINK("https://facebook.com/367089020688300_521628485234352", "367089020688300_521628485234352")</f>
        <v>367089020688300_521628485234352</v>
      </c>
      <c r="E30" s="11">
        <v>39.0</v>
      </c>
      <c r="F30" s="11">
        <v>0.0</v>
      </c>
      <c r="G30" s="11">
        <v>57.0</v>
      </c>
      <c r="H30" s="9" t="s">
        <v>26</v>
      </c>
      <c r="I30" s="9" t="s">
        <v>193</v>
      </c>
      <c r="J30" s="9" t="s">
        <v>194</v>
      </c>
      <c r="K30" s="9" t="s">
        <v>195</v>
      </c>
      <c r="L30" s="9" t="s">
        <v>30</v>
      </c>
      <c r="M30" s="9" t="s">
        <v>31</v>
      </c>
      <c r="N30" s="9" t="s">
        <v>32</v>
      </c>
      <c r="O30" s="12" t="s">
        <v>33</v>
      </c>
      <c r="P30" s="12" t="s">
        <v>34</v>
      </c>
      <c r="Q30" s="9"/>
      <c r="R30" s="18"/>
      <c r="S30" s="18"/>
      <c r="T30" s="18"/>
      <c r="U30" s="18"/>
      <c r="V30" s="18"/>
      <c r="W30" s="15"/>
      <c r="X30" s="15"/>
    </row>
    <row r="31">
      <c r="A31" s="7">
        <v>30.0</v>
      </c>
      <c r="B31" s="8" t="s">
        <v>196</v>
      </c>
      <c r="C31" s="9" t="s">
        <v>197</v>
      </c>
      <c r="D31" s="10" t="str">
        <f>HYPERLINK("https://facebook.com/367089020688300_549569579106909", "367089020688300_549569579106909")</f>
        <v>367089020688300_549569579106909</v>
      </c>
      <c r="E31" s="11">
        <v>16.0</v>
      </c>
      <c r="F31" s="11">
        <v>0.0</v>
      </c>
      <c r="G31" s="11">
        <v>7.0</v>
      </c>
      <c r="H31" s="9" t="s">
        <v>26</v>
      </c>
      <c r="I31" s="9" t="s">
        <v>198</v>
      </c>
      <c r="J31" s="9" t="s">
        <v>199</v>
      </c>
      <c r="K31" s="9" t="s">
        <v>200</v>
      </c>
      <c r="L31" s="9" t="s">
        <v>30</v>
      </c>
      <c r="M31" s="9" t="s">
        <v>31</v>
      </c>
      <c r="N31" s="9" t="s">
        <v>32</v>
      </c>
      <c r="O31" s="12" t="s">
        <v>33</v>
      </c>
      <c r="P31" s="12" t="s">
        <v>34</v>
      </c>
      <c r="Q31" s="9"/>
      <c r="R31" s="18"/>
      <c r="S31" s="18"/>
      <c r="T31" s="18"/>
      <c r="U31" s="18"/>
      <c r="V31" s="18"/>
      <c r="W31" s="15"/>
      <c r="X31" s="15"/>
    </row>
    <row r="32">
      <c r="A32" s="7">
        <v>31.0</v>
      </c>
      <c r="B32" s="8" t="s">
        <v>201</v>
      </c>
      <c r="C32" s="9" t="s">
        <v>202</v>
      </c>
      <c r="D32" s="10" t="str">
        <f>HYPERLINK("https://facebook.com/367089020688300_412834786113723", "367089020688300_412834786113723")</f>
        <v>367089020688300_412834786113723</v>
      </c>
      <c r="E32" s="11">
        <v>582.0</v>
      </c>
      <c r="F32" s="11">
        <v>9.0</v>
      </c>
      <c r="G32" s="11">
        <v>574.0</v>
      </c>
      <c r="H32" s="9" t="s">
        <v>26</v>
      </c>
      <c r="I32" s="9" t="s">
        <v>203</v>
      </c>
      <c r="J32" s="9" t="s">
        <v>204</v>
      </c>
      <c r="K32" s="9" t="s">
        <v>205</v>
      </c>
      <c r="L32" s="9" t="s">
        <v>30</v>
      </c>
      <c r="M32" s="9" t="s">
        <v>31</v>
      </c>
      <c r="N32" s="9" t="s">
        <v>32</v>
      </c>
      <c r="O32" s="12" t="s">
        <v>33</v>
      </c>
      <c r="P32" s="12" t="s">
        <v>34</v>
      </c>
      <c r="Q32" s="9"/>
      <c r="R32" s="18"/>
      <c r="S32" s="18"/>
      <c r="T32" s="18"/>
      <c r="U32" s="18"/>
      <c r="V32" s="18"/>
      <c r="W32" s="15"/>
      <c r="X32" s="15"/>
    </row>
    <row r="33">
      <c r="A33" s="7">
        <v>32.0</v>
      </c>
      <c r="B33" s="8" t="s">
        <v>206</v>
      </c>
      <c r="C33" s="9" t="s">
        <v>207</v>
      </c>
      <c r="D33" s="10" t="str">
        <f>HYPERLINK("https://facebook.com/367089020688300_532377150826152", "367089020688300_532377150826152")</f>
        <v>367089020688300_532377150826152</v>
      </c>
      <c r="E33" s="11">
        <v>69.0</v>
      </c>
      <c r="F33" s="11">
        <v>3.0</v>
      </c>
      <c r="G33" s="11">
        <v>87.0</v>
      </c>
      <c r="H33" s="9" t="s">
        <v>26</v>
      </c>
      <c r="I33" s="9" t="s">
        <v>208</v>
      </c>
      <c r="J33" s="16" t="s">
        <v>209</v>
      </c>
      <c r="K33" s="9"/>
      <c r="L33" s="9" t="s">
        <v>30</v>
      </c>
      <c r="M33" s="9" t="s">
        <v>31</v>
      </c>
      <c r="N33" s="9" t="s">
        <v>32</v>
      </c>
      <c r="O33" s="12" t="s">
        <v>33</v>
      </c>
      <c r="P33" s="12" t="s">
        <v>34</v>
      </c>
      <c r="Q33" s="9"/>
      <c r="R33" s="18"/>
      <c r="S33" s="18"/>
      <c r="T33" s="18"/>
      <c r="U33" s="18"/>
      <c r="V33" s="18"/>
      <c r="W33" s="15"/>
      <c r="X33" s="15"/>
    </row>
    <row r="34">
      <c r="A34" s="7">
        <v>33.0</v>
      </c>
      <c r="B34" s="8" t="s">
        <v>210</v>
      </c>
      <c r="C34" s="9" t="s">
        <v>211</v>
      </c>
      <c r="D34" s="10" t="str">
        <f>HYPERLINK("https://facebook.com/367089020688300_552406092156591", "367089020688300_552406092156591")</f>
        <v>367089020688300_552406092156591</v>
      </c>
      <c r="E34" s="11">
        <v>81.0</v>
      </c>
      <c r="F34" s="11">
        <v>1.0</v>
      </c>
      <c r="G34" s="11">
        <v>96.0</v>
      </c>
      <c r="H34" s="9" t="s">
        <v>26</v>
      </c>
      <c r="I34" s="9" t="s">
        <v>212</v>
      </c>
      <c r="J34" s="9" t="s">
        <v>213</v>
      </c>
      <c r="K34" s="9" t="s">
        <v>214</v>
      </c>
      <c r="L34" s="9" t="s">
        <v>30</v>
      </c>
      <c r="M34" s="9" t="s">
        <v>31</v>
      </c>
      <c r="N34" s="9" t="s">
        <v>32</v>
      </c>
      <c r="O34" s="12" t="s">
        <v>33</v>
      </c>
      <c r="P34" s="12" t="s">
        <v>34</v>
      </c>
      <c r="Q34" s="9"/>
      <c r="R34" s="18"/>
      <c r="S34" s="18"/>
      <c r="T34" s="18"/>
      <c r="U34" s="18"/>
      <c r="V34" s="18"/>
      <c r="W34" s="15"/>
      <c r="X34" s="15"/>
    </row>
    <row r="35">
      <c r="A35" s="7">
        <v>34.0</v>
      </c>
      <c r="B35" s="21" t="s">
        <v>215</v>
      </c>
      <c r="C35" s="21" t="s">
        <v>216</v>
      </c>
      <c r="D35" s="22" t="str">
        <f>HYPERLINK("https://facebook.com/367089020688300_369302897133579", "367089020688300_369302897133579")</f>
        <v>367089020688300_369302897133579</v>
      </c>
      <c r="E35" s="23">
        <v>1028.0</v>
      </c>
      <c r="F35" s="23">
        <v>41.0</v>
      </c>
      <c r="G35" s="23">
        <v>842.0</v>
      </c>
      <c r="H35" s="21" t="s">
        <v>26</v>
      </c>
      <c r="I35" s="21" t="s">
        <v>217</v>
      </c>
      <c r="J35" s="21" t="s">
        <v>218</v>
      </c>
      <c r="K35" s="21" t="s">
        <v>219</v>
      </c>
      <c r="L35" s="21" t="s">
        <v>30</v>
      </c>
      <c r="M35" s="21" t="s">
        <v>31</v>
      </c>
      <c r="N35" s="21" t="s">
        <v>32</v>
      </c>
      <c r="O35" s="21" t="s">
        <v>33</v>
      </c>
      <c r="P35" s="12" t="s">
        <v>34</v>
      </c>
      <c r="Q35" s="21"/>
      <c r="R35" s="13" t="s">
        <v>57</v>
      </c>
      <c r="S35" s="13" t="s">
        <v>177</v>
      </c>
      <c r="T35" s="13" t="s">
        <v>220</v>
      </c>
      <c r="U35" s="13" t="s">
        <v>221</v>
      </c>
      <c r="V35" s="13" t="s">
        <v>222</v>
      </c>
      <c r="W35" s="13"/>
      <c r="X35" s="24"/>
    </row>
    <row r="36">
      <c r="A36" s="7">
        <v>35.0</v>
      </c>
      <c r="B36" s="8" t="s">
        <v>223</v>
      </c>
      <c r="C36" s="9" t="s">
        <v>224</v>
      </c>
      <c r="D36" s="10" t="str">
        <f>HYPERLINK("https://facebook.com/367089020688300_540758226654711", "367089020688300_540758226654711")</f>
        <v>367089020688300_540758226654711</v>
      </c>
      <c r="E36" s="11">
        <v>10.0</v>
      </c>
      <c r="F36" s="11">
        <v>0.0</v>
      </c>
      <c r="G36" s="11">
        <v>19.0</v>
      </c>
      <c r="H36" s="9" t="s">
        <v>26</v>
      </c>
      <c r="I36" s="9" t="s">
        <v>225</v>
      </c>
      <c r="J36" s="16" t="s">
        <v>226</v>
      </c>
      <c r="K36" s="9"/>
      <c r="L36" s="9" t="s">
        <v>30</v>
      </c>
      <c r="M36" s="9" t="s">
        <v>31</v>
      </c>
      <c r="N36" s="9" t="s">
        <v>32</v>
      </c>
      <c r="O36" s="12" t="s">
        <v>33</v>
      </c>
      <c r="P36" s="12" t="s">
        <v>34</v>
      </c>
      <c r="Q36" s="9"/>
      <c r="R36" s="18"/>
      <c r="S36" s="18"/>
      <c r="T36" s="18"/>
      <c r="U36" s="18"/>
      <c r="V36" s="18"/>
      <c r="W36" s="15"/>
      <c r="X36" s="15"/>
    </row>
    <row r="37">
      <c r="A37" s="7">
        <v>36.0</v>
      </c>
      <c r="B37" s="8" t="s">
        <v>227</v>
      </c>
      <c r="C37" s="9" t="s">
        <v>228</v>
      </c>
      <c r="D37" s="10" t="str">
        <f>HYPERLINK("https://facebook.com/367089020688300_448943002502901", "367089020688300_448943002502901")</f>
        <v>367089020688300_448943002502901</v>
      </c>
      <c r="E37" s="11">
        <v>221.0</v>
      </c>
      <c r="F37" s="11">
        <v>6.0</v>
      </c>
      <c r="G37" s="11">
        <v>246.0</v>
      </c>
      <c r="H37" s="9" t="s">
        <v>26</v>
      </c>
      <c r="I37" s="9" t="s">
        <v>229</v>
      </c>
      <c r="J37" s="9" t="s">
        <v>230</v>
      </c>
      <c r="K37" s="9" t="s">
        <v>231</v>
      </c>
      <c r="L37" s="9" t="s">
        <v>30</v>
      </c>
      <c r="M37" s="9" t="s">
        <v>31</v>
      </c>
      <c r="N37" s="9" t="s">
        <v>32</v>
      </c>
      <c r="O37" s="12" t="s">
        <v>33</v>
      </c>
      <c r="P37" s="12" t="s">
        <v>34</v>
      </c>
      <c r="Q37" s="9"/>
      <c r="R37" s="18"/>
      <c r="S37" s="18"/>
      <c r="T37" s="18"/>
      <c r="U37" s="18"/>
      <c r="V37" s="18"/>
      <c r="W37" s="15"/>
      <c r="X37" s="15"/>
    </row>
    <row r="38">
      <c r="A38" s="7">
        <v>37.0</v>
      </c>
      <c r="B38" s="8" t="s">
        <v>232</v>
      </c>
      <c r="C38" s="9" t="s">
        <v>233</v>
      </c>
      <c r="D38" s="10" t="str">
        <f>HYPERLINK("https://facebook.com/367089020688300_528119337918600", "367089020688300_528119337918600")</f>
        <v>367089020688300_528119337918600</v>
      </c>
      <c r="E38" s="11">
        <v>125.0</v>
      </c>
      <c r="F38" s="11">
        <v>14.0</v>
      </c>
      <c r="G38" s="11">
        <v>91.0</v>
      </c>
      <c r="H38" s="9" t="s">
        <v>26</v>
      </c>
      <c r="I38" s="9" t="s">
        <v>234</v>
      </c>
      <c r="J38" s="9" t="s">
        <v>235</v>
      </c>
      <c r="K38" s="9" t="s">
        <v>236</v>
      </c>
      <c r="L38" s="9" t="s">
        <v>30</v>
      </c>
      <c r="M38" s="9" t="s">
        <v>31</v>
      </c>
      <c r="N38" s="9" t="s">
        <v>32</v>
      </c>
      <c r="O38" s="12" t="s">
        <v>34</v>
      </c>
      <c r="P38" s="12" t="s">
        <v>34</v>
      </c>
      <c r="Q38" s="9"/>
      <c r="R38" s="18"/>
      <c r="S38" s="18"/>
      <c r="T38" s="18"/>
      <c r="U38" s="18"/>
      <c r="V38" s="18"/>
      <c r="W38" s="15"/>
      <c r="X38" s="15"/>
    </row>
    <row r="39">
      <c r="A39" s="7">
        <v>38.0</v>
      </c>
      <c r="B39" s="21" t="s">
        <v>237</v>
      </c>
      <c r="C39" s="21" t="s">
        <v>238</v>
      </c>
      <c r="D39" s="22" t="str">
        <f>HYPERLINK("https://facebook.com/367089020688300_548296402567560", "367089020688300_548296402567560")</f>
        <v>367089020688300_548296402567560</v>
      </c>
      <c r="E39" s="23">
        <v>15.0</v>
      </c>
      <c r="F39" s="23">
        <v>0.0</v>
      </c>
      <c r="G39" s="23">
        <v>24.0</v>
      </c>
      <c r="H39" s="21" t="s">
        <v>26</v>
      </c>
      <c r="I39" s="21" t="s">
        <v>239</v>
      </c>
      <c r="J39" s="21" t="s">
        <v>240</v>
      </c>
      <c r="K39" s="21"/>
      <c r="L39" s="21" t="s">
        <v>30</v>
      </c>
      <c r="M39" s="21" t="s">
        <v>31</v>
      </c>
      <c r="N39" s="21" t="s">
        <v>32</v>
      </c>
      <c r="O39" s="21" t="s">
        <v>33</v>
      </c>
      <c r="P39" s="12" t="s">
        <v>34</v>
      </c>
      <c r="Q39" s="21"/>
      <c r="R39" s="13" t="s">
        <v>35</v>
      </c>
      <c r="S39" s="13" t="s">
        <v>241</v>
      </c>
      <c r="T39" s="13" t="s">
        <v>242</v>
      </c>
      <c r="U39" s="13" t="s">
        <v>243</v>
      </c>
      <c r="V39" s="13" t="s">
        <v>244</v>
      </c>
      <c r="W39" s="24"/>
      <c r="X39" s="24"/>
    </row>
    <row r="40">
      <c r="A40" s="7">
        <v>39.0</v>
      </c>
      <c r="B40" s="8" t="s">
        <v>245</v>
      </c>
      <c r="C40" s="9" t="s">
        <v>246</v>
      </c>
      <c r="D40" s="10" t="str">
        <f>HYPERLINK("https://facebook.com/367089020688300_511597979570736", "367089020688300_511597979570736")</f>
        <v>367089020688300_511597979570736</v>
      </c>
      <c r="E40" s="11">
        <v>7.0</v>
      </c>
      <c r="F40" s="11">
        <v>0.0</v>
      </c>
      <c r="G40" s="11">
        <v>3.0</v>
      </c>
      <c r="H40" s="9" t="s">
        <v>26</v>
      </c>
      <c r="I40" s="9" t="s">
        <v>247</v>
      </c>
      <c r="J40" s="9" t="s">
        <v>248</v>
      </c>
      <c r="K40" s="9" t="s">
        <v>249</v>
      </c>
      <c r="L40" s="9" t="s">
        <v>30</v>
      </c>
      <c r="M40" s="9" t="s">
        <v>31</v>
      </c>
      <c r="N40" s="9" t="s">
        <v>32</v>
      </c>
      <c r="O40" s="12" t="s">
        <v>33</v>
      </c>
      <c r="P40" s="12" t="s">
        <v>34</v>
      </c>
      <c r="Q40" s="9"/>
      <c r="R40" s="18"/>
      <c r="S40" s="18"/>
      <c r="T40" s="18"/>
      <c r="U40" s="18"/>
      <c r="V40" s="18"/>
      <c r="W40" s="15"/>
      <c r="X40" s="15"/>
    </row>
    <row r="41">
      <c r="A41" s="7">
        <v>40.0</v>
      </c>
      <c r="B41" s="8" t="s">
        <v>250</v>
      </c>
      <c r="C41" s="9" t="s">
        <v>251</v>
      </c>
      <c r="D41" s="10" t="str">
        <f>HYPERLINK("https://facebook.com/367089020688300_506590826738118", "367089020688300_506590826738118")</f>
        <v>367089020688300_506590826738118</v>
      </c>
      <c r="E41" s="11">
        <v>602.0</v>
      </c>
      <c r="F41" s="11">
        <v>8.0</v>
      </c>
      <c r="G41" s="11">
        <v>65.0</v>
      </c>
      <c r="H41" s="9" t="s">
        <v>26</v>
      </c>
      <c r="I41" s="9" t="s">
        <v>252</v>
      </c>
      <c r="J41" s="9" t="s">
        <v>253</v>
      </c>
      <c r="K41" s="9" t="s">
        <v>254</v>
      </c>
      <c r="L41" s="9" t="s">
        <v>30</v>
      </c>
      <c r="M41" s="9" t="s">
        <v>31</v>
      </c>
      <c r="N41" s="9" t="s">
        <v>32</v>
      </c>
      <c r="O41" s="12" t="s">
        <v>33</v>
      </c>
      <c r="P41" s="12" t="s">
        <v>34</v>
      </c>
      <c r="Q41" s="9"/>
      <c r="R41" s="18"/>
      <c r="S41" s="18"/>
      <c r="T41" s="18"/>
      <c r="U41" s="18"/>
      <c r="V41" s="18"/>
      <c r="W41" s="15"/>
      <c r="X41" s="15"/>
    </row>
    <row r="42">
      <c r="A42" s="7">
        <v>41.0</v>
      </c>
      <c r="B42" s="8" t="s">
        <v>255</v>
      </c>
      <c r="C42" s="9" t="s">
        <v>256</v>
      </c>
      <c r="D42" s="10" t="str">
        <f>HYPERLINK("https://facebook.com/367089020688300_559392474791286", "367089020688300_559392474791286")</f>
        <v>367089020688300_559392474791286</v>
      </c>
      <c r="E42" s="11">
        <v>37.0</v>
      </c>
      <c r="F42" s="11">
        <v>0.0</v>
      </c>
      <c r="G42" s="11">
        <v>9.0</v>
      </c>
      <c r="H42" s="9" t="s">
        <v>26</v>
      </c>
      <c r="I42" s="9" t="s">
        <v>257</v>
      </c>
      <c r="J42" s="16" t="s">
        <v>258</v>
      </c>
      <c r="K42" s="9"/>
      <c r="L42" s="9" t="s">
        <v>30</v>
      </c>
      <c r="M42" s="9" t="s">
        <v>31</v>
      </c>
      <c r="N42" s="9" t="s">
        <v>32</v>
      </c>
      <c r="O42" s="12" t="s">
        <v>33</v>
      </c>
      <c r="P42" s="12" t="s">
        <v>34</v>
      </c>
      <c r="Q42" s="9"/>
      <c r="R42" s="18"/>
      <c r="S42" s="18"/>
      <c r="T42" s="18"/>
      <c r="U42" s="18"/>
      <c r="V42" s="18"/>
      <c r="W42" s="15"/>
      <c r="X42" s="15"/>
    </row>
    <row r="43">
      <c r="A43" s="7">
        <v>42.0</v>
      </c>
      <c r="B43" s="8" t="s">
        <v>259</v>
      </c>
      <c r="C43" s="9" t="s">
        <v>260</v>
      </c>
      <c r="D43" s="10" t="str">
        <f>HYPERLINK("https://facebook.com/367089020688300_535720530491814", "367089020688300_535720530491814")</f>
        <v>367089020688300_535720530491814</v>
      </c>
      <c r="E43" s="11">
        <v>396.0</v>
      </c>
      <c r="F43" s="11">
        <v>5.0</v>
      </c>
      <c r="G43" s="11">
        <v>228.0</v>
      </c>
      <c r="H43" s="9" t="s">
        <v>26</v>
      </c>
      <c r="I43" s="9" t="s">
        <v>261</v>
      </c>
      <c r="J43" s="16" t="s">
        <v>262</v>
      </c>
      <c r="K43" s="9"/>
      <c r="L43" s="9" t="s">
        <v>30</v>
      </c>
      <c r="M43" s="9" t="s">
        <v>31</v>
      </c>
      <c r="N43" s="9" t="s">
        <v>32</v>
      </c>
      <c r="O43" s="12" t="s">
        <v>33</v>
      </c>
      <c r="P43" s="12" t="s">
        <v>34</v>
      </c>
      <c r="Q43" s="9"/>
      <c r="R43" s="18"/>
      <c r="S43" s="18"/>
      <c r="T43" s="18"/>
      <c r="U43" s="18"/>
      <c r="V43" s="18"/>
      <c r="W43" s="15"/>
      <c r="X43" s="15"/>
    </row>
    <row r="44">
      <c r="A44" s="7">
        <v>43.0</v>
      </c>
      <c r="B44" s="8" t="s">
        <v>263</v>
      </c>
      <c r="C44" s="9" t="s">
        <v>264</v>
      </c>
      <c r="D44" s="10" t="str">
        <f>HYPERLINK("https://facebook.com/367089020688300_552414058822461", "367089020688300_552414058822461")</f>
        <v>367089020688300_552414058822461</v>
      </c>
      <c r="E44" s="11">
        <v>63.0</v>
      </c>
      <c r="F44" s="11">
        <v>0.0</v>
      </c>
      <c r="G44" s="11">
        <v>88.0</v>
      </c>
      <c r="H44" s="9" t="s">
        <v>26</v>
      </c>
      <c r="I44" s="9" t="s">
        <v>265</v>
      </c>
      <c r="J44" s="16" t="s">
        <v>266</v>
      </c>
      <c r="K44" s="9"/>
      <c r="L44" s="9" t="s">
        <v>30</v>
      </c>
      <c r="M44" s="9" t="s">
        <v>31</v>
      </c>
      <c r="N44" s="9" t="s">
        <v>32</v>
      </c>
      <c r="O44" s="12" t="s">
        <v>33</v>
      </c>
      <c r="P44" s="12" t="s">
        <v>34</v>
      </c>
      <c r="Q44" s="9"/>
      <c r="R44" s="19" t="s">
        <v>267</v>
      </c>
      <c r="S44" s="18"/>
      <c r="T44" s="18"/>
      <c r="U44" s="18"/>
      <c r="V44" s="18"/>
      <c r="W44" s="15"/>
      <c r="X44" s="15"/>
    </row>
    <row r="45">
      <c r="A45" s="7">
        <v>44.0</v>
      </c>
      <c r="B45" s="8" t="s">
        <v>268</v>
      </c>
      <c r="C45" s="9" t="s">
        <v>269</v>
      </c>
      <c r="D45" s="10" t="str">
        <f>HYPERLINK("https://facebook.com/367089020688300_545950836135450", "367089020688300_545950836135450")</f>
        <v>367089020688300_545950836135450</v>
      </c>
      <c r="E45" s="11">
        <v>13.0</v>
      </c>
      <c r="F45" s="11">
        <v>0.0</v>
      </c>
      <c r="G45" s="11">
        <v>17.0</v>
      </c>
      <c r="H45" s="9" t="s">
        <v>26</v>
      </c>
      <c r="I45" s="9" t="s">
        <v>270</v>
      </c>
      <c r="J45" s="9" t="s">
        <v>271</v>
      </c>
      <c r="K45" s="9" t="s">
        <v>272</v>
      </c>
      <c r="L45" s="9" t="s">
        <v>30</v>
      </c>
      <c r="M45" s="9" t="s">
        <v>31</v>
      </c>
      <c r="N45" s="9" t="s">
        <v>32</v>
      </c>
      <c r="O45" s="12" t="s">
        <v>33</v>
      </c>
      <c r="P45" s="12" t="s">
        <v>34</v>
      </c>
      <c r="Q45" s="9"/>
      <c r="R45" s="18"/>
      <c r="S45" s="18"/>
      <c r="T45" s="18"/>
      <c r="U45" s="18"/>
      <c r="V45" s="18"/>
      <c r="W45" s="15"/>
      <c r="X45" s="15"/>
    </row>
    <row r="46">
      <c r="A46" s="7">
        <v>45.0</v>
      </c>
      <c r="B46" s="21" t="s">
        <v>273</v>
      </c>
      <c r="C46" s="21" t="s">
        <v>274</v>
      </c>
      <c r="D46" s="22" t="str">
        <f>HYPERLINK("https://facebook.com/367089020688300_536161953781005", "367089020688300_536161953781005")</f>
        <v>367089020688300_536161953781005</v>
      </c>
      <c r="E46" s="23">
        <v>34.0</v>
      </c>
      <c r="F46" s="23">
        <v>0.0</v>
      </c>
      <c r="G46" s="23">
        <v>35.0</v>
      </c>
      <c r="H46" s="21" t="s">
        <v>26</v>
      </c>
      <c r="I46" s="21" t="s">
        <v>275</v>
      </c>
      <c r="J46" s="21" t="s">
        <v>276</v>
      </c>
      <c r="K46" s="21" t="s">
        <v>249</v>
      </c>
      <c r="L46" s="21" t="s">
        <v>30</v>
      </c>
      <c r="M46" s="21" t="s">
        <v>31</v>
      </c>
      <c r="N46" s="21" t="s">
        <v>32</v>
      </c>
      <c r="O46" s="21" t="s">
        <v>33</v>
      </c>
      <c r="P46" s="12" t="s">
        <v>34</v>
      </c>
      <c r="Q46" s="21"/>
      <c r="R46" s="13" t="s">
        <v>35</v>
      </c>
      <c r="S46" s="13" t="s">
        <v>277</v>
      </c>
      <c r="T46" s="13" t="s">
        <v>278</v>
      </c>
      <c r="U46" s="13" t="s">
        <v>279</v>
      </c>
      <c r="V46" s="13" t="s">
        <v>280</v>
      </c>
      <c r="W46" s="13" t="s">
        <v>281</v>
      </c>
      <c r="X46" s="24"/>
    </row>
    <row r="47">
      <c r="A47" s="7">
        <v>46.0</v>
      </c>
      <c r="B47" s="21" t="s">
        <v>282</v>
      </c>
      <c r="C47" s="21" t="s">
        <v>283</v>
      </c>
      <c r="D47" s="22" t="str">
        <f>HYPERLINK("https://facebook.com/367089020688300_541884933208707", "367089020688300_541884933208707")</f>
        <v>367089020688300_541884933208707</v>
      </c>
      <c r="E47" s="23">
        <v>793.0</v>
      </c>
      <c r="F47" s="23">
        <v>37.0</v>
      </c>
      <c r="G47" s="23">
        <v>759.0</v>
      </c>
      <c r="H47" s="21" t="s">
        <v>26</v>
      </c>
      <c r="I47" s="21" t="s">
        <v>284</v>
      </c>
      <c r="J47" s="21" t="s">
        <v>285</v>
      </c>
      <c r="K47" s="21"/>
      <c r="L47" s="21" t="s">
        <v>30</v>
      </c>
      <c r="M47" s="21" t="s">
        <v>31</v>
      </c>
      <c r="N47" s="21" t="s">
        <v>32</v>
      </c>
      <c r="O47" s="21" t="s">
        <v>33</v>
      </c>
      <c r="P47" s="12" t="s">
        <v>34</v>
      </c>
      <c r="Q47" s="21"/>
      <c r="R47" s="13" t="s">
        <v>35</v>
      </c>
      <c r="S47" s="13" t="s">
        <v>286</v>
      </c>
      <c r="T47" s="24"/>
      <c r="U47" s="13" t="s">
        <v>287</v>
      </c>
      <c r="V47" s="13" t="s">
        <v>288</v>
      </c>
      <c r="W47" s="13" t="s">
        <v>281</v>
      </c>
      <c r="X47" s="24"/>
    </row>
    <row r="48">
      <c r="A48" s="7">
        <v>47.0</v>
      </c>
      <c r="B48" s="8" t="s">
        <v>289</v>
      </c>
      <c r="C48" s="9" t="s">
        <v>290</v>
      </c>
      <c r="D48" s="10" t="str">
        <f>HYPERLINK("https://facebook.com/367089020688300_368558317208037", "367089020688300_368558317208037")</f>
        <v>367089020688300_368558317208037</v>
      </c>
      <c r="E48" s="11">
        <v>155.0</v>
      </c>
      <c r="F48" s="11">
        <v>1.0</v>
      </c>
      <c r="G48" s="11">
        <v>168.0</v>
      </c>
      <c r="H48" s="9" t="s">
        <v>26</v>
      </c>
      <c r="I48" s="9" t="s">
        <v>291</v>
      </c>
      <c r="J48" s="9" t="s">
        <v>292</v>
      </c>
      <c r="K48" s="9" t="s">
        <v>293</v>
      </c>
      <c r="L48" s="9" t="s">
        <v>30</v>
      </c>
      <c r="M48" s="9" t="s">
        <v>31</v>
      </c>
      <c r="N48" s="9" t="s">
        <v>32</v>
      </c>
      <c r="O48" s="12" t="s">
        <v>33</v>
      </c>
      <c r="P48" s="12" t="s">
        <v>34</v>
      </c>
      <c r="Q48" s="9"/>
      <c r="R48" s="18"/>
      <c r="S48" s="18"/>
      <c r="T48" s="18"/>
      <c r="U48" s="18"/>
      <c r="V48" s="18"/>
      <c r="W48" s="15"/>
      <c r="X48" s="15"/>
    </row>
    <row r="49">
      <c r="A49" s="7">
        <v>48.0</v>
      </c>
      <c r="B49" s="8" t="s">
        <v>294</v>
      </c>
      <c r="C49" s="9" t="s">
        <v>295</v>
      </c>
      <c r="D49" s="10" t="str">
        <f>HYPERLINK("https://facebook.com/367089020688300_530233754373825", "367089020688300_530233754373825")</f>
        <v>367089020688300_530233754373825</v>
      </c>
      <c r="E49" s="11">
        <v>399.0</v>
      </c>
      <c r="F49" s="11">
        <v>7.0</v>
      </c>
      <c r="G49" s="11">
        <v>199.0</v>
      </c>
      <c r="H49" s="9" t="s">
        <v>26</v>
      </c>
      <c r="I49" s="9" t="s">
        <v>296</v>
      </c>
      <c r="J49" s="9" t="s">
        <v>297</v>
      </c>
      <c r="K49" s="9" t="s">
        <v>298</v>
      </c>
      <c r="L49" s="9" t="s">
        <v>30</v>
      </c>
      <c r="M49" s="9" t="s">
        <v>31</v>
      </c>
      <c r="N49" s="9" t="s">
        <v>32</v>
      </c>
      <c r="O49" s="12" t="s">
        <v>33</v>
      </c>
      <c r="P49" s="12" t="s">
        <v>34</v>
      </c>
      <c r="Q49" s="9"/>
      <c r="R49" s="18"/>
      <c r="S49" s="18"/>
      <c r="T49" s="18"/>
      <c r="U49" s="18"/>
      <c r="V49" s="18"/>
      <c r="W49" s="15"/>
      <c r="X49" s="15"/>
    </row>
    <row r="50">
      <c r="A50" s="7">
        <v>49.0</v>
      </c>
      <c r="B50" s="8" t="s">
        <v>299</v>
      </c>
      <c r="C50" s="9" t="s">
        <v>300</v>
      </c>
      <c r="D50" s="10" t="str">
        <f>HYPERLINK("https://facebook.com/367089020688300_503298153734052", "367089020688300_503298153734052")</f>
        <v>367089020688300_503298153734052</v>
      </c>
      <c r="E50" s="11">
        <v>24.0</v>
      </c>
      <c r="F50" s="11">
        <v>1.0</v>
      </c>
      <c r="G50" s="11">
        <v>18.0</v>
      </c>
      <c r="H50" s="9" t="s">
        <v>26</v>
      </c>
      <c r="I50" s="9" t="s">
        <v>301</v>
      </c>
      <c r="J50" s="9" t="s">
        <v>302</v>
      </c>
      <c r="K50" s="9" t="s">
        <v>303</v>
      </c>
      <c r="L50" s="9" t="s">
        <v>30</v>
      </c>
      <c r="M50" s="9" t="s">
        <v>31</v>
      </c>
      <c r="N50" s="9" t="s">
        <v>32</v>
      </c>
      <c r="O50" s="12" t="s">
        <v>33</v>
      </c>
      <c r="P50" s="12" t="s">
        <v>34</v>
      </c>
      <c r="Q50" s="9"/>
      <c r="R50" s="18"/>
      <c r="S50" s="18"/>
      <c r="T50" s="18"/>
      <c r="U50" s="18"/>
      <c r="V50" s="18"/>
      <c r="W50" s="15"/>
      <c r="X50" s="15"/>
    </row>
    <row r="51">
      <c r="A51" s="7">
        <v>50.0</v>
      </c>
      <c r="B51" s="8" t="s">
        <v>304</v>
      </c>
      <c r="C51" s="9" t="s">
        <v>305</v>
      </c>
      <c r="D51" s="10" t="str">
        <f>HYPERLINK("https://facebook.com/367089020688300_445260379537830", "367089020688300_445260379537830")</f>
        <v>367089020688300_445260379537830</v>
      </c>
      <c r="E51" s="11">
        <v>185.0</v>
      </c>
      <c r="F51" s="11">
        <v>3.0</v>
      </c>
      <c r="G51" s="11">
        <v>262.0</v>
      </c>
      <c r="H51" s="9" t="s">
        <v>26</v>
      </c>
      <c r="I51" s="9" t="s">
        <v>306</v>
      </c>
      <c r="J51" s="9" t="s">
        <v>307</v>
      </c>
      <c r="K51" s="9" t="s">
        <v>308</v>
      </c>
      <c r="L51" s="9" t="s">
        <v>30</v>
      </c>
      <c r="M51" s="9" t="s">
        <v>31</v>
      </c>
      <c r="N51" s="9" t="s">
        <v>32</v>
      </c>
      <c r="O51" s="12" t="s">
        <v>33</v>
      </c>
      <c r="P51" s="12" t="s">
        <v>34</v>
      </c>
      <c r="Q51" s="9"/>
      <c r="R51" s="18"/>
      <c r="S51" s="18"/>
      <c r="T51" s="18"/>
      <c r="U51" s="18"/>
      <c r="V51" s="18"/>
      <c r="W51" s="15"/>
      <c r="X51" s="15"/>
    </row>
    <row r="52">
      <c r="A52" s="7">
        <v>51.0</v>
      </c>
      <c r="B52" s="8" t="s">
        <v>309</v>
      </c>
      <c r="C52" s="9" t="s">
        <v>310</v>
      </c>
      <c r="D52" s="10" t="str">
        <f>HYPERLINK("https://facebook.com/367089020688300_510186723045195", "367089020688300_510186723045195")</f>
        <v>367089020688300_510186723045195</v>
      </c>
      <c r="E52" s="11">
        <v>1690.0</v>
      </c>
      <c r="F52" s="11">
        <v>38.0</v>
      </c>
      <c r="G52" s="11">
        <v>1432.0</v>
      </c>
      <c r="H52" s="9" t="s">
        <v>26</v>
      </c>
      <c r="I52" s="9" t="s">
        <v>311</v>
      </c>
      <c r="J52" s="9" t="s">
        <v>312</v>
      </c>
      <c r="K52" s="9" t="s">
        <v>313</v>
      </c>
      <c r="L52" s="9" t="s">
        <v>30</v>
      </c>
      <c r="M52" s="9" t="s">
        <v>31</v>
      </c>
      <c r="N52" s="9" t="s">
        <v>32</v>
      </c>
      <c r="O52" s="12" t="s">
        <v>33</v>
      </c>
      <c r="P52" s="12" t="s">
        <v>34</v>
      </c>
      <c r="Q52" s="9"/>
      <c r="R52" s="18"/>
      <c r="S52" s="18"/>
      <c r="T52" s="18"/>
      <c r="U52" s="18"/>
      <c r="V52" s="18"/>
      <c r="W52" s="15"/>
      <c r="X52" s="15"/>
    </row>
    <row r="53">
      <c r="A53" s="7">
        <v>52.0</v>
      </c>
      <c r="B53" s="8" t="s">
        <v>314</v>
      </c>
      <c r="C53" s="9" t="s">
        <v>315</v>
      </c>
      <c r="D53" s="10" t="str">
        <f>HYPERLINK("https://facebook.com/367089020688300_478475322883002", "367089020688300_478475322883002")</f>
        <v>367089020688300_478475322883002</v>
      </c>
      <c r="E53" s="11">
        <v>535.0</v>
      </c>
      <c r="F53" s="11">
        <v>7.0</v>
      </c>
      <c r="G53" s="11">
        <v>483.0</v>
      </c>
      <c r="H53" s="9" t="s">
        <v>26</v>
      </c>
      <c r="I53" s="9" t="s">
        <v>316</v>
      </c>
      <c r="J53" s="9" t="s">
        <v>317</v>
      </c>
      <c r="K53" s="9" t="s">
        <v>318</v>
      </c>
      <c r="L53" s="9" t="s">
        <v>30</v>
      </c>
      <c r="M53" s="9" t="s">
        <v>31</v>
      </c>
      <c r="N53" s="9" t="s">
        <v>32</v>
      </c>
      <c r="O53" s="12" t="s">
        <v>33</v>
      </c>
      <c r="P53" s="12" t="s">
        <v>34</v>
      </c>
      <c r="Q53" s="9"/>
      <c r="R53" s="18"/>
      <c r="S53" s="18"/>
      <c r="T53" s="18"/>
      <c r="U53" s="18"/>
      <c r="V53" s="18"/>
      <c r="W53" s="15"/>
      <c r="X53" s="15"/>
    </row>
    <row r="54">
      <c r="A54" s="7">
        <v>53.0</v>
      </c>
      <c r="B54" s="8" t="s">
        <v>319</v>
      </c>
      <c r="C54" s="9" t="s">
        <v>320</v>
      </c>
      <c r="D54" s="10" t="str">
        <f>HYPERLINK("https://facebook.com/367089020688300_474465209950680", "367089020688300_474465209950680")</f>
        <v>367089020688300_474465209950680</v>
      </c>
      <c r="E54" s="11">
        <v>593.0</v>
      </c>
      <c r="F54" s="11">
        <v>50.0</v>
      </c>
      <c r="G54" s="11">
        <v>814.0</v>
      </c>
      <c r="H54" s="9" t="s">
        <v>26</v>
      </c>
      <c r="I54" s="9" t="s">
        <v>321</v>
      </c>
      <c r="J54" s="9" t="s">
        <v>322</v>
      </c>
      <c r="K54" s="9" t="s">
        <v>323</v>
      </c>
      <c r="L54" s="9" t="s">
        <v>30</v>
      </c>
      <c r="M54" s="9" t="s">
        <v>31</v>
      </c>
      <c r="N54" s="9" t="s">
        <v>32</v>
      </c>
      <c r="O54" s="12" t="s">
        <v>33</v>
      </c>
      <c r="P54" s="12" t="s">
        <v>34</v>
      </c>
      <c r="Q54" s="9"/>
      <c r="R54" s="18"/>
      <c r="S54" s="18"/>
      <c r="T54" s="18"/>
      <c r="U54" s="18"/>
      <c r="V54" s="18"/>
      <c r="W54" s="15"/>
      <c r="X54" s="15"/>
    </row>
    <row r="55">
      <c r="A55" s="7">
        <v>54.0</v>
      </c>
      <c r="B55" s="21" t="s">
        <v>324</v>
      </c>
      <c r="C55" s="21" t="s">
        <v>325</v>
      </c>
      <c r="D55" s="22" t="str">
        <f>HYPERLINK("https://facebook.com/367089020688300_547613795969154", "367089020688300_547613795969154")</f>
        <v>367089020688300_547613795969154</v>
      </c>
      <c r="E55" s="23">
        <v>100.0</v>
      </c>
      <c r="F55" s="23">
        <v>1.0</v>
      </c>
      <c r="G55" s="23">
        <v>156.0</v>
      </c>
      <c r="H55" s="21" t="s">
        <v>26</v>
      </c>
      <c r="I55" s="21" t="s">
        <v>326</v>
      </c>
      <c r="J55" s="21" t="s">
        <v>327</v>
      </c>
      <c r="K55" s="21" t="s">
        <v>328</v>
      </c>
      <c r="L55" s="21" t="s">
        <v>30</v>
      </c>
      <c r="M55" s="21" t="s">
        <v>31</v>
      </c>
      <c r="N55" s="21" t="s">
        <v>32</v>
      </c>
      <c r="O55" s="21" t="s">
        <v>33</v>
      </c>
      <c r="P55" s="12" t="s">
        <v>34</v>
      </c>
      <c r="Q55" s="21"/>
      <c r="R55" s="13" t="s">
        <v>329</v>
      </c>
      <c r="S55" s="13" t="s">
        <v>277</v>
      </c>
      <c r="T55" s="13" t="s">
        <v>330</v>
      </c>
      <c r="U55" s="13" t="s">
        <v>331</v>
      </c>
      <c r="V55" s="24"/>
      <c r="W55" s="13" t="s">
        <v>242</v>
      </c>
      <c r="X55" s="24"/>
    </row>
    <row r="56">
      <c r="A56" s="7">
        <v>55.0</v>
      </c>
      <c r="B56" s="8" t="s">
        <v>332</v>
      </c>
      <c r="C56" s="9" t="s">
        <v>333</v>
      </c>
      <c r="D56" s="10" t="str">
        <f>HYPERLINK("https://facebook.com/367089020688300_413599359370599", "367089020688300_413599359370599")</f>
        <v>367089020688300_413599359370599</v>
      </c>
      <c r="E56" s="11">
        <v>139.0</v>
      </c>
      <c r="F56" s="11">
        <v>6.0</v>
      </c>
      <c r="G56" s="11">
        <v>114.0</v>
      </c>
      <c r="H56" s="9" t="s">
        <v>26</v>
      </c>
      <c r="I56" s="9" t="s">
        <v>334</v>
      </c>
      <c r="J56" s="9" t="s">
        <v>335</v>
      </c>
      <c r="K56" s="9" t="s">
        <v>336</v>
      </c>
      <c r="L56" s="9" t="s">
        <v>30</v>
      </c>
      <c r="M56" s="9" t="s">
        <v>31</v>
      </c>
      <c r="N56" s="9" t="s">
        <v>32</v>
      </c>
      <c r="O56" s="12" t="s">
        <v>33</v>
      </c>
      <c r="P56" s="12" t="s">
        <v>34</v>
      </c>
      <c r="Q56" s="9"/>
      <c r="R56" s="18"/>
      <c r="S56" s="18"/>
      <c r="T56" s="18"/>
      <c r="U56" s="18"/>
      <c r="V56" s="18"/>
      <c r="W56" s="15"/>
      <c r="X56" s="15"/>
    </row>
    <row r="57">
      <c r="A57" s="7">
        <v>56.0</v>
      </c>
      <c r="B57" s="8" t="s">
        <v>337</v>
      </c>
      <c r="C57" s="9" t="s">
        <v>338</v>
      </c>
      <c r="D57" s="10" t="str">
        <f>HYPERLINK("https://facebook.com/367089020688300_563202261076974", "367089020688300_563202261076974")</f>
        <v>367089020688300_563202261076974</v>
      </c>
      <c r="E57" s="11">
        <v>15.0</v>
      </c>
      <c r="F57" s="11">
        <v>0.0</v>
      </c>
      <c r="G57" s="11">
        <v>17.0</v>
      </c>
      <c r="H57" s="9" t="s">
        <v>26</v>
      </c>
      <c r="I57" s="9" t="s">
        <v>339</v>
      </c>
      <c r="J57" s="9" t="s">
        <v>340</v>
      </c>
      <c r="K57" s="9" t="s">
        <v>341</v>
      </c>
      <c r="L57" s="9" t="s">
        <v>30</v>
      </c>
      <c r="M57" s="9" t="s">
        <v>31</v>
      </c>
      <c r="N57" s="9" t="s">
        <v>32</v>
      </c>
      <c r="O57" s="12" t="s">
        <v>33</v>
      </c>
      <c r="P57" s="12" t="s">
        <v>34</v>
      </c>
      <c r="Q57" s="9"/>
      <c r="R57" s="18"/>
      <c r="S57" s="18"/>
      <c r="T57" s="18"/>
      <c r="U57" s="18"/>
      <c r="V57" s="18"/>
      <c r="W57" s="15"/>
      <c r="X57" s="15"/>
    </row>
    <row r="58">
      <c r="A58" s="7">
        <v>57.0</v>
      </c>
      <c r="B58" s="8" t="s">
        <v>342</v>
      </c>
      <c r="C58" s="9" t="s">
        <v>343</v>
      </c>
      <c r="D58" s="10" t="str">
        <f>HYPERLINK("https://facebook.com/367089020688300_409460616451140", "367089020688300_409460616451140")</f>
        <v>367089020688300_409460616451140</v>
      </c>
      <c r="E58" s="11">
        <v>676.0</v>
      </c>
      <c r="F58" s="11">
        <v>7.0</v>
      </c>
      <c r="G58" s="11">
        <v>561.0</v>
      </c>
      <c r="H58" s="9" t="s">
        <v>26</v>
      </c>
      <c r="I58" s="9" t="s">
        <v>344</v>
      </c>
      <c r="J58" s="9" t="s">
        <v>345</v>
      </c>
      <c r="K58" s="9" t="s">
        <v>346</v>
      </c>
      <c r="L58" s="9" t="s">
        <v>30</v>
      </c>
      <c r="M58" s="9" t="s">
        <v>31</v>
      </c>
      <c r="N58" s="9" t="s">
        <v>32</v>
      </c>
      <c r="O58" s="12" t="s">
        <v>33</v>
      </c>
      <c r="P58" s="12" t="s">
        <v>34</v>
      </c>
      <c r="Q58" s="9"/>
      <c r="R58" s="18"/>
      <c r="S58" s="18"/>
      <c r="T58" s="18"/>
      <c r="U58" s="18"/>
      <c r="V58" s="18"/>
      <c r="W58" s="15"/>
      <c r="X58" s="15"/>
    </row>
    <row r="59">
      <c r="A59" s="7">
        <v>58.0</v>
      </c>
      <c r="B59" s="8" t="s">
        <v>347</v>
      </c>
      <c r="C59" s="9" t="s">
        <v>348</v>
      </c>
      <c r="D59" s="10" t="str">
        <f>HYPERLINK("https://facebook.com/367089020688300_511932372870630", "367089020688300_511932372870630")</f>
        <v>367089020688300_511932372870630</v>
      </c>
      <c r="E59" s="11">
        <v>696.0</v>
      </c>
      <c r="F59" s="11">
        <v>19.0</v>
      </c>
      <c r="G59" s="11">
        <v>159.0</v>
      </c>
      <c r="H59" s="9" t="s">
        <v>26</v>
      </c>
      <c r="I59" s="9" t="s">
        <v>349</v>
      </c>
      <c r="J59" s="16" t="s">
        <v>350</v>
      </c>
      <c r="K59" s="9"/>
      <c r="L59" s="9" t="s">
        <v>30</v>
      </c>
      <c r="M59" s="9" t="s">
        <v>31</v>
      </c>
      <c r="N59" s="9" t="s">
        <v>32</v>
      </c>
      <c r="O59" s="12" t="s">
        <v>33</v>
      </c>
      <c r="P59" s="12" t="s">
        <v>34</v>
      </c>
      <c r="Q59" s="9"/>
      <c r="R59" s="18"/>
      <c r="S59" s="18"/>
      <c r="T59" s="18"/>
      <c r="U59" s="18"/>
      <c r="V59" s="18"/>
      <c r="W59" s="15"/>
      <c r="X59" s="15"/>
    </row>
    <row r="60">
      <c r="A60" s="7">
        <v>59.0</v>
      </c>
      <c r="B60" s="8" t="s">
        <v>351</v>
      </c>
      <c r="C60" s="9" t="s">
        <v>352</v>
      </c>
      <c r="D60" s="10" t="str">
        <f>HYPERLINK("https://facebook.com/367089020688300_549234925807041", "367089020688300_549234925807041")</f>
        <v>367089020688300_549234925807041</v>
      </c>
      <c r="E60" s="11">
        <v>41.0</v>
      </c>
      <c r="F60" s="11">
        <v>0.0</v>
      </c>
      <c r="G60" s="11">
        <v>18.0</v>
      </c>
      <c r="H60" s="9" t="s">
        <v>26</v>
      </c>
      <c r="I60" s="9" t="s">
        <v>353</v>
      </c>
      <c r="J60" s="16" t="s">
        <v>354</v>
      </c>
      <c r="K60" s="9"/>
      <c r="L60" s="9" t="s">
        <v>30</v>
      </c>
      <c r="M60" s="9" t="s">
        <v>31</v>
      </c>
      <c r="N60" s="9" t="s">
        <v>32</v>
      </c>
      <c r="O60" s="12" t="s">
        <v>33</v>
      </c>
      <c r="P60" s="12" t="s">
        <v>34</v>
      </c>
      <c r="Q60" s="9"/>
      <c r="R60" s="18"/>
      <c r="S60" s="18"/>
      <c r="T60" s="18"/>
      <c r="U60" s="18"/>
      <c r="V60" s="18"/>
      <c r="W60" s="15"/>
      <c r="X60" s="15"/>
    </row>
    <row r="61">
      <c r="A61" s="7">
        <v>60.0</v>
      </c>
      <c r="B61" s="8" t="s">
        <v>355</v>
      </c>
      <c r="C61" s="9" t="s">
        <v>356</v>
      </c>
      <c r="D61" s="10" t="str">
        <f>HYPERLINK("https://facebook.com/367089020688300_547034982693702", "367089020688300_547034982693702")</f>
        <v>367089020688300_547034982693702</v>
      </c>
      <c r="E61" s="11">
        <v>110.0</v>
      </c>
      <c r="F61" s="11">
        <v>4.0</v>
      </c>
      <c r="G61" s="11">
        <v>215.0</v>
      </c>
      <c r="H61" s="9" t="s">
        <v>26</v>
      </c>
      <c r="I61" s="9" t="s">
        <v>357</v>
      </c>
      <c r="J61" s="16" t="s">
        <v>358</v>
      </c>
      <c r="K61" s="9"/>
      <c r="L61" s="9" t="s">
        <v>30</v>
      </c>
      <c r="M61" s="9" t="s">
        <v>31</v>
      </c>
      <c r="N61" s="9" t="s">
        <v>32</v>
      </c>
      <c r="O61" s="12" t="s">
        <v>33</v>
      </c>
      <c r="P61" s="12" t="s">
        <v>34</v>
      </c>
      <c r="Q61" s="9"/>
      <c r="R61" s="18"/>
      <c r="S61" s="18"/>
      <c r="T61" s="18"/>
      <c r="U61" s="18"/>
      <c r="V61" s="18"/>
      <c r="W61" s="15"/>
      <c r="X61" s="15"/>
    </row>
    <row r="62">
      <c r="A62" s="7">
        <v>61.0</v>
      </c>
      <c r="B62" s="8" t="s">
        <v>359</v>
      </c>
      <c r="C62" s="9" t="s">
        <v>360</v>
      </c>
      <c r="D62" s="10" t="str">
        <f>HYPERLINK("https://facebook.com/367089020688300_503925070338027", "367089020688300_503925070338027")</f>
        <v>367089020688300_503925070338027</v>
      </c>
      <c r="E62" s="11">
        <v>496.0</v>
      </c>
      <c r="F62" s="11">
        <v>18.0</v>
      </c>
      <c r="G62" s="11">
        <v>388.0</v>
      </c>
      <c r="H62" s="9" t="s">
        <v>26</v>
      </c>
      <c r="I62" s="9" t="s">
        <v>361</v>
      </c>
      <c r="J62" s="9" t="s">
        <v>362</v>
      </c>
      <c r="K62" s="9" t="s">
        <v>363</v>
      </c>
      <c r="L62" s="9" t="s">
        <v>30</v>
      </c>
      <c r="M62" s="9" t="s">
        <v>31</v>
      </c>
      <c r="N62" s="9" t="s">
        <v>32</v>
      </c>
      <c r="O62" s="12" t="s">
        <v>33</v>
      </c>
      <c r="P62" s="12" t="s">
        <v>34</v>
      </c>
      <c r="Q62" s="9"/>
      <c r="R62" s="18"/>
      <c r="S62" s="18"/>
      <c r="T62" s="18"/>
      <c r="U62" s="18"/>
      <c r="V62" s="18"/>
      <c r="W62" s="15"/>
      <c r="X62" s="15"/>
    </row>
    <row r="63">
      <c r="A63" s="7">
        <v>62.0</v>
      </c>
      <c r="B63" s="8" t="s">
        <v>364</v>
      </c>
      <c r="C63" s="9" t="s">
        <v>365</v>
      </c>
      <c r="D63" s="10" t="str">
        <f>HYPERLINK("https://facebook.com/367089020688300_547002292696971", "367089020688300_547002292696971")</f>
        <v>367089020688300_547002292696971</v>
      </c>
      <c r="E63" s="11">
        <v>130.0</v>
      </c>
      <c r="F63" s="11">
        <v>0.0</v>
      </c>
      <c r="G63" s="11">
        <v>116.0</v>
      </c>
      <c r="H63" s="9" t="s">
        <v>26</v>
      </c>
      <c r="I63" s="9" t="s">
        <v>366</v>
      </c>
      <c r="J63" s="9" t="s">
        <v>367</v>
      </c>
      <c r="K63" s="9" t="s">
        <v>219</v>
      </c>
      <c r="L63" s="9" t="s">
        <v>30</v>
      </c>
      <c r="M63" s="9" t="s">
        <v>31</v>
      </c>
      <c r="N63" s="9" t="s">
        <v>32</v>
      </c>
      <c r="O63" s="12" t="s">
        <v>33</v>
      </c>
      <c r="P63" s="12" t="s">
        <v>34</v>
      </c>
      <c r="Q63" s="9"/>
      <c r="R63" s="18"/>
      <c r="S63" s="18"/>
      <c r="T63" s="18"/>
      <c r="U63" s="18"/>
      <c r="V63" s="18"/>
      <c r="W63" s="15"/>
      <c r="X63" s="15"/>
    </row>
    <row r="64">
      <c r="A64" s="7">
        <v>63.0</v>
      </c>
      <c r="B64" s="8" t="s">
        <v>368</v>
      </c>
      <c r="C64" s="9" t="s">
        <v>369</v>
      </c>
      <c r="D64" s="10" t="str">
        <f>HYPERLINK("https://facebook.com/367089020688300_437950420268826", "367089020688300_437950420268826")</f>
        <v>367089020688300_437950420268826</v>
      </c>
      <c r="E64" s="11">
        <v>188.0</v>
      </c>
      <c r="F64" s="11">
        <v>42.0</v>
      </c>
      <c r="G64" s="11">
        <v>118.0</v>
      </c>
      <c r="H64" s="9" t="s">
        <v>26</v>
      </c>
      <c r="I64" s="9" t="s">
        <v>370</v>
      </c>
      <c r="J64" s="9" t="s">
        <v>371</v>
      </c>
      <c r="K64" s="9" t="s">
        <v>372</v>
      </c>
      <c r="L64" s="9" t="s">
        <v>30</v>
      </c>
      <c r="M64" s="9" t="s">
        <v>31</v>
      </c>
      <c r="N64" s="9" t="s">
        <v>32</v>
      </c>
      <c r="O64" s="12" t="s">
        <v>33</v>
      </c>
      <c r="P64" s="12" t="s">
        <v>34</v>
      </c>
      <c r="Q64" s="9"/>
      <c r="R64" s="18"/>
      <c r="S64" s="18"/>
      <c r="T64" s="18"/>
      <c r="U64" s="18"/>
      <c r="V64" s="18"/>
      <c r="W64" s="15"/>
      <c r="X64" s="15"/>
    </row>
    <row r="65">
      <c r="A65" s="7">
        <v>64.0</v>
      </c>
      <c r="B65" s="8" t="s">
        <v>373</v>
      </c>
      <c r="C65" s="9" t="s">
        <v>374</v>
      </c>
      <c r="D65" s="10" t="str">
        <f>HYPERLINK("https://facebook.com/367089020688300_415551209175414", "367089020688300_415551209175414")</f>
        <v>367089020688300_415551209175414</v>
      </c>
      <c r="E65" s="11">
        <v>131.0</v>
      </c>
      <c r="F65" s="11">
        <v>1.0</v>
      </c>
      <c r="G65" s="11">
        <v>105.0</v>
      </c>
      <c r="H65" s="9" t="s">
        <v>26</v>
      </c>
      <c r="I65" s="9" t="s">
        <v>375</v>
      </c>
      <c r="J65" s="9" t="s">
        <v>376</v>
      </c>
      <c r="K65" s="9" t="s">
        <v>377</v>
      </c>
      <c r="L65" s="9" t="s">
        <v>30</v>
      </c>
      <c r="M65" s="9" t="s">
        <v>31</v>
      </c>
      <c r="N65" s="9" t="s">
        <v>32</v>
      </c>
      <c r="O65" s="12" t="s">
        <v>33</v>
      </c>
      <c r="P65" s="12" t="s">
        <v>34</v>
      </c>
      <c r="Q65" s="9"/>
      <c r="R65" s="18"/>
      <c r="S65" s="18"/>
      <c r="T65" s="18"/>
      <c r="U65" s="18"/>
      <c r="V65" s="18"/>
      <c r="W65" s="26" t="s">
        <v>378</v>
      </c>
      <c r="X65" s="15"/>
    </row>
    <row r="66">
      <c r="A66" s="7">
        <v>65.0</v>
      </c>
      <c r="B66" s="8" t="s">
        <v>379</v>
      </c>
      <c r="C66" s="9" t="s">
        <v>380</v>
      </c>
      <c r="D66" s="10" t="str">
        <f>HYPERLINK("https://facebook.com/367089020688300_539968623400338", "367089020688300_539968623400338")</f>
        <v>367089020688300_539968623400338</v>
      </c>
      <c r="E66" s="11">
        <v>61.0</v>
      </c>
      <c r="F66" s="11">
        <v>0.0</v>
      </c>
      <c r="G66" s="11">
        <v>87.0</v>
      </c>
      <c r="H66" s="9" t="s">
        <v>26</v>
      </c>
      <c r="I66" s="9" t="s">
        <v>381</v>
      </c>
      <c r="J66" s="9" t="s">
        <v>382</v>
      </c>
      <c r="K66" s="9" t="s">
        <v>51</v>
      </c>
      <c r="L66" s="9" t="s">
        <v>30</v>
      </c>
      <c r="M66" s="9" t="s">
        <v>31</v>
      </c>
      <c r="N66" s="9" t="s">
        <v>32</v>
      </c>
      <c r="O66" s="12" t="s">
        <v>33</v>
      </c>
      <c r="P66" s="12" t="s">
        <v>34</v>
      </c>
      <c r="Q66" s="9"/>
      <c r="R66" s="18"/>
      <c r="S66" s="18"/>
      <c r="T66" s="18"/>
      <c r="U66" s="18"/>
      <c r="V66" s="18"/>
      <c r="W66" s="26" t="s">
        <v>378</v>
      </c>
      <c r="X66" s="15"/>
    </row>
    <row r="67">
      <c r="A67" s="7">
        <v>66.0</v>
      </c>
      <c r="B67" s="8" t="s">
        <v>383</v>
      </c>
      <c r="C67" s="9" t="s">
        <v>384</v>
      </c>
      <c r="D67" s="10" t="str">
        <f>HYPERLINK("https://facebook.com/367089020688300_532483747482159", "367089020688300_532483747482159")</f>
        <v>367089020688300_532483747482159</v>
      </c>
      <c r="E67" s="11">
        <v>105.0</v>
      </c>
      <c r="F67" s="11">
        <v>1.0</v>
      </c>
      <c r="G67" s="11">
        <v>165.0</v>
      </c>
      <c r="H67" s="9" t="s">
        <v>26</v>
      </c>
      <c r="I67" s="9" t="s">
        <v>385</v>
      </c>
      <c r="J67" s="16" t="s">
        <v>386</v>
      </c>
      <c r="K67" s="9"/>
      <c r="L67" s="9" t="s">
        <v>30</v>
      </c>
      <c r="M67" s="9" t="s">
        <v>31</v>
      </c>
      <c r="N67" s="9" t="s">
        <v>32</v>
      </c>
      <c r="O67" s="12" t="s">
        <v>33</v>
      </c>
      <c r="P67" s="12" t="s">
        <v>34</v>
      </c>
      <c r="Q67" s="9"/>
      <c r="R67" s="18"/>
      <c r="S67" s="18"/>
      <c r="T67" s="18"/>
      <c r="U67" s="18"/>
      <c r="V67" s="18"/>
      <c r="W67" s="26" t="s">
        <v>378</v>
      </c>
      <c r="X67" s="15"/>
    </row>
    <row r="68">
      <c r="A68" s="7">
        <v>67.0</v>
      </c>
      <c r="B68" s="8" t="s">
        <v>387</v>
      </c>
      <c r="C68" s="9" t="s">
        <v>388</v>
      </c>
      <c r="D68" s="10" t="str">
        <f>HYPERLINK("https://facebook.com/367089020688300_562892311107969", "367089020688300_562892311107969")</f>
        <v>367089020688300_562892311107969</v>
      </c>
      <c r="E68" s="11">
        <v>36.0</v>
      </c>
      <c r="F68" s="11">
        <v>0.0</v>
      </c>
      <c r="G68" s="11">
        <v>13.0</v>
      </c>
      <c r="H68" s="9" t="s">
        <v>26</v>
      </c>
      <c r="I68" s="9" t="s">
        <v>389</v>
      </c>
      <c r="J68" s="16" t="s">
        <v>390</v>
      </c>
      <c r="K68" s="9"/>
      <c r="L68" s="9" t="s">
        <v>30</v>
      </c>
      <c r="M68" s="9" t="s">
        <v>31</v>
      </c>
      <c r="N68" s="9" t="s">
        <v>32</v>
      </c>
      <c r="O68" s="12" t="s">
        <v>33</v>
      </c>
      <c r="P68" s="12" t="s">
        <v>34</v>
      </c>
      <c r="Q68" s="9"/>
      <c r="R68" s="18"/>
      <c r="S68" s="18"/>
      <c r="T68" s="18"/>
      <c r="U68" s="18"/>
      <c r="V68" s="18"/>
      <c r="W68" s="26" t="s">
        <v>378</v>
      </c>
      <c r="X68" s="15"/>
    </row>
    <row r="69">
      <c r="A69" s="7">
        <v>68.0</v>
      </c>
      <c r="B69" s="8" t="s">
        <v>391</v>
      </c>
      <c r="C69" s="9" t="s">
        <v>392</v>
      </c>
      <c r="D69" s="10" t="str">
        <f>HYPERLINK("https://facebook.com/367089020688300_514258495971351", "367089020688300_514258495971351")</f>
        <v>367089020688300_514258495971351</v>
      </c>
      <c r="E69" s="11">
        <v>88.0</v>
      </c>
      <c r="F69" s="11">
        <v>0.0</v>
      </c>
      <c r="G69" s="11">
        <v>58.0</v>
      </c>
      <c r="H69" s="9" t="s">
        <v>26</v>
      </c>
      <c r="I69" s="9" t="s">
        <v>393</v>
      </c>
      <c r="J69" s="16" t="s">
        <v>394</v>
      </c>
      <c r="K69" s="9"/>
      <c r="L69" s="9" t="s">
        <v>30</v>
      </c>
      <c r="M69" s="9" t="s">
        <v>31</v>
      </c>
      <c r="N69" s="9" t="s">
        <v>32</v>
      </c>
      <c r="O69" s="12" t="s">
        <v>33</v>
      </c>
      <c r="P69" s="12" t="s">
        <v>34</v>
      </c>
      <c r="Q69" s="9"/>
      <c r="R69" s="18"/>
      <c r="S69" s="18"/>
      <c r="T69" s="18"/>
      <c r="U69" s="18"/>
      <c r="V69" s="18"/>
      <c r="W69" s="26" t="s">
        <v>378</v>
      </c>
      <c r="X69" s="15"/>
    </row>
    <row r="70">
      <c r="A70" s="7">
        <v>69.0</v>
      </c>
      <c r="B70" s="8" t="s">
        <v>395</v>
      </c>
      <c r="C70" s="9" t="s">
        <v>396</v>
      </c>
      <c r="D70" s="10" t="str">
        <f>HYPERLINK("https://facebook.com/367089020688300_561369051260295", "367089020688300_561369051260295")</f>
        <v>367089020688300_561369051260295</v>
      </c>
      <c r="E70" s="11">
        <v>66.0</v>
      </c>
      <c r="F70" s="11">
        <v>1.0</v>
      </c>
      <c r="G70" s="11">
        <v>71.0</v>
      </c>
      <c r="H70" s="9" t="s">
        <v>26</v>
      </c>
      <c r="I70" s="9" t="s">
        <v>397</v>
      </c>
      <c r="J70" s="16" t="s">
        <v>398</v>
      </c>
      <c r="K70" s="9"/>
      <c r="L70" s="9" t="s">
        <v>30</v>
      </c>
      <c r="M70" s="9" t="s">
        <v>31</v>
      </c>
      <c r="N70" s="9" t="s">
        <v>32</v>
      </c>
      <c r="O70" s="12" t="s">
        <v>33</v>
      </c>
      <c r="P70" s="12" t="s">
        <v>34</v>
      </c>
      <c r="Q70" s="9"/>
      <c r="R70" s="18"/>
      <c r="S70" s="18"/>
      <c r="T70" s="18"/>
      <c r="U70" s="18"/>
      <c r="V70" s="18"/>
      <c r="W70" s="26" t="s">
        <v>378</v>
      </c>
      <c r="X70" s="15"/>
    </row>
    <row r="71">
      <c r="A71" s="7">
        <v>70.0</v>
      </c>
      <c r="B71" s="8" t="s">
        <v>399</v>
      </c>
      <c r="C71" s="9" t="s">
        <v>400</v>
      </c>
      <c r="D71" s="10" t="str">
        <f>HYPERLINK("https://facebook.com/367089020688300_549820915748442", "367089020688300_549820915748442")</f>
        <v>367089020688300_549820915748442</v>
      </c>
      <c r="E71" s="11">
        <v>1.0</v>
      </c>
      <c r="F71" s="11">
        <v>0.0</v>
      </c>
      <c r="G71" s="11">
        <v>0.0</v>
      </c>
      <c r="H71" s="9" t="s">
        <v>26</v>
      </c>
      <c r="I71" s="9" t="s">
        <v>98</v>
      </c>
      <c r="J71" s="16" t="s">
        <v>99</v>
      </c>
      <c r="K71" s="9"/>
      <c r="L71" s="9" t="s">
        <v>30</v>
      </c>
      <c r="M71" s="9" t="s">
        <v>31</v>
      </c>
      <c r="N71" s="9" t="s">
        <v>32</v>
      </c>
      <c r="O71" s="12" t="s">
        <v>33</v>
      </c>
      <c r="P71" s="12" t="s">
        <v>34</v>
      </c>
      <c r="Q71" s="9"/>
      <c r="R71" s="18"/>
      <c r="S71" s="18"/>
      <c r="T71" s="18"/>
      <c r="U71" s="18"/>
      <c r="V71" s="18"/>
      <c r="W71" s="15"/>
      <c r="X71" s="15"/>
    </row>
    <row r="72">
      <c r="A72" s="7">
        <v>71.0</v>
      </c>
      <c r="B72" s="8" t="s">
        <v>401</v>
      </c>
      <c r="C72" s="9" t="s">
        <v>402</v>
      </c>
      <c r="D72" s="10" t="str">
        <f>HYPERLINK("https://facebook.com/367089020688300_448701909193677", "367089020688300_448701909193677")</f>
        <v>367089020688300_448701909193677</v>
      </c>
      <c r="E72" s="11">
        <v>2747.0</v>
      </c>
      <c r="F72" s="11">
        <v>87.0</v>
      </c>
      <c r="G72" s="11">
        <v>781.0</v>
      </c>
      <c r="H72" s="9" t="s">
        <v>26</v>
      </c>
      <c r="I72" s="9" t="s">
        <v>403</v>
      </c>
      <c r="J72" s="9" t="s">
        <v>404</v>
      </c>
      <c r="K72" s="9" t="s">
        <v>405</v>
      </c>
      <c r="L72" s="9" t="s">
        <v>30</v>
      </c>
      <c r="M72" s="9" t="s">
        <v>31</v>
      </c>
      <c r="N72" s="9" t="s">
        <v>32</v>
      </c>
      <c r="O72" s="12" t="s">
        <v>33</v>
      </c>
      <c r="P72" s="12" t="s">
        <v>34</v>
      </c>
      <c r="Q72" s="9"/>
      <c r="R72" s="18"/>
      <c r="S72" s="18"/>
      <c r="T72" s="18"/>
      <c r="U72" s="18"/>
      <c r="V72" s="18"/>
      <c r="W72" s="26" t="s">
        <v>378</v>
      </c>
      <c r="X72" s="15"/>
    </row>
    <row r="73">
      <c r="A73" s="7">
        <v>72.0</v>
      </c>
      <c r="B73" s="8" t="s">
        <v>406</v>
      </c>
      <c r="C73" s="9" t="s">
        <v>407</v>
      </c>
      <c r="D73" s="10" t="str">
        <f>HYPERLINK("https://facebook.com/367089020688300_535308123866388", "367089020688300_535308123866388")</f>
        <v>367089020688300_535308123866388</v>
      </c>
      <c r="E73" s="11">
        <v>2535.0</v>
      </c>
      <c r="F73" s="11">
        <v>31.0</v>
      </c>
      <c r="G73" s="11">
        <v>789.0</v>
      </c>
      <c r="H73" s="9" t="s">
        <v>26</v>
      </c>
      <c r="I73" s="9" t="s">
        <v>408</v>
      </c>
      <c r="J73" s="16" t="s">
        <v>409</v>
      </c>
      <c r="K73" s="9"/>
      <c r="L73" s="9" t="s">
        <v>30</v>
      </c>
      <c r="M73" s="9" t="s">
        <v>31</v>
      </c>
      <c r="N73" s="9" t="s">
        <v>32</v>
      </c>
      <c r="O73" s="12" t="s">
        <v>33</v>
      </c>
      <c r="P73" s="12" t="s">
        <v>34</v>
      </c>
      <c r="Q73" s="9"/>
      <c r="R73" s="18"/>
      <c r="S73" s="18"/>
      <c r="T73" s="18"/>
      <c r="U73" s="18"/>
      <c r="V73" s="18"/>
      <c r="W73" s="15"/>
      <c r="X73" s="15"/>
    </row>
    <row r="74">
      <c r="A74" s="7">
        <v>73.0</v>
      </c>
      <c r="B74" s="8" t="s">
        <v>410</v>
      </c>
      <c r="C74" s="9" t="s">
        <v>411</v>
      </c>
      <c r="D74" s="10" t="str">
        <f>HYPERLINK("https://facebook.com/367089020688300_537000267030507", "367089020688300_537000267030507")</f>
        <v>367089020688300_537000267030507</v>
      </c>
      <c r="E74" s="11">
        <v>4.0</v>
      </c>
      <c r="F74" s="11">
        <v>0.0</v>
      </c>
      <c r="G74" s="11">
        <v>1.0</v>
      </c>
      <c r="H74" s="9" t="s">
        <v>26</v>
      </c>
      <c r="I74" s="9" t="s">
        <v>412</v>
      </c>
      <c r="J74" s="16" t="s">
        <v>413</v>
      </c>
      <c r="K74" s="9"/>
      <c r="L74" s="9" t="s">
        <v>30</v>
      </c>
      <c r="M74" s="9" t="s">
        <v>31</v>
      </c>
      <c r="N74" s="9" t="s">
        <v>32</v>
      </c>
      <c r="O74" s="12" t="s">
        <v>33</v>
      </c>
      <c r="P74" s="12" t="s">
        <v>34</v>
      </c>
      <c r="Q74" s="9"/>
      <c r="R74" s="18"/>
      <c r="S74" s="18"/>
      <c r="T74" s="18"/>
      <c r="U74" s="18"/>
      <c r="V74" s="18"/>
      <c r="W74" s="15"/>
      <c r="X74" s="15"/>
    </row>
    <row r="75">
      <c r="A75" s="7">
        <v>74.0</v>
      </c>
      <c r="B75" s="8" t="s">
        <v>414</v>
      </c>
      <c r="C75" s="9" t="s">
        <v>415</v>
      </c>
      <c r="D75" s="10" t="str">
        <f>HYPERLINK("https://facebook.com/367089020688300_543673023029898", "367089020688300_543673023029898")</f>
        <v>367089020688300_543673023029898</v>
      </c>
      <c r="E75" s="11">
        <v>8.0</v>
      </c>
      <c r="F75" s="11">
        <v>0.0</v>
      </c>
      <c r="G75" s="11">
        <v>12.0</v>
      </c>
      <c r="H75" s="9" t="s">
        <v>26</v>
      </c>
      <c r="I75" s="9" t="s">
        <v>416</v>
      </c>
      <c r="J75" s="16" t="s">
        <v>417</v>
      </c>
      <c r="K75" s="9"/>
      <c r="L75" s="9" t="s">
        <v>30</v>
      </c>
      <c r="M75" s="9" t="s">
        <v>31</v>
      </c>
      <c r="N75" s="9" t="s">
        <v>32</v>
      </c>
      <c r="O75" s="12" t="s">
        <v>33</v>
      </c>
      <c r="P75" s="12" t="s">
        <v>34</v>
      </c>
      <c r="Q75" s="9"/>
      <c r="R75" s="18"/>
      <c r="S75" s="18"/>
      <c r="T75" s="18"/>
      <c r="U75" s="18"/>
      <c r="V75" s="18"/>
      <c r="W75" s="15"/>
      <c r="X75" s="15"/>
    </row>
    <row r="76">
      <c r="A76" s="7">
        <v>75.0</v>
      </c>
      <c r="B76" s="8" t="s">
        <v>418</v>
      </c>
      <c r="C76" s="9" t="s">
        <v>419</v>
      </c>
      <c r="D76" s="10" t="str">
        <f>HYPERLINK("https://facebook.com/367089020688300_561046991292501", "367089020688300_561046991292501")</f>
        <v>367089020688300_561046991292501</v>
      </c>
      <c r="E76" s="11">
        <v>317.0</v>
      </c>
      <c r="F76" s="11">
        <v>5.0</v>
      </c>
      <c r="G76" s="11">
        <v>225.0</v>
      </c>
      <c r="H76" s="9" t="s">
        <v>26</v>
      </c>
      <c r="I76" s="9" t="s">
        <v>420</v>
      </c>
      <c r="J76" s="9" t="s">
        <v>421</v>
      </c>
      <c r="K76" s="9" t="s">
        <v>422</v>
      </c>
      <c r="L76" s="9" t="s">
        <v>30</v>
      </c>
      <c r="M76" s="9" t="s">
        <v>31</v>
      </c>
      <c r="N76" s="9" t="s">
        <v>32</v>
      </c>
      <c r="O76" s="12" t="s">
        <v>33</v>
      </c>
      <c r="P76" s="12" t="s">
        <v>34</v>
      </c>
      <c r="Q76" s="9"/>
      <c r="R76" s="18"/>
      <c r="S76" s="18"/>
      <c r="T76" s="18"/>
      <c r="U76" s="18"/>
      <c r="V76" s="18"/>
      <c r="W76" s="15"/>
      <c r="X76" s="15"/>
    </row>
    <row r="77">
      <c r="A77" s="7">
        <v>76.0</v>
      </c>
      <c r="B77" s="8" t="s">
        <v>423</v>
      </c>
      <c r="C77" s="9" t="s">
        <v>424</v>
      </c>
      <c r="D77" s="10" t="str">
        <f>HYPERLINK("https://facebook.com/367089020688300_520704775326723", "367089020688300_520704775326723")</f>
        <v>367089020688300_520704775326723</v>
      </c>
      <c r="E77" s="11">
        <v>193.0</v>
      </c>
      <c r="F77" s="11">
        <v>1.0</v>
      </c>
      <c r="G77" s="11">
        <v>149.0</v>
      </c>
      <c r="H77" s="9" t="s">
        <v>26</v>
      </c>
      <c r="I77" s="9" t="s">
        <v>425</v>
      </c>
      <c r="J77" s="9" t="s">
        <v>426</v>
      </c>
      <c r="K77" s="9" t="s">
        <v>219</v>
      </c>
      <c r="L77" s="9" t="s">
        <v>30</v>
      </c>
      <c r="M77" s="9" t="s">
        <v>31</v>
      </c>
      <c r="N77" s="9" t="s">
        <v>32</v>
      </c>
      <c r="O77" s="12" t="s">
        <v>33</v>
      </c>
      <c r="P77" s="12" t="s">
        <v>34</v>
      </c>
      <c r="Q77" s="9"/>
      <c r="R77" s="18"/>
      <c r="S77" s="18"/>
      <c r="T77" s="18"/>
      <c r="U77" s="18"/>
      <c r="V77" s="18"/>
      <c r="W77" s="15"/>
      <c r="X77" s="15"/>
    </row>
    <row r="78">
      <c r="A78" s="7">
        <v>77.0</v>
      </c>
      <c r="B78" s="8" t="s">
        <v>427</v>
      </c>
      <c r="C78" s="9" t="s">
        <v>428</v>
      </c>
      <c r="D78" s="10" t="str">
        <f>HYPERLINK("https://facebook.com/367089020688300_541699723227228", "367089020688300_541699723227228")</f>
        <v>367089020688300_541699723227228</v>
      </c>
      <c r="E78" s="11">
        <v>46.0</v>
      </c>
      <c r="F78" s="11">
        <v>0.0</v>
      </c>
      <c r="G78" s="11">
        <v>25.0</v>
      </c>
      <c r="H78" s="9" t="s">
        <v>26</v>
      </c>
      <c r="I78" s="9" t="s">
        <v>429</v>
      </c>
      <c r="J78" s="16" t="s">
        <v>430</v>
      </c>
      <c r="K78" s="9"/>
      <c r="L78" s="9" t="s">
        <v>30</v>
      </c>
      <c r="M78" s="9" t="s">
        <v>31</v>
      </c>
      <c r="N78" s="9" t="s">
        <v>32</v>
      </c>
      <c r="O78" s="12" t="s">
        <v>33</v>
      </c>
      <c r="P78" s="12" t="s">
        <v>34</v>
      </c>
      <c r="Q78" s="9"/>
      <c r="R78" s="18"/>
      <c r="S78" s="18"/>
      <c r="T78" s="18"/>
      <c r="U78" s="18"/>
      <c r="V78" s="18"/>
      <c r="W78" s="15"/>
      <c r="X78" s="15"/>
    </row>
    <row r="79">
      <c r="A79" s="7">
        <v>78.0</v>
      </c>
      <c r="B79" s="8" t="s">
        <v>431</v>
      </c>
      <c r="C79" s="9" t="s">
        <v>432</v>
      </c>
      <c r="D79" s="10" t="str">
        <f>HYPERLINK("https://facebook.com/367089020688300_542586556471878", "367089020688300_542586556471878")</f>
        <v>367089020688300_542586556471878</v>
      </c>
      <c r="E79" s="11">
        <v>267.0</v>
      </c>
      <c r="F79" s="11">
        <v>10.0</v>
      </c>
      <c r="G79" s="11">
        <v>366.0</v>
      </c>
      <c r="H79" s="9" t="s">
        <v>26</v>
      </c>
      <c r="I79" s="9" t="s">
        <v>433</v>
      </c>
      <c r="J79" s="16" t="s">
        <v>434</v>
      </c>
      <c r="K79" s="9"/>
      <c r="L79" s="9" t="s">
        <v>30</v>
      </c>
      <c r="M79" s="9" t="s">
        <v>31</v>
      </c>
      <c r="N79" s="9" t="s">
        <v>32</v>
      </c>
      <c r="O79" s="12" t="s">
        <v>33</v>
      </c>
      <c r="P79" s="12" t="s">
        <v>34</v>
      </c>
      <c r="Q79" s="9"/>
      <c r="R79" s="18"/>
      <c r="S79" s="18"/>
      <c r="T79" s="18"/>
      <c r="U79" s="18"/>
      <c r="V79" s="18"/>
      <c r="W79" s="15"/>
      <c r="X79" s="15"/>
    </row>
    <row r="80">
      <c r="A80" s="7">
        <v>79.0</v>
      </c>
      <c r="B80" s="8" t="s">
        <v>435</v>
      </c>
      <c r="C80" s="9" t="s">
        <v>436</v>
      </c>
      <c r="D80" s="10" t="str">
        <f>HYPERLINK("https://facebook.com/367089020688300_558591731538027", "367089020688300_558591731538027")</f>
        <v>367089020688300_558591731538027</v>
      </c>
      <c r="E80" s="11">
        <v>134.0</v>
      </c>
      <c r="F80" s="11">
        <v>3.0</v>
      </c>
      <c r="G80" s="11">
        <v>110.0</v>
      </c>
      <c r="H80" s="9" t="s">
        <v>26</v>
      </c>
      <c r="I80" s="9" t="s">
        <v>437</v>
      </c>
      <c r="J80" s="9" t="s">
        <v>438</v>
      </c>
      <c r="K80" s="9" t="s">
        <v>439</v>
      </c>
      <c r="L80" s="9" t="s">
        <v>30</v>
      </c>
      <c r="M80" s="9" t="s">
        <v>31</v>
      </c>
      <c r="N80" s="9" t="s">
        <v>32</v>
      </c>
      <c r="O80" s="12" t="s">
        <v>33</v>
      </c>
      <c r="P80" s="12" t="s">
        <v>34</v>
      </c>
      <c r="Q80" s="9"/>
      <c r="R80" s="18"/>
      <c r="S80" s="18"/>
      <c r="T80" s="18"/>
      <c r="U80" s="18"/>
      <c r="V80" s="18"/>
      <c r="W80" s="15"/>
      <c r="X80" s="15"/>
    </row>
    <row r="81">
      <c r="A81" s="7">
        <v>80.0</v>
      </c>
      <c r="B81" s="8" t="s">
        <v>440</v>
      </c>
      <c r="C81" s="9" t="s">
        <v>441</v>
      </c>
      <c r="D81" s="10" t="str">
        <f>HYPERLINK("https://facebook.com/367089020688300_378290819568120", "367089020688300_378290819568120")</f>
        <v>367089020688300_378290819568120</v>
      </c>
      <c r="E81" s="11">
        <v>1014.0</v>
      </c>
      <c r="F81" s="11">
        <v>146.0</v>
      </c>
      <c r="G81" s="11">
        <v>828.0</v>
      </c>
      <c r="H81" s="9" t="s">
        <v>26</v>
      </c>
      <c r="I81" s="9" t="s">
        <v>442</v>
      </c>
      <c r="J81" s="9" t="s">
        <v>443</v>
      </c>
      <c r="K81" s="9" t="s">
        <v>444</v>
      </c>
      <c r="L81" s="9" t="s">
        <v>30</v>
      </c>
      <c r="M81" s="9" t="s">
        <v>31</v>
      </c>
      <c r="N81" s="9" t="s">
        <v>32</v>
      </c>
      <c r="O81" s="12" t="s">
        <v>33</v>
      </c>
      <c r="P81" s="12" t="s">
        <v>34</v>
      </c>
      <c r="Q81" s="9"/>
      <c r="R81" s="18"/>
      <c r="S81" s="18"/>
      <c r="T81" s="18"/>
      <c r="U81" s="18"/>
      <c r="V81" s="18"/>
      <c r="W81" s="15"/>
      <c r="X81" s="15"/>
    </row>
    <row r="82">
      <c r="A82" s="7">
        <v>81.0</v>
      </c>
      <c r="B82" s="21" t="s">
        <v>445</v>
      </c>
      <c r="C82" s="21" t="s">
        <v>446</v>
      </c>
      <c r="D82" s="22" t="str">
        <f>HYPERLINK("https://facebook.com/367089020688300_478272822903252", "367089020688300_478272822903252")</f>
        <v>367089020688300_478272822903252</v>
      </c>
      <c r="E82" s="23">
        <v>824.0</v>
      </c>
      <c r="F82" s="23">
        <v>57.0</v>
      </c>
      <c r="G82" s="23">
        <v>1120.0</v>
      </c>
      <c r="H82" s="21" t="s">
        <v>26</v>
      </c>
      <c r="I82" s="21" t="s">
        <v>54</v>
      </c>
      <c r="J82" s="21" t="s">
        <v>55</v>
      </c>
      <c r="K82" s="21" t="s">
        <v>447</v>
      </c>
      <c r="L82" s="21" t="s">
        <v>30</v>
      </c>
      <c r="M82" s="21" t="s">
        <v>31</v>
      </c>
      <c r="N82" s="21" t="s">
        <v>32</v>
      </c>
      <c r="O82" s="21" t="s">
        <v>33</v>
      </c>
      <c r="P82" s="12" t="s">
        <v>34</v>
      </c>
      <c r="Q82" s="21"/>
      <c r="R82" s="24"/>
      <c r="S82" s="24"/>
      <c r="T82" s="24"/>
      <c r="U82" s="24"/>
      <c r="V82" s="24"/>
      <c r="W82" s="13" t="s">
        <v>166</v>
      </c>
      <c r="X82" s="24"/>
    </row>
    <row r="83">
      <c r="A83" s="7">
        <v>82.0</v>
      </c>
      <c r="B83" s="8" t="s">
        <v>448</v>
      </c>
      <c r="C83" s="9" t="s">
        <v>449</v>
      </c>
      <c r="D83" s="10" t="str">
        <f>HYPERLINK("https://facebook.com/367089020688300_495463064517561", "367089020688300_495463064517561")</f>
        <v>367089020688300_495463064517561</v>
      </c>
      <c r="E83" s="11">
        <v>683.0</v>
      </c>
      <c r="F83" s="11">
        <v>17.0</v>
      </c>
      <c r="G83" s="11">
        <v>1078.0</v>
      </c>
      <c r="H83" s="9" t="s">
        <v>26</v>
      </c>
      <c r="I83" s="9" t="s">
        <v>450</v>
      </c>
      <c r="J83" s="9" t="s">
        <v>451</v>
      </c>
      <c r="K83" s="9" t="s">
        <v>452</v>
      </c>
      <c r="L83" s="9" t="s">
        <v>30</v>
      </c>
      <c r="M83" s="9" t="s">
        <v>31</v>
      </c>
      <c r="N83" s="9" t="s">
        <v>32</v>
      </c>
      <c r="O83" s="12" t="s">
        <v>33</v>
      </c>
      <c r="P83" s="12" t="s">
        <v>34</v>
      </c>
      <c r="Q83" s="9"/>
      <c r="R83" s="18"/>
      <c r="S83" s="18"/>
      <c r="T83" s="18"/>
      <c r="U83" s="18"/>
      <c r="V83" s="18"/>
      <c r="W83" s="15"/>
      <c r="X83" s="15"/>
    </row>
    <row r="84">
      <c r="A84" s="7">
        <v>83.0</v>
      </c>
      <c r="B84" s="8" t="s">
        <v>453</v>
      </c>
      <c r="C84" s="9" t="s">
        <v>454</v>
      </c>
      <c r="D84" s="10" t="str">
        <f>HYPERLINK("https://facebook.com/367089020688300_556680018395865", "367089020688300_556680018395865")</f>
        <v>367089020688300_556680018395865</v>
      </c>
      <c r="E84" s="11">
        <v>27.0</v>
      </c>
      <c r="F84" s="11">
        <v>0.0</v>
      </c>
      <c r="G84" s="11">
        <v>33.0</v>
      </c>
      <c r="H84" s="9" t="s">
        <v>26</v>
      </c>
      <c r="I84" s="9" t="s">
        <v>455</v>
      </c>
      <c r="J84" s="9" t="s">
        <v>456</v>
      </c>
      <c r="K84" s="9" t="s">
        <v>457</v>
      </c>
      <c r="L84" s="9" t="s">
        <v>30</v>
      </c>
      <c r="M84" s="9" t="s">
        <v>31</v>
      </c>
      <c r="N84" s="9" t="s">
        <v>32</v>
      </c>
      <c r="O84" s="12" t="s">
        <v>33</v>
      </c>
      <c r="P84" s="12" t="s">
        <v>34</v>
      </c>
      <c r="Q84" s="9"/>
      <c r="R84" s="18"/>
      <c r="S84" s="18"/>
      <c r="T84" s="18"/>
      <c r="U84" s="18"/>
      <c r="V84" s="18"/>
      <c r="W84" s="15"/>
      <c r="X84" s="15"/>
    </row>
    <row r="85">
      <c r="A85" s="7">
        <v>84.0</v>
      </c>
      <c r="B85" s="8" t="s">
        <v>458</v>
      </c>
      <c r="C85" s="9" t="s">
        <v>459</v>
      </c>
      <c r="D85" s="10" t="str">
        <f>HYPERLINK("https://facebook.com/367089020688300_533595427370991", "367089020688300_533595427370991")</f>
        <v>367089020688300_533595427370991</v>
      </c>
      <c r="E85" s="11">
        <v>1138.0</v>
      </c>
      <c r="F85" s="11">
        <v>13.0</v>
      </c>
      <c r="G85" s="11">
        <v>431.0</v>
      </c>
      <c r="H85" s="9" t="s">
        <v>26</v>
      </c>
      <c r="I85" s="9" t="s">
        <v>460</v>
      </c>
      <c r="J85" s="9" t="s">
        <v>461</v>
      </c>
      <c r="K85" s="9" t="s">
        <v>219</v>
      </c>
      <c r="L85" s="9" t="s">
        <v>30</v>
      </c>
      <c r="M85" s="9" t="s">
        <v>31</v>
      </c>
      <c r="N85" s="9" t="s">
        <v>32</v>
      </c>
      <c r="O85" s="12" t="s">
        <v>33</v>
      </c>
      <c r="P85" s="12" t="s">
        <v>34</v>
      </c>
      <c r="Q85" s="9"/>
      <c r="R85" s="18"/>
      <c r="S85" s="18"/>
      <c r="T85" s="18"/>
      <c r="U85" s="18"/>
      <c r="V85" s="18"/>
      <c r="W85" s="15"/>
      <c r="X85" s="15"/>
    </row>
    <row r="86">
      <c r="A86" s="7">
        <v>85.0</v>
      </c>
      <c r="B86" s="8" t="s">
        <v>462</v>
      </c>
      <c r="C86" s="9" t="s">
        <v>463</v>
      </c>
      <c r="D86" s="10" t="str">
        <f>HYPERLINK("https://facebook.com/367089020688300_459648528099015", "367089020688300_459648528099015")</f>
        <v>367089020688300_459648528099015</v>
      </c>
      <c r="E86" s="11">
        <v>341.0</v>
      </c>
      <c r="F86" s="11">
        <v>15.0</v>
      </c>
      <c r="G86" s="11">
        <v>426.0</v>
      </c>
      <c r="H86" s="9" t="s">
        <v>26</v>
      </c>
      <c r="I86" s="9" t="s">
        <v>464</v>
      </c>
      <c r="J86" s="9" t="s">
        <v>465</v>
      </c>
      <c r="K86" s="9" t="s">
        <v>466</v>
      </c>
      <c r="L86" s="9" t="s">
        <v>30</v>
      </c>
      <c r="M86" s="9" t="s">
        <v>31</v>
      </c>
      <c r="N86" s="9" t="s">
        <v>32</v>
      </c>
      <c r="O86" s="12" t="s">
        <v>33</v>
      </c>
      <c r="P86" s="12" t="s">
        <v>34</v>
      </c>
      <c r="Q86" s="9"/>
      <c r="R86" s="18"/>
      <c r="S86" s="18"/>
      <c r="T86" s="18"/>
      <c r="U86" s="18"/>
      <c r="V86" s="18"/>
      <c r="W86" s="15"/>
      <c r="X86" s="15"/>
    </row>
    <row r="87">
      <c r="A87" s="7">
        <v>86.0</v>
      </c>
      <c r="B87" s="8" t="s">
        <v>467</v>
      </c>
      <c r="C87" s="9" t="s">
        <v>468</v>
      </c>
      <c r="D87" s="10" t="str">
        <f>HYPERLINK("https://facebook.com/367089020688300_466112584119276", "367089020688300_466112584119276")</f>
        <v>367089020688300_466112584119276</v>
      </c>
      <c r="E87" s="11">
        <v>1446.0</v>
      </c>
      <c r="F87" s="11">
        <v>101.0</v>
      </c>
      <c r="G87" s="11">
        <v>1041.0</v>
      </c>
      <c r="H87" s="9" t="s">
        <v>26</v>
      </c>
      <c r="I87" s="9" t="s">
        <v>469</v>
      </c>
      <c r="J87" s="9" t="s">
        <v>470</v>
      </c>
      <c r="K87" s="9" t="s">
        <v>471</v>
      </c>
      <c r="L87" s="9" t="s">
        <v>30</v>
      </c>
      <c r="M87" s="9" t="s">
        <v>31</v>
      </c>
      <c r="N87" s="9" t="s">
        <v>32</v>
      </c>
      <c r="O87" s="12" t="s">
        <v>33</v>
      </c>
      <c r="P87" s="12" t="s">
        <v>34</v>
      </c>
      <c r="Q87" s="9"/>
      <c r="R87" s="18"/>
      <c r="S87" s="18"/>
      <c r="T87" s="18"/>
      <c r="U87" s="18"/>
      <c r="V87" s="18"/>
      <c r="W87" s="15"/>
      <c r="X87" s="15"/>
    </row>
    <row r="88">
      <c r="A88" s="7">
        <v>87.0</v>
      </c>
      <c r="B88" s="8" t="s">
        <v>472</v>
      </c>
      <c r="C88" s="9" t="s">
        <v>473</v>
      </c>
      <c r="D88" s="10" t="str">
        <f>HYPERLINK("https://facebook.com/367089020688300_537406650323202", "367089020688300_537406650323202")</f>
        <v>367089020688300_537406650323202</v>
      </c>
      <c r="E88" s="11">
        <v>195.0</v>
      </c>
      <c r="F88" s="11">
        <v>6.0</v>
      </c>
      <c r="G88" s="11">
        <v>72.0</v>
      </c>
      <c r="H88" s="9" t="s">
        <v>26</v>
      </c>
      <c r="I88" s="9" t="s">
        <v>474</v>
      </c>
      <c r="J88" s="9" t="s">
        <v>475</v>
      </c>
      <c r="K88" s="9" t="s">
        <v>476</v>
      </c>
      <c r="L88" s="9" t="s">
        <v>30</v>
      </c>
      <c r="M88" s="9" t="s">
        <v>31</v>
      </c>
      <c r="N88" s="9" t="s">
        <v>32</v>
      </c>
      <c r="O88" s="12" t="s">
        <v>33</v>
      </c>
      <c r="P88" s="12" t="s">
        <v>34</v>
      </c>
      <c r="Q88" s="9"/>
      <c r="R88" s="18"/>
      <c r="S88" s="18"/>
      <c r="T88" s="18"/>
      <c r="U88" s="18"/>
      <c r="V88" s="18"/>
      <c r="W88" s="15"/>
      <c r="X88" s="15"/>
    </row>
    <row r="89">
      <c r="A89" s="7">
        <v>88.0</v>
      </c>
      <c r="B89" s="8" t="s">
        <v>477</v>
      </c>
      <c r="C89" s="9" t="s">
        <v>478</v>
      </c>
      <c r="D89" s="10" t="str">
        <f>HYPERLINK("https://facebook.com/367089020688300_547114716019062", "367089020688300_547114716019062")</f>
        <v>367089020688300_547114716019062</v>
      </c>
      <c r="E89" s="11">
        <v>40.0</v>
      </c>
      <c r="F89" s="11">
        <v>0.0</v>
      </c>
      <c r="G89" s="11">
        <v>23.0</v>
      </c>
      <c r="H89" s="9" t="s">
        <v>26</v>
      </c>
      <c r="I89" s="9" t="s">
        <v>479</v>
      </c>
      <c r="J89" s="16" t="s">
        <v>480</v>
      </c>
      <c r="K89" s="9"/>
      <c r="L89" s="9" t="s">
        <v>30</v>
      </c>
      <c r="M89" s="9" t="s">
        <v>31</v>
      </c>
      <c r="N89" s="9" t="s">
        <v>32</v>
      </c>
      <c r="O89" s="12" t="s">
        <v>33</v>
      </c>
      <c r="P89" s="12" t="s">
        <v>34</v>
      </c>
      <c r="Q89" s="9"/>
      <c r="R89" s="18"/>
      <c r="S89" s="18"/>
      <c r="T89" s="18"/>
      <c r="U89" s="18"/>
      <c r="V89" s="18"/>
      <c r="W89" s="15"/>
      <c r="X89" s="15"/>
    </row>
    <row r="90">
      <c r="A90" s="7">
        <v>89.0</v>
      </c>
      <c r="B90" s="8" t="s">
        <v>481</v>
      </c>
      <c r="C90" s="9" t="s">
        <v>482</v>
      </c>
      <c r="D90" s="10" t="str">
        <f>HYPERLINK("https://facebook.com/367089020688300_553048232092377", "367089020688300_553048232092377")</f>
        <v>367089020688300_553048232092377</v>
      </c>
      <c r="E90" s="11">
        <v>64.0</v>
      </c>
      <c r="F90" s="11">
        <v>2.0</v>
      </c>
      <c r="G90" s="11">
        <v>147.0</v>
      </c>
      <c r="H90" s="9" t="s">
        <v>26</v>
      </c>
      <c r="I90" s="9" t="s">
        <v>483</v>
      </c>
      <c r="J90" s="9" t="s">
        <v>484</v>
      </c>
      <c r="K90" s="9" t="s">
        <v>485</v>
      </c>
      <c r="L90" s="9" t="s">
        <v>30</v>
      </c>
      <c r="M90" s="9" t="s">
        <v>31</v>
      </c>
      <c r="N90" s="9" t="s">
        <v>32</v>
      </c>
      <c r="O90" s="12" t="s">
        <v>33</v>
      </c>
      <c r="P90" s="12" t="s">
        <v>34</v>
      </c>
      <c r="Q90" s="9"/>
      <c r="R90" s="18"/>
      <c r="S90" s="18"/>
      <c r="T90" s="18"/>
      <c r="U90" s="18"/>
      <c r="V90" s="18"/>
      <c r="W90" s="15"/>
      <c r="X90" s="15"/>
    </row>
    <row r="91">
      <c r="A91" s="7">
        <v>90.0</v>
      </c>
      <c r="B91" s="8" t="s">
        <v>486</v>
      </c>
      <c r="C91" s="9" t="s">
        <v>487</v>
      </c>
      <c r="D91" s="10" t="str">
        <f>HYPERLINK("https://facebook.com/367089020688300_532756780788189", "367089020688300_532756780788189")</f>
        <v>367089020688300_532756780788189</v>
      </c>
      <c r="E91" s="11">
        <v>51.0</v>
      </c>
      <c r="F91" s="11">
        <v>0.0</v>
      </c>
      <c r="G91" s="11">
        <v>52.0</v>
      </c>
      <c r="H91" s="9" t="s">
        <v>26</v>
      </c>
      <c r="I91" s="9" t="s">
        <v>488</v>
      </c>
      <c r="J91" s="9" t="s">
        <v>489</v>
      </c>
      <c r="K91" s="9" t="s">
        <v>249</v>
      </c>
      <c r="L91" s="9" t="s">
        <v>30</v>
      </c>
      <c r="M91" s="9" t="s">
        <v>31</v>
      </c>
      <c r="N91" s="9" t="s">
        <v>32</v>
      </c>
      <c r="O91" s="12" t="s">
        <v>33</v>
      </c>
      <c r="P91" s="12" t="s">
        <v>34</v>
      </c>
      <c r="Q91" s="9"/>
      <c r="R91" s="18"/>
      <c r="S91" s="18"/>
      <c r="T91" s="18"/>
      <c r="U91" s="18"/>
      <c r="V91" s="18"/>
      <c r="W91" s="15"/>
      <c r="X91" s="15"/>
    </row>
    <row r="92">
      <c r="A92" s="7">
        <v>91.0</v>
      </c>
      <c r="B92" s="8" t="s">
        <v>490</v>
      </c>
      <c r="C92" s="9" t="s">
        <v>491</v>
      </c>
      <c r="D92" s="10" t="str">
        <f>HYPERLINK("https://facebook.com/367089020688300_458908058173062", "367089020688300_458908058173062")</f>
        <v>367089020688300_458908058173062</v>
      </c>
      <c r="E92" s="11">
        <v>594.0</v>
      </c>
      <c r="F92" s="11">
        <v>12.0</v>
      </c>
      <c r="G92" s="11">
        <v>345.0</v>
      </c>
      <c r="H92" s="9" t="s">
        <v>26</v>
      </c>
      <c r="I92" s="9" t="s">
        <v>132</v>
      </c>
      <c r="J92" s="9" t="s">
        <v>492</v>
      </c>
      <c r="K92" s="9" t="s">
        <v>493</v>
      </c>
      <c r="L92" s="9" t="s">
        <v>30</v>
      </c>
      <c r="M92" s="9" t="s">
        <v>31</v>
      </c>
      <c r="N92" s="9" t="s">
        <v>32</v>
      </c>
      <c r="O92" s="12" t="s">
        <v>33</v>
      </c>
      <c r="P92" s="12" t="s">
        <v>34</v>
      </c>
      <c r="Q92" s="9"/>
      <c r="R92" s="18"/>
      <c r="S92" s="18"/>
      <c r="T92" s="18"/>
      <c r="U92" s="18"/>
      <c r="V92" s="18"/>
      <c r="W92" s="15"/>
      <c r="X92" s="15"/>
    </row>
    <row r="93">
      <c r="A93" s="7">
        <v>92.0</v>
      </c>
      <c r="B93" s="8" t="s">
        <v>494</v>
      </c>
      <c r="C93" s="9" t="s">
        <v>495</v>
      </c>
      <c r="D93" s="10" t="str">
        <f>HYPERLINK("https://facebook.com/367089020688300_552232428840624", "367089020688300_552232428840624")</f>
        <v>367089020688300_552232428840624</v>
      </c>
      <c r="E93" s="11">
        <v>64.0</v>
      </c>
      <c r="F93" s="11">
        <v>2.0</v>
      </c>
      <c r="G93" s="11">
        <v>40.0</v>
      </c>
      <c r="H93" s="9" t="s">
        <v>26</v>
      </c>
      <c r="I93" s="9" t="s">
        <v>496</v>
      </c>
      <c r="J93" s="16" t="s">
        <v>497</v>
      </c>
      <c r="K93" s="9"/>
      <c r="L93" s="9" t="s">
        <v>30</v>
      </c>
      <c r="M93" s="9" t="s">
        <v>31</v>
      </c>
      <c r="N93" s="9" t="s">
        <v>32</v>
      </c>
      <c r="O93" s="12" t="s">
        <v>33</v>
      </c>
      <c r="P93" s="12" t="s">
        <v>34</v>
      </c>
      <c r="Q93" s="9"/>
      <c r="R93" s="18"/>
      <c r="S93" s="18"/>
      <c r="T93" s="18"/>
      <c r="U93" s="18"/>
      <c r="V93" s="18"/>
      <c r="W93" s="15"/>
      <c r="X93" s="15"/>
    </row>
    <row r="94">
      <c r="A94" s="7">
        <v>93.0</v>
      </c>
      <c r="B94" s="8" t="s">
        <v>498</v>
      </c>
      <c r="C94" s="9" t="s">
        <v>499</v>
      </c>
      <c r="D94" s="10" t="str">
        <f>HYPERLINK("https://facebook.com/367089020688300_535570950506772", "367089020688300_535570950506772")</f>
        <v>367089020688300_535570950506772</v>
      </c>
      <c r="E94" s="11">
        <v>45.0</v>
      </c>
      <c r="F94" s="11">
        <v>3.0</v>
      </c>
      <c r="G94" s="11">
        <v>20.0</v>
      </c>
      <c r="H94" s="9" t="s">
        <v>26</v>
      </c>
      <c r="I94" s="9" t="s">
        <v>500</v>
      </c>
      <c r="J94" s="9" t="s">
        <v>501</v>
      </c>
      <c r="K94" s="9" t="s">
        <v>502</v>
      </c>
      <c r="L94" s="9" t="s">
        <v>30</v>
      </c>
      <c r="M94" s="9" t="s">
        <v>31</v>
      </c>
      <c r="N94" s="9" t="s">
        <v>32</v>
      </c>
      <c r="O94" s="12" t="s">
        <v>33</v>
      </c>
      <c r="P94" s="12" t="s">
        <v>34</v>
      </c>
      <c r="Q94" s="9"/>
      <c r="R94" s="18"/>
      <c r="S94" s="18"/>
      <c r="T94" s="18"/>
      <c r="U94" s="18"/>
      <c r="V94" s="18"/>
      <c r="W94" s="15"/>
      <c r="X94" s="15"/>
    </row>
    <row r="95">
      <c r="A95" s="7">
        <v>94.0</v>
      </c>
      <c r="B95" s="8" t="s">
        <v>503</v>
      </c>
      <c r="C95" s="9" t="s">
        <v>504</v>
      </c>
      <c r="D95" s="10" t="str">
        <f>HYPERLINK("https://facebook.com/367089020688300_497401337657067", "367089020688300_497401337657067")</f>
        <v>367089020688300_497401337657067</v>
      </c>
      <c r="E95" s="11">
        <v>852.0</v>
      </c>
      <c r="F95" s="11">
        <v>21.0</v>
      </c>
      <c r="G95" s="11">
        <v>217.0</v>
      </c>
      <c r="H95" s="9" t="s">
        <v>26</v>
      </c>
      <c r="I95" s="9" t="s">
        <v>505</v>
      </c>
      <c r="J95" s="16" t="s">
        <v>506</v>
      </c>
      <c r="K95" s="9"/>
      <c r="L95" s="9" t="s">
        <v>30</v>
      </c>
      <c r="M95" s="9" t="s">
        <v>31</v>
      </c>
      <c r="N95" s="9" t="s">
        <v>32</v>
      </c>
      <c r="O95" s="12" t="s">
        <v>33</v>
      </c>
      <c r="P95" s="12" t="s">
        <v>34</v>
      </c>
      <c r="Q95" s="9"/>
      <c r="R95" s="18"/>
      <c r="S95" s="18"/>
      <c r="T95" s="18"/>
      <c r="U95" s="18"/>
      <c r="V95" s="18"/>
      <c r="W95" s="15"/>
      <c r="X95" s="15"/>
    </row>
    <row r="96">
      <c r="A96" s="7">
        <v>95.0</v>
      </c>
      <c r="B96" s="8" t="s">
        <v>507</v>
      </c>
      <c r="C96" s="9" t="s">
        <v>508</v>
      </c>
      <c r="D96" s="10" t="str">
        <f>HYPERLINK("https://facebook.com/367089020688300_561551791242021", "367089020688300_561551791242021")</f>
        <v>367089020688300_561551791242021</v>
      </c>
      <c r="E96" s="11">
        <v>20.0</v>
      </c>
      <c r="F96" s="11">
        <v>0.0</v>
      </c>
      <c r="G96" s="11">
        <v>5.0</v>
      </c>
      <c r="H96" s="9" t="s">
        <v>26</v>
      </c>
      <c r="I96" s="9" t="s">
        <v>509</v>
      </c>
      <c r="J96" s="16" t="s">
        <v>510</v>
      </c>
      <c r="K96" s="9"/>
      <c r="L96" s="9" t="s">
        <v>30</v>
      </c>
      <c r="M96" s="9" t="s">
        <v>31</v>
      </c>
      <c r="N96" s="9" t="s">
        <v>32</v>
      </c>
      <c r="O96" s="12" t="s">
        <v>33</v>
      </c>
      <c r="P96" s="12" t="s">
        <v>34</v>
      </c>
      <c r="Q96" s="9"/>
      <c r="R96" s="18"/>
      <c r="S96" s="18"/>
      <c r="T96" s="18"/>
      <c r="U96" s="18"/>
      <c r="V96" s="18"/>
      <c r="W96" s="15"/>
      <c r="X96" s="15"/>
    </row>
    <row r="97">
      <c r="A97" s="7">
        <v>96.0</v>
      </c>
      <c r="B97" s="8" t="s">
        <v>511</v>
      </c>
      <c r="C97" s="9" t="s">
        <v>512</v>
      </c>
      <c r="D97" s="10" t="str">
        <f>HYPERLINK("https://facebook.com/367089020688300_412625112801357", "367089020688300_412625112801357")</f>
        <v>367089020688300_412625112801357</v>
      </c>
      <c r="E97" s="11">
        <v>365.0</v>
      </c>
      <c r="F97" s="11">
        <v>20.0</v>
      </c>
      <c r="G97" s="11">
        <v>355.0</v>
      </c>
      <c r="H97" s="9" t="s">
        <v>26</v>
      </c>
      <c r="I97" s="9" t="s">
        <v>513</v>
      </c>
      <c r="J97" s="9" t="s">
        <v>514</v>
      </c>
      <c r="K97" s="9" t="s">
        <v>515</v>
      </c>
      <c r="L97" s="9" t="s">
        <v>30</v>
      </c>
      <c r="M97" s="9" t="s">
        <v>31</v>
      </c>
      <c r="N97" s="9" t="s">
        <v>32</v>
      </c>
      <c r="O97" s="12" t="s">
        <v>33</v>
      </c>
      <c r="P97" s="12" t="s">
        <v>34</v>
      </c>
      <c r="Q97" s="9"/>
      <c r="R97" s="18"/>
      <c r="S97" s="18"/>
      <c r="T97" s="18"/>
      <c r="U97" s="18"/>
      <c r="V97" s="18"/>
      <c r="W97" s="15"/>
      <c r="X97" s="15"/>
    </row>
    <row r="98">
      <c r="A98" s="7">
        <v>97.0</v>
      </c>
      <c r="B98" s="8" t="s">
        <v>516</v>
      </c>
      <c r="C98" s="9" t="s">
        <v>517</v>
      </c>
      <c r="D98" s="10" t="str">
        <f>HYPERLINK("https://facebook.com/367089020688300_546027632794437", "367089020688300_546027632794437")</f>
        <v>367089020688300_546027632794437</v>
      </c>
      <c r="E98" s="11">
        <v>8.0</v>
      </c>
      <c r="F98" s="11">
        <v>0.0</v>
      </c>
      <c r="G98" s="11">
        <v>6.0</v>
      </c>
      <c r="H98" s="9" t="s">
        <v>26</v>
      </c>
      <c r="I98" s="9" t="s">
        <v>518</v>
      </c>
      <c r="J98" s="16" t="s">
        <v>519</v>
      </c>
      <c r="K98" s="9"/>
      <c r="L98" s="9" t="s">
        <v>30</v>
      </c>
      <c r="M98" s="9" t="s">
        <v>31</v>
      </c>
      <c r="N98" s="9" t="s">
        <v>32</v>
      </c>
      <c r="O98" s="12" t="s">
        <v>33</v>
      </c>
      <c r="P98" s="12" t="s">
        <v>34</v>
      </c>
      <c r="Q98" s="9"/>
      <c r="R98" s="18"/>
      <c r="S98" s="18"/>
      <c r="T98" s="18"/>
      <c r="U98" s="18"/>
      <c r="V98" s="18"/>
      <c r="W98" s="15"/>
      <c r="X98" s="15"/>
    </row>
    <row r="99">
      <c r="A99" s="7">
        <v>98.0</v>
      </c>
      <c r="B99" s="8" t="s">
        <v>520</v>
      </c>
      <c r="C99" s="9" t="s">
        <v>521</v>
      </c>
      <c r="D99" s="10" t="str">
        <f>HYPERLINK("https://facebook.com/367089020688300_537842306946303", "367089020688300_537842306946303")</f>
        <v>367089020688300_537842306946303</v>
      </c>
      <c r="E99" s="11">
        <v>213.0</v>
      </c>
      <c r="F99" s="11">
        <v>2.0</v>
      </c>
      <c r="G99" s="11">
        <v>34.0</v>
      </c>
      <c r="H99" s="9" t="s">
        <v>26</v>
      </c>
      <c r="I99" s="9" t="s">
        <v>522</v>
      </c>
      <c r="J99" s="16" t="s">
        <v>523</v>
      </c>
      <c r="K99" s="9"/>
      <c r="L99" s="9" t="s">
        <v>30</v>
      </c>
      <c r="M99" s="9" t="s">
        <v>31</v>
      </c>
      <c r="N99" s="9" t="s">
        <v>32</v>
      </c>
      <c r="O99" s="12" t="s">
        <v>33</v>
      </c>
      <c r="P99" s="12" t="s">
        <v>34</v>
      </c>
      <c r="Q99" s="9"/>
      <c r="R99" s="18"/>
      <c r="S99" s="18"/>
      <c r="T99" s="18"/>
      <c r="U99" s="18"/>
      <c r="V99" s="18"/>
      <c r="W99" s="15"/>
      <c r="X99" s="15"/>
    </row>
    <row r="100">
      <c r="A100" s="7">
        <v>99.0</v>
      </c>
      <c r="B100" s="8" t="s">
        <v>524</v>
      </c>
      <c r="C100" s="9" t="s">
        <v>525</v>
      </c>
      <c r="D100" s="10" t="str">
        <f>HYPERLINK("https://facebook.com/367089020688300_558937608170106", "367089020688300_558937608170106")</f>
        <v>367089020688300_558937608170106</v>
      </c>
      <c r="E100" s="11">
        <v>136.0</v>
      </c>
      <c r="F100" s="11">
        <v>4.0</v>
      </c>
      <c r="G100" s="11">
        <v>177.0</v>
      </c>
      <c r="H100" s="9" t="s">
        <v>26</v>
      </c>
      <c r="I100" s="9" t="s">
        <v>526</v>
      </c>
      <c r="J100" s="9" t="s">
        <v>527</v>
      </c>
      <c r="K100" s="9" t="s">
        <v>528</v>
      </c>
      <c r="L100" s="9" t="s">
        <v>30</v>
      </c>
      <c r="M100" s="9" t="s">
        <v>31</v>
      </c>
      <c r="N100" s="9" t="s">
        <v>32</v>
      </c>
      <c r="O100" s="12" t="s">
        <v>33</v>
      </c>
      <c r="P100" s="12" t="s">
        <v>34</v>
      </c>
      <c r="Q100" s="9"/>
      <c r="R100" s="18"/>
      <c r="S100" s="18"/>
      <c r="T100" s="18"/>
      <c r="U100" s="18"/>
      <c r="V100" s="18"/>
      <c r="W100" s="15"/>
      <c r="X100" s="15"/>
    </row>
    <row r="101">
      <c r="A101" s="7">
        <v>100.0</v>
      </c>
      <c r="B101" s="8" t="s">
        <v>529</v>
      </c>
      <c r="C101" s="9" t="s">
        <v>530</v>
      </c>
      <c r="D101" s="10" t="str">
        <f>HYPERLINK("https://facebook.com/367089020688300_448397475890787", "367089020688300_448397475890787")</f>
        <v>367089020688300_448397475890787</v>
      </c>
      <c r="E101" s="11">
        <v>1898.0</v>
      </c>
      <c r="F101" s="11">
        <v>63.0</v>
      </c>
      <c r="G101" s="11">
        <v>1450.0</v>
      </c>
      <c r="H101" s="9" t="s">
        <v>26</v>
      </c>
      <c r="I101" s="9" t="s">
        <v>531</v>
      </c>
      <c r="J101" s="16" t="s">
        <v>532</v>
      </c>
      <c r="K101" s="9"/>
      <c r="L101" s="9" t="s">
        <v>30</v>
      </c>
      <c r="M101" s="9" t="s">
        <v>31</v>
      </c>
      <c r="N101" s="9" t="s">
        <v>32</v>
      </c>
      <c r="O101" s="12" t="s">
        <v>33</v>
      </c>
      <c r="P101" s="12" t="s">
        <v>34</v>
      </c>
      <c r="Q101" s="9"/>
      <c r="R101" s="18"/>
      <c r="S101" s="18"/>
      <c r="T101" s="18"/>
      <c r="U101" s="18"/>
      <c r="V101" s="18"/>
      <c r="W101" s="15"/>
      <c r="X101" s="15"/>
    </row>
    <row r="102">
      <c r="A102" s="7">
        <v>101.0</v>
      </c>
      <c r="B102" s="8" t="s">
        <v>533</v>
      </c>
      <c r="C102" s="9" t="s">
        <v>534</v>
      </c>
      <c r="D102" s="10" t="str">
        <f>HYPERLINK("https://facebook.com/367089020688300_497420457655155", "367089020688300_497420457655155")</f>
        <v>367089020688300_497420457655155</v>
      </c>
      <c r="E102" s="11">
        <v>91.0</v>
      </c>
      <c r="F102" s="11">
        <v>3.0</v>
      </c>
      <c r="G102" s="11">
        <v>53.0</v>
      </c>
      <c r="H102" s="9" t="s">
        <v>26</v>
      </c>
      <c r="I102" s="9" t="s">
        <v>535</v>
      </c>
      <c r="J102" s="9" t="s">
        <v>536</v>
      </c>
      <c r="K102" s="9" t="s">
        <v>537</v>
      </c>
      <c r="L102" s="9" t="s">
        <v>30</v>
      </c>
      <c r="M102" s="9" t="s">
        <v>31</v>
      </c>
      <c r="N102" s="9" t="s">
        <v>32</v>
      </c>
      <c r="O102" s="12" t="s">
        <v>33</v>
      </c>
      <c r="P102" s="12" t="s">
        <v>34</v>
      </c>
      <c r="Q102" s="9"/>
      <c r="R102" s="18"/>
      <c r="S102" s="18"/>
      <c r="T102" s="18"/>
      <c r="U102" s="18"/>
      <c r="V102" s="18"/>
      <c r="W102" s="15"/>
      <c r="X102" s="15"/>
    </row>
    <row r="103">
      <c r="A103" s="7">
        <v>102.0</v>
      </c>
      <c r="B103" s="8" t="s">
        <v>538</v>
      </c>
      <c r="C103" s="9" t="s">
        <v>539</v>
      </c>
      <c r="D103" s="10" t="str">
        <f>HYPERLINK("https://facebook.com/367089020688300_542522256478308", "367089020688300_542522256478308")</f>
        <v>367089020688300_542522256478308</v>
      </c>
      <c r="E103" s="11">
        <v>26.0</v>
      </c>
      <c r="F103" s="11">
        <v>0.0</v>
      </c>
      <c r="G103" s="11">
        <v>21.0</v>
      </c>
      <c r="H103" s="9" t="s">
        <v>26</v>
      </c>
      <c r="I103" s="9" t="s">
        <v>540</v>
      </c>
      <c r="J103" s="9" t="s">
        <v>541</v>
      </c>
      <c r="K103" s="9" t="s">
        <v>542</v>
      </c>
      <c r="L103" s="9" t="s">
        <v>30</v>
      </c>
      <c r="M103" s="9" t="s">
        <v>31</v>
      </c>
      <c r="N103" s="9" t="s">
        <v>32</v>
      </c>
      <c r="O103" s="12" t="s">
        <v>33</v>
      </c>
      <c r="P103" s="12" t="s">
        <v>34</v>
      </c>
      <c r="Q103" s="9"/>
      <c r="R103" s="18"/>
      <c r="S103" s="18"/>
      <c r="T103" s="18"/>
      <c r="U103" s="18"/>
      <c r="V103" s="18"/>
      <c r="W103" s="15"/>
      <c r="X103" s="15"/>
    </row>
    <row r="104">
      <c r="A104" s="7">
        <v>103.0</v>
      </c>
      <c r="B104" s="8" t="s">
        <v>543</v>
      </c>
      <c r="C104" s="9" t="s">
        <v>544</v>
      </c>
      <c r="D104" s="10" t="str">
        <f>HYPERLINK("https://facebook.com/367089020688300_547055296025004", "367089020688300_547055296025004")</f>
        <v>367089020688300_547055296025004</v>
      </c>
      <c r="E104" s="11">
        <v>209.0</v>
      </c>
      <c r="F104" s="11">
        <v>1.0</v>
      </c>
      <c r="G104" s="11">
        <v>77.0</v>
      </c>
      <c r="H104" s="9" t="s">
        <v>26</v>
      </c>
      <c r="I104" s="9" t="s">
        <v>545</v>
      </c>
      <c r="J104" s="16" t="s">
        <v>546</v>
      </c>
      <c r="K104" s="9"/>
      <c r="L104" s="9" t="s">
        <v>30</v>
      </c>
      <c r="M104" s="9" t="s">
        <v>31</v>
      </c>
      <c r="N104" s="9" t="s">
        <v>32</v>
      </c>
      <c r="O104" s="12" t="s">
        <v>33</v>
      </c>
      <c r="P104" s="12" t="s">
        <v>34</v>
      </c>
      <c r="Q104" s="9"/>
      <c r="R104" s="18"/>
      <c r="S104" s="18"/>
      <c r="T104" s="18"/>
      <c r="U104" s="18"/>
      <c r="V104" s="18"/>
      <c r="W104" s="15"/>
      <c r="X104" s="15"/>
    </row>
    <row r="105">
      <c r="A105" s="7">
        <v>104.0</v>
      </c>
      <c r="B105" s="8" t="s">
        <v>547</v>
      </c>
      <c r="C105" s="9" t="s">
        <v>548</v>
      </c>
      <c r="D105" s="10" t="str">
        <f>HYPERLINK("https://facebook.com/367089020688300_517970328933501", "367089020688300_517970328933501")</f>
        <v>367089020688300_517970328933501</v>
      </c>
      <c r="E105" s="11">
        <v>61.0</v>
      </c>
      <c r="F105" s="11">
        <v>4.0</v>
      </c>
      <c r="G105" s="11">
        <v>102.0</v>
      </c>
      <c r="H105" s="9" t="s">
        <v>26</v>
      </c>
      <c r="I105" s="9" t="s">
        <v>549</v>
      </c>
      <c r="J105" s="9" t="s">
        <v>550</v>
      </c>
      <c r="K105" s="9" t="s">
        <v>551</v>
      </c>
      <c r="L105" s="9" t="s">
        <v>30</v>
      </c>
      <c r="M105" s="9" t="s">
        <v>31</v>
      </c>
      <c r="N105" s="9" t="s">
        <v>32</v>
      </c>
      <c r="O105" s="12" t="s">
        <v>33</v>
      </c>
      <c r="P105" s="12" t="s">
        <v>34</v>
      </c>
      <c r="Q105" s="9"/>
      <c r="R105" s="18"/>
      <c r="S105" s="18"/>
      <c r="T105" s="18"/>
      <c r="U105" s="18"/>
      <c r="V105" s="18"/>
      <c r="W105" s="15"/>
      <c r="X105" s="15"/>
    </row>
    <row r="106">
      <c r="A106" s="7">
        <v>105.0</v>
      </c>
      <c r="B106" s="8" t="s">
        <v>552</v>
      </c>
      <c r="C106" s="9" t="s">
        <v>553</v>
      </c>
      <c r="D106" s="10" t="str">
        <f>HYPERLINK("https://facebook.com/367089020688300_369028717160997", "367089020688300_369028717160997")</f>
        <v>367089020688300_369028717160997</v>
      </c>
      <c r="E106" s="11">
        <v>1242.0</v>
      </c>
      <c r="F106" s="11">
        <v>88.0</v>
      </c>
      <c r="G106" s="11">
        <v>803.0</v>
      </c>
      <c r="H106" s="9" t="s">
        <v>26</v>
      </c>
      <c r="I106" s="9" t="s">
        <v>554</v>
      </c>
      <c r="J106" s="9" t="s">
        <v>555</v>
      </c>
      <c r="K106" s="9" t="s">
        <v>219</v>
      </c>
      <c r="L106" s="9" t="s">
        <v>30</v>
      </c>
      <c r="M106" s="9" t="s">
        <v>31</v>
      </c>
      <c r="N106" s="9" t="s">
        <v>32</v>
      </c>
      <c r="O106" s="12" t="s">
        <v>33</v>
      </c>
      <c r="P106" s="12" t="s">
        <v>34</v>
      </c>
      <c r="Q106" s="9"/>
      <c r="R106" s="18"/>
      <c r="S106" s="18"/>
      <c r="T106" s="18"/>
      <c r="U106" s="18"/>
      <c r="V106" s="18"/>
      <c r="W106" s="15"/>
      <c r="X106" s="15"/>
    </row>
    <row r="107">
      <c r="A107" s="7">
        <v>106.0</v>
      </c>
      <c r="B107" s="8" t="s">
        <v>556</v>
      </c>
      <c r="C107" s="9" t="s">
        <v>557</v>
      </c>
      <c r="D107" s="10" t="str">
        <f>HYPERLINK("https://facebook.com/367089020688300_554955298568337", "367089020688300_554955298568337")</f>
        <v>367089020688300_554955298568337</v>
      </c>
      <c r="E107" s="11">
        <v>30.0</v>
      </c>
      <c r="F107" s="11">
        <v>0.0</v>
      </c>
      <c r="G107" s="11">
        <v>46.0</v>
      </c>
      <c r="H107" s="9" t="s">
        <v>26</v>
      </c>
      <c r="I107" s="9" t="s">
        <v>558</v>
      </c>
      <c r="J107" s="16" t="s">
        <v>559</v>
      </c>
      <c r="K107" s="9"/>
      <c r="L107" s="9" t="s">
        <v>30</v>
      </c>
      <c r="M107" s="9" t="s">
        <v>31</v>
      </c>
      <c r="N107" s="9" t="s">
        <v>32</v>
      </c>
      <c r="O107" s="12" t="s">
        <v>33</v>
      </c>
      <c r="P107" s="12" t="s">
        <v>34</v>
      </c>
      <c r="Q107" s="9"/>
      <c r="R107" s="18"/>
      <c r="S107" s="18"/>
      <c r="T107" s="18"/>
      <c r="U107" s="18"/>
      <c r="V107" s="18"/>
      <c r="W107" s="15"/>
      <c r="X107" s="15"/>
    </row>
    <row r="108">
      <c r="A108" s="7">
        <v>107.0</v>
      </c>
      <c r="B108" s="8" t="s">
        <v>560</v>
      </c>
      <c r="C108" s="9" t="s">
        <v>561</v>
      </c>
      <c r="D108" s="10" t="str">
        <f>HYPERLINK("https://facebook.com/367089020688300_511664466230754", "367089020688300_511664466230754")</f>
        <v>367089020688300_511664466230754</v>
      </c>
      <c r="E108" s="11">
        <v>7.0</v>
      </c>
      <c r="F108" s="11">
        <v>0.0</v>
      </c>
      <c r="G108" s="11">
        <v>3.0</v>
      </c>
      <c r="H108" s="9" t="s">
        <v>26</v>
      </c>
      <c r="I108" s="9" t="s">
        <v>562</v>
      </c>
      <c r="J108" s="16" t="s">
        <v>563</v>
      </c>
      <c r="K108" s="9"/>
      <c r="L108" s="9" t="s">
        <v>30</v>
      </c>
      <c r="M108" s="9" t="s">
        <v>31</v>
      </c>
      <c r="N108" s="9" t="s">
        <v>32</v>
      </c>
      <c r="O108" s="12" t="s">
        <v>33</v>
      </c>
      <c r="P108" s="12" t="s">
        <v>34</v>
      </c>
      <c r="Q108" s="9"/>
      <c r="R108" s="18"/>
      <c r="S108" s="18"/>
      <c r="T108" s="18"/>
      <c r="U108" s="18"/>
      <c r="V108" s="18"/>
      <c r="W108" s="15"/>
      <c r="X108" s="15"/>
    </row>
    <row r="109">
      <c r="A109" s="7">
        <v>108.0</v>
      </c>
      <c r="B109" s="8" t="s">
        <v>564</v>
      </c>
      <c r="C109" s="9" t="s">
        <v>565</v>
      </c>
      <c r="D109" s="10" t="str">
        <f>HYPERLINK("https://facebook.com/367089020688300_529219897808544", "367089020688300_529219897808544")</f>
        <v>367089020688300_529219897808544</v>
      </c>
      <c r="E109" s="11">
        <v>221.0</v>
      </c>
      <c r="F109" s="11">
        <v>5.0</v>
      </c>
      <c r="G109" s="11">
        <v>264.0</v>
      </c>
      <c r="H109" s="9" t="s">
        <v>26</v>
      </c>
      <c r="I109" s="9" t="s">
        <v>566</v>
      </c>
      <c r="J109" s="9" t="s">
        <v>567</v>
      </c>
      <c r="K109" s="9" t="s">
        <v>568</v>
      </c>
      <c r="L109" s="9" t="s">
        <v>30</v>
      </c>
      <c r="M109" s="9" t="s">
        <v>31</v>
      </c>
      <c r="N109" s="9" t="s">
        <v>32</v>
      </c>
      <c r="O109" s="12" t="s">
        <v>33</v>
      </c>
      <c r="P109" s="12" t="s">
        <v>34</v>
      </c>
      <c r="Q109" s="9"/>
      <c r="R109" s="18"/>
      <c r="S109" s="18"/>
      <c r="T109" s="18"/>
      <c r="U109" s="18"/>
      <c r="V109" s="18"/>
      <c r="W109" s="15"/>
      <c r="X109" s="15"/>
    </row>
    <row r="110">
      <c r="A110" s="7">
        <v>109.0</v>
      </c>
      <c r="B110" s="8" t="s">
        <v>569</v>
      </c>
      <c r="C110" s="9" t="s">
        <v>570</v>
      </c>
      <c r="D110" s="10" t="str">
        <f>HYPERLINK("https://facebook.com/367089020688300_547979302599270", "367089020688300_547979302599270")</f>
        <v>367089020688300_547979302599270</v>
      </c>
      <c r="E110" s="11">
        <v>180.0</v>
      </c>
      <c r="F110" s="11">
        <v>4.0</v>
      </c>
      <c r="G110" s="11">
        <v>70.0</v>
      </c>
      <c r="H110" s="9" t="s">
        <v>26</v>
      </c>
      <c r="I110" s="9" t="s">
        <v>571</v>
      </c>
      <c r="J110" s="16" t="s">
        <v>572</v>
      </c>
      <c r="K110" s="9"/>
      <c r="L110" s="9" t="s">
        <v>30</v>
      </c>
      <c r="M110" s="9" t="s">
        <v>31</v>
      </c>
      <c r="N110" s="9" t="s">
        <v>32</v>
      </c>
      <c r="O110" s="12" t="s">
        <v>33</v>
      </c>
      <c r="P110" s="12" t="s">
        <v>34</v>
      </c>
      <c r="Q110" s="9"/>
      <c r="R110" s="18"/>
      <c r="S110" s="18"/>
      <c r="T110" s="18"/>
      <c r="U110" s="18"/>
      <c r="V110" s="18"/>
      <c r="W110" s="15"/>
      <c r="X110" s="15"/>
    </row>
    <row r="111">
      <c r="A111" s="7">
        <v>110.0</v>
      </c>
      <c r="B111" s="8" t="s">
        <v>573</v>
      </c>
      <c r="C111" s="9" t="s">
        <v>574</v>
      </c>
      <c r="D111" s="10" t="str">
        <f>HYPERLINK("https://facebook.com/367089020688300_554909961906204", "367089020688300_554909961906204")</f>
        <v>367089020688300_554909961906204</v>
      </c>
      <c r="E111" s="11">
        <v>84.0</v>
      </c>
      <c r="F111" s="11">
        <v>0.0</v>
      </c>
      <c r="G111" s="11">
        <v>65.0</v>
      </c>
      <c r="H111" s="9" t="s">
        <v>26</v>
      </c>
      <c r="I111" s="9" t="s">
        <v>575</v>
      </c>
      <c r="J111" s="9" t="s">
        <v>576</v>
      </c>
      <c r="K111" s="9" t="s">
        <v>577</v>
      </c>
      <c r="L111" s="9" t="s">
        <v>30</v>
      </c>
      <c r="M111" s="9" t="s">
        <v>31</v>
      </c>
      <c r="N111" s="9" t="s">
        <v>32</v>
      </c>
      <c r="O111" s="12" t="s">
        <v>33</v>
      </c>
      <c r="P111" s="12" t="s">
        <v>34</v>
      </c>
      <c r="Q111" s="9"/>
      <c r="R111" s="18"/>
      <c r="S111" s="18"/>
      <c r="T111" s="18"/>
      <c r="U111" s="18"/>
      <c r="V111" s="18"/>
      <c r="W111" s="15"/>
      <c r="X111" s="15"/>
    </row>
    <row r="112">
      <c r="A112" s="7">
        <v>111.0</v>
      </c>
      <c r="B112" s="8" t="s">
        <v>578</v>
      </c>
      <c r="C112" s="9" t="s">
        <v>579</v>
      </c>
      <c r="D112" s="10" t="str">
        <f>HYPERLINK("https://facebook.com/367089020688300_452649632132238", "367089020688300_452649632132238")</f>
        <v>367089020688300_452649632132238</v>
      </c>
      <c r="E112" s="11">
        <v>279.0</v>
      </c>
      <c r="F112" s="11">
        <v>19.0</v>
      </c>
      <c r="G112" s="11">
        <v>400.0</v>
      </c>
      <c r="H112" s="9" t="s">
        <v>26</v>
      </c>
      <c r="I112" s="9" t="s">
        <v>580</v>
      </c>
      <c r="J112" s="9" t="s">
        <v>581</v>
      </c>
      <c r="K112" s="9" t="s">
        <v>582</v>
      </c>
      <c r="L112" s="9" t="s">
        <v>30</v>
      </c>
      <c r="M112" s="9" t="s">
        <v>31</v>
      </c>
      <c r="N112" s="9" t="s">
        <v>32</v>
      </c>
      <c r="O112" s="12" t="s">
        <v>33</v>
      </c>
      <c r="P112" s="12" t="s">
        <v>34</v>
      </c>
      <c r="Q112" s="9"/>
      <c r="R112" s="18"/>
      <c r="S112" s="18"/>
      <c r="T112" s="18"/>
      <c r="U112" s="18"/>
      <c r="V112" s="18"/>
      <c r="W112" s="15"/>
      <c r="X112" s="15"/>
    </row>
    <row r="113">
      <c r="A113" s="7">
        <v>112.0</v>
      </c>
      <c r="B113" s="8" t="s">
        <v>583</v>
      </c>
      <c r="C113" s="9" t="s">
        <v>584</v>
      </c>
      <c r="D113" s="10" t="str">
        <f>HYPERLINK("https://facebook.com/367089020688300_542710303126170", "367089020688300_542710303126170")</f>
        <v>367089020688300_542710303126170</v>
      </c>
      <c r="E113" s="11">
        <v>74.0</v>
      </c>
      <c r="F113" s="11">
        <v>2.0</v>
      </c>
      <c r="G113" s="11">
        <v>35.0</v>
      </c>
      <c r="H113" s="9" t="s">
        <v>26</v>
      </c>
      <c r="I113" s="9" t="s">
        <v>585</v>
      </c>
      <c r="J113" s="16" t="s">
        <v>586</v>
      </c>
      <c r="K113" s="9"/>
      <c r="L113" s="9" t="s">
        <v>30</v>
      </c>
      <c r="M113" s="9" t="s">
        <v>31</v>
      </c>
      <c r="N113" s="9" t="s">
        <v>32</v>
      </c>
      <c r="O113" s="12" t="s">
        <v>33</v>
      </c>
      <c r="P113" s="12" t="s">
        <v>34</v>
      </c>
      <c r="Q113" s="9"/>
      <c r="R113" s="18"/>
      <c r="S113" s="18"/>
      <c r="T113" s="18"/>
      <c r="U113" s="18"/>
      <c r="V113" s="18"/>
      <c r="W113" s="15"/>
      <c r="X113" s="15"/>
    </row>
    <row r="114">
      <c r="A114" s="7">
        <v>113.0</v>
      </c>
      <c r="B114" s="8" t="s">
        <v>587</v>
      </c>
      <c r="C114" s="9" t="s">
        <v>588</v>
      </c>
      <c r="D114" s="10" t="str">
        <f>HYPERLINK("https://facebook.com/367089020688300_538975483499652", "367089020688300_538975483499652")</f>
        <v>367089020688300_538975483499652</v>
      </c>
      <c r="E114" s="11">
        <v>223.0</v>
      </c>
      <c r="F114" s="11">
        <v>16.0</v>
      </c>
      <c r="G114" s="11">
        <v>157.0</v>
      </c>
      <c r="H114" s="9" t="s">
        <v>26</v>
      </c>
      <c r="I114" s="9" t="s">
        <v>589</v>
      </c>
      <c r="J114" s="9" t="s">
        <v>590</v>
      </c>
      <c r="K114" s="9" t="s">
        <v>591</v>
      </c>
      <c r="L114" s="9" t="s">
        <v>30</v>
      </c>
      <c r="M114" s="9" t="s">
        <v>31</v>
      </c>
      <c r="N114" s="9" t="s">
        <v>32</v>
      </c>
      <c r="O114" s="12" t="s">
        <v>33</v>
      </c>
      <c r="P114" s="12" t="s">
        <v>34</v>
      </c>
      <c r="Q114" s="9"/>
      <c r="R114" s="18"/>
      <c r="S114" s="18"/>
      <c r="T114" s="18"/>
      <c r="U114" s="18"/>
      <c r="V114" s="18"/>
      <c r="W114" s="15"/>
      <c r="X114" s="15"/>
    </row>
    <row r="115">
      <c r="A115" s="7">
        <v>114.0</v>
      </c>
      <c r="B115" s="8" t="s">
        <v>592</v>
      </c>
      <c r="C115" s="9" t="s">
        <v>593</v>
      </c>
      <c r="D115" s="10" t="str">
        <f>HYPERLINK("https://facebook.com/367089020688300_557501364980397", "367089020688300_557501364980397")</f>
        <v>367089020688300_557501364980397</v>
      </c>
      <c r="E115" s="11">
        <v>16.0</v>
      </c>
      <c r="F115" s="11">
        <v>0.0</v>
      </c>
      <c r="G115" s="11">
        <v>4.0</v>
      </c>
      <c r="H115" s="9" t="s">
        <v>26</v>
      </c>
      <c r="I115" s="9" t="s">
        <v>594</v>
      </c>
      <c r="J115" s="16" t="s">
        <v>595</v>
      </c>
      <c r="K115" s="9"/>
      <c r="L115" s="9" t="s">
        <v>30</v>
      </c>
      <c r="M115" s="9" t="s">
        <v>31</v>
      </c>
      <c r="N115" s="9" t="s">
        <v>32</v>
      </c>
      <c r="O115" s="12" t="s">
        <v>33</v>
      </c>
      <c r="P115" s="12" t="s">
        <v>34</v>
      </c>
      <c r="Q115" s="9"/>
      <c r="R115" s="18"/>
      <c r="S115" s="18"/>
      <c r="T115" s="18"/>
      <c r="U115" s="18"/>
      <c r="V115" s="18"/>
      <c r="W115" s="15"/>
      <c r="X115" s="15"/>
    </row>
    <row r="116">
      <c r="A116" s="7">
        <v>115.0</v>
      </c>
      <c r="B116" s="8" t="s">
        <v>596</v>
      </c>
      <c r="C116" s="9" t="s">
        <v>597</v>
      </c>
      <c r="D116" s="10" t="str">
        <f>HYPERLINK("https://facebook.com/367089020688300_524176878312846", "367089020688300_524176878312846")</f>
        <v>367089020688300_524176878312846</v>
      </c>
      <c r="E116" s="11">
        <v>30.0</v>
      </c>
      <c r="F116" s="11">
        <v>0.0</v>
      </c>
      <c r="G116" s="11">
        <v>32.0</v>
      </c>
      <c r="H116" s="9" t="s">
        <v>26</v>
      </c>
      <c r="I116" s="9" t="s">
        <v>598</v>
      </c>
      <c r="J116" s="16" t="s">
        <v>599</v>
      </c>
      <c r="K116" s="9"/>
      <c r="L116" s="9" t="s">
        <v>30</v>
      </c>
      <c r="M116" s="9" t="s">
        <v>31</v>
      </c>
      <c r="N116" s="9" t="s">
        <v>32</v>
      </c>
      <c r="O116" s="12" t="s">
        <v>33</v>
      </c>
      <c r="P116" s="12" t="s">
        <v>34</v>
      </c>
      <c r="Q116" s="9"/>
      <c r="R116" s="18"/>
      <c r="S116" s="18"/>
      <c r="T116" s="18"/>
      <c r="U116" s="18"/>
      <c r="V116" s="18"/>
      <c r="W116" s="15"/>
      <c r="X116" s="15"/>
    </row>
    <row r="117">
      <c r="A117" s="7">
        <v>116.0</v>
      </c>
      <c r="B117" s="8" t="s">
        <v>600</v>
      </c>
      <c r="C117" s="9" t="s">
        <v>601</v>
      </c>
      <c r="D117" s="10" t="str">
        <f>HYPERLINK("https://facebook.com/367089020688300_556965171700683", "367089020688300_556965171700683")</f>
        <v>367089020688300_556965171700683</v>
      </c>
      <c r="E117" s="11">
        <v>44.0</v>
      </c>
      <c r="F117" s="11">
        <v>2.0</v>
      </c>
      <c r="G117" s="11">
        <v>27.0</v>
      </c>
      <c r="H117" s="9" t="s">
        <v>26</v>
      </c>
      <c r="I117" s="9" t="s">
        <v>602</v>
      </c>
      <c r="J117" s="16" t="s">
        <v>603</v>
      </c>
      <c r="K117" s="9"/>
      <c r="L117" s="9" t="s">
        <v>30</v>
      </c>
      <c r="M117" s="9" t="s">
        <v>31</v>
      </c>
      <c r="N117" s="9" t="s">
        <v>32</v>
      </c>
      <c r="O117" s="12" t="s">
        <v>33</v>
      </c>
      <c r="P117" s="12" t="s">
        <v>34</v>
      </c>
      <c r="Q117" s="9"/>
      <c r="R117" s="18"/>
      <c r="S117" s="18"/>
      <c r="T117" s="18"/>
      <c r="U117" s="18"/>
      <c r="V117" s="18"/>
      <c r="W117" s="15"/>
      <c r="X117" s="15"/>
    </row>
    <row r="118">
      <c r="A118" s="7">
        <v>117.0</v>
      </c>
      <c r="B118" s="8" t="s">
        <v>604</v>
      </c>
      <c r="C118" s="9" t="s">
        <v>605</v>
      </c>
      <c r="D118" s="10" t="str">
        <f>HYPERLINK("https://facebook.com/367089020688300_557716668292200", "367089020688300_557716668292200")</f>
        <v>367089020688300_557716668292200</v>
      </c>
      <c r="E118" s="11">
        <v>4.0</v>
      </c>
      <c r="F118" s="11">
        <v>0.0</v>
      </c>
      <c r="G118" s="11">
        <v>6.0</v>
      </c>
      <c r="H118" s="9" t="s">
        <v>26</v>
      </c>
      <c r="I118" s="9" t="s">
        <v>606</v>
      </c>
      <c r="J118" s="16" t="s">
        <v>607</v>
      </c>
      <c r="K118" s="9"/>
      <c r="L118" s="9" t="s">
        <v>30</v>
      </c>
      <c r="M118" s="9" t="s">
        <v>31</v>
      </c>
      <c r="N118" s="9" t="s">
        <v>32</v>
      </c>
      <c r="O118" s="12" t="s">
        <v>33</v>
      </c>
      <c r="P118" s="12" t="s">
        <v>34</v>
      </c>
      <c r="Q118" s="9"/>
      <c r="R118" s="18"/>
      <c r="S118" s="18"/>
      <c r="T118" s="18"/>
      <c r="U118" s="18"/>
      <c r="V118" s="18"/>
      <c r="W118" s="15"/>
      <c r="X118" s="15"/>
    </row>
    <row r="119">
      <c r="A119" s="7">
        <v>118.0</v>
      </c>
      <c r="B119" s="8" t="s">
        <v>608</v>
      </c>
      <c r="C119" s="9" t="s">
        <v>609</v>
      </c>
      <c r="D119" s="10" t="str">
        <f>HYPERLINK("https://facebook.com/367089020688300_550720018991865", "367089020688300_550720018991865")</f>
        <v>367089020688300_550720018991865</v>
      </c>
      <c r="E119" s="11">
        <v>27.0</v>
      </c>
      <c r="F119" s="11">
        <v>0.0</v>
      </c>
      <c r="G119" s="11">
        <v>15.0</v>
      </c>
      <c r="H119" s="9" t="s">
        <v>26</v>
      </c>
      <c r="I119" s="9" t="s">
        <v>610</v>
      </c>
      <c r="J119" s="16" t="s">
        <v>611</v>
      </c>
      <c r="K119" s="9"/>
      <c r="L119" s="9" t="s">
        <v>30</v>
      </c>
      <c r="M119" s="9" t="s">
        <v>31</v>
      </c>
      <c r="N119" s="9" t="s">
        <v>32</v>
      </c>
      <c r="O119" s="12" t="s">
        <v>33</v>
      </c>
      <c r="P119" s="12" t="s">
        <v>34</v>
      </c>
      <c r="Q119" s="9"/>
      <c r="R119" s="18"/>
      <c r="S119" s="18"/>
      <c r="T119" s="18"/>
      <c r="U119" s="18"/>
      <c r="V119" s="18"/>
      <c r="W119" s="15"/>
      <c r="X119" s="15"/>
    </row>
    <row r="120">
      <c r="A120" s="7">
        <v>119.0</v>
      </c>
      <c r="B120" s="8" t="s">
        <v>612</v>
      </c>
      <c r="C120" s="9" t="s">
        <v>613</v>
      </c>
      <c r="D120" s="10" t="str">
        <f>HYPERLINK("https://facebook.com/367089020688300_385032852227250", "367089020688300_385032852227250")</f>
        <v>367089020688300_385032852227250</v>
      </c>
      <c r="E120" s="11">
        <v>463.0</v>
      </c>
      <c r="F120" s="11">
        <v>28.0</v>
      </c>
      <c r="G120" s="11">
        <v>597.0</v>
      </c>
      <c r="H120" s="9" t="s">
        <v>26</v>
      </c>
      <c r="I120" s="9" t="s">
        <v>614</v>
      </c>
      <c r="J120" s="9" t="s">
        <v>615</v>
      </c>
      <c r="K120" s="9" t="s">
        <v>616</v>
      </c>
      <c r="L120" s="9" t="s">
        <v>30</v>
      </c>
      <c r="M120" s="9" t="s">
        <v>31</v>
      </c>
      <c r="N120" s="9" t="s">
        <v>32</v>
      </c>
      <c r="O120" s="12" t="s">
        <v>33</v>
      </c>
      <c r="P120" s="12" t="s">
        <v>34</v>
      </c>
      <c r="Q120" s="9"/>
      <c r="R120" s="18"/>
      <c r="S120" s="18"/>
      <c r="T120" s="18"/>
      <c r="U120" s="18"/>
      <c r="V120" s="18"/>
      <c r="W120" s="15"/>
      <c r="X120" s="15"/>
    </row>
    <row r="121">
      <c r="A121" s="7">
        <v>120.0</v>
      </c>
      <c r="B121" s="8" t="s">
        <v>617</v>
      </c>
      <c r="C121" s="9" t="s">
        <v>618</v>
      </c>
      <c r="D121" s="10" t="str">
        <f>HYPERLINK("https://facebook.com/367089020688300_398662034197665", "367089020688300_398662034197665")</f>
        <v>367089020688300_398662034197665</v>
      </c>
      <c r="E121" s="11">
        <v>23.0</v>
      </c>
      <c r="F121" s="11">
        <v>1.0</v>
      </c>
      <c r="G121" s="11">
        <v>22.0</v>
      </c>
      <c r="H121" s="9" t="s">
        <v>26</v>
      </c>
      <c r="I121" s="9" t="s">
        <v>619</v>
      </c>
      <c r="J121" s="9" t="s">
        <v>620</v>
      </c>
      <c r="K121" s="9" t="s">
        <v>621</v>
      </c>
      <c r="L121" s="9" t="s">
        <v>30</v>
      </c>
      <c r="M121" s="9" t="s">
        <v>31</v>
      </c>
      <c r="N121" s="9" t="s">
        <v>32</v>
      </c>
      <c r="O121" s="12" t="s">
        <v>33</v>
      </c>
      <c r="P121" s="12" t="s">
        <v>34</v>
      </c>
      <c r="Q121" s="9"/>
      <c r="R121" s="18"/>
      <c r="S121" s="18"/>
      <c r="T121" s="18"/>
      <c r="U121" s="18"/>
      <c r="V121" s="18"/>
      <c r="W121" s="15"/>
      <c r="X121" s="15"/>
    </row>
    <row r="122">
      <c r="A122" s="7">
        <v>121.0</v>
      </c>
      <c r="B122" s="8" t="s">
        <v>622</v>
      </c>
      <c r="C122" s="9" t="s">
        <v>623</v>
      </c>
      <c r="D122" s="10" t="str">
        <f>HYPERLINK("https://facebook.com/367089020688300_561324971264703", "367089020688300_561324971264703")</f>
        <v>367089020688300_561324971264703</v>
      </c>
      <c r="E122" s="11">
        <v>133.0</v>
      </c>
      <c r="F122" s="11">
        <v>4.0</v>
      </c>
      <c r="G122" s="11">
        <v>103.0</v>
      </c>
      <c r="H122" s="9" t="s">
        <v>26</v>
      </c>
      <c r="I122" s="9" t="s">
        <v>624</v>
      </c>
      <c r="J122" s="9" t="s">
        <v>625</v>
      </c>
      <c r="K122" s="9" t="s">
        <v>626</v>
      </c>
      <c r="L122" s="9" t="s">
        <v>30</v>
      </c>
      <c r="M122" s="9" t="s">
        <v>31</v>
      </c>
      <c r="N122" s="9" t="s">
        <v>32</v>
      </c>
      <c r="O122" s="12" t="s">
        <v>33</v>
      </c>
      <c r="P122" s="12" t="s">
        <v>34</v>
      </c>
      <c r="Q122" s="9"/>
      <c r="R122" s="18"/>
      <c r="S122" s="18"/>
      <c r="T122" s="18"/>
      <c r="U122" s="18"/>
      <c r="V122" s="18"/>
      <c r="W122" s="15"/>
      <c r="X122" s="15"/>
    </row>
    <row r="123">
      <c r="A123" s="7">
        <v>122.0</v>
      </c>
      <c r="B123" s="8" t="s">
        <v>627</v>
      </c>
      <c r="C123" s="9" t="s">
        <v>628</v>
      </c>
      <c r="D123" s="10" t="str">
        <f>HYPERLINK("https://facebook.com/367089020688300_544686689595198", "367089020688300_544686689595198")</f>
        <v>367089020688300_544686689595198</v>
      </c>
      <c r="E123" s="11">
        <v>14.0</v>
      </c>
      <c r="F123" s="11">
        <v>0.0</v>
      </c>
      <c r="G123" s="11">
        <v>22.0</v>
      </c>
      <c r="H123" s="9" t="s">
        <v>26</v>
      </c>
      <c r="I123" s="9" t="s">
        <v>629</v>
      </c>
      <c r="J123" s="16" t="s">
        <v>630</v>
      </c>
      <c r="K123" s="9"/>
      <c r="L123" s="9" t="s">
        <v>30</v>
      </c>
      <c r="M123" s="9" t="s">
        <v>31</v>
      </c>
      <c r="N123" s="9" t="s">
        <v>32</v>
      </c>
      <c r="O123" s="12" t="s">
        <v>33</v>
      </c>
      <c r="P123" s="12" t="s">
        <v>34</v>
      </c>
      <c r="Q123" s="9"/>
      <c r="R123" s="18"/>
      <c r="S123" s="18"/>
      <c r="T123" s="18"/>
      <c r="U123" s="18"/>
      <c r="V123" s="18"/>
      <c r="W123" s="15"/>
      <c r="X123" s="15"/>
    </row>
    <row r="124">
      <c r="A124" s="7">
        <v>123.0</v>
      </c>
      <c r="B124" s="8" t="s">
        <v>631</v>
      </c>
      <c r="C124" s="9" t="s">
        <v>632</v>
      </c>
      <c r="D124" s="10" t="str">
        <f>HYPERLINK("https://facebook.com/367089020688300_560295338034333", "367089020688300_560295338034333")</f>
        <v>367089020688300_560295338034333</v>
      </c>
      <c r="E124" s="11">
        <v>92.0</v>
      </c>
      <c r="F124" s="11">
        <v>0.0</v>
      </c>
      <c r="G124" s="11">
        <v>60.0</v>
      </c>
      <c r="H124" s="9" t="s">
        <v>26</v>
      </c>
      <c r="I124" s="9" t="s">
        <v>633</v>
      </c>
      <c r="J124" s="16" t="s">
        <v>634</v>
      </c>
      <c r="K124" s="9"/>
      <c r="L124" s="9" t="s">
        <v>30</v>
      </c>
      <c r="M124" s="9" t="s">
        <v>31</v>
      </c>
      <c r="N124" s="9" t="s">
        <v>32</v>
      </c>
      <c r="O124" s="27" t="s">
        <v>33</v>
      </c>
      <c r="P124" s="12" t="s">
        <v>34</v>
      </c>
      <c r="Q124" s="9"/>
      <c r="R124" s="18"/>
      <c r="S124" s="18"/>
      <c r="T124" s="18"/>
      <c r="U124" s="18"/>
      <c r="V124" s="18"/>
      <c r="W124" s="15"/>
      <c r="X124" s="15"/>
    </row>
    <row r="125">
      <c r="A125" s="7">
        <v>124.0</v>
      </c>
      <c r="B125" s="8" t="s">
        <v>635</v>
      </c>
      <c r="C125" s="9" t="s">
        <v>636</v>
      </c>
      <c r="D125" s="10" t="str">
        <f>HYPERLINK("https://facebook.com/367089020688300_532556677474866", "367089020688300_532556677474866")</f>
        <v>367089020688300_532556677474866</v>
      </c>
      <c r="E125" s="11">
        <v>92.0</v>
      </c>
      <c r="F125" s="11">
        <v>1.0</v>
      </c>
      <c r="G125" s="11">
        <v>156.0</v>
      </c>
      <c r="H125" s="9" t="s">
        <v>26</v>
      </c>
      <c r="I125" s="9" t="s">
        <v>637</v>
      </c>
      <c r="J125" s="9" t="s">
        <v>638</v>
      </c>
      <c r="K125" s="9" t="s">
        <v>639</v>
      </c>
      <c r="L125" s="9" t="s">
        <v>30</v>
      </c>
      <c r="M125" s="9" t="s">
        <v>31</v>
      </c>
      <c r="N125" s="9" t="s">
        <v>32</v>
      </c>
      <c r="O125" s="12" t="s">
        <v>33</v>
      </c>
      <c r="P125" s="12" t="s">
        <v>34</v>
      </c>
      <c r="Q125" s="9"/>
      <c r="R125" s="18"/>
      <c r="S125" s="18"/>
      <c r="T125" s="18"/>
      <c r="U125" s="18"/>
      <c r="V125" s="18"/>
      <c r="W125" s="15"/>
      <c r="X125" s="15"/>
    </row>
    <row r="126">
      <c r="A126" s="7">
        <v>125.0</v>
      </c>
      <c r="B126" s="8" t="s">
        <v>640</v>
      </c>
      <c r="C126" s="9" t="s">
        <v>641</v>
      </c>
      <c r="D126" s="10" t="str">
        <f>HYPERLINK("https://facebook.com/367089020688300_552140248849842", "367089020688300_552140248849842")</f>
        <v>367089020688300_552140248849842</v>
      </c>
      <c r="E126" s="11">
        <v>25.0</v>
      </c>
      <c r="F126" s="11">
        <v>0.0</v>
      </c>
      <c r="G126" s="11">
        <v>11.0</v>
      </c>
      <c r="H126" s="9" t="s">
        <v>26</v>
      </c>
      <c r="I126" s="9" t="s">
        <v>642</v>
      </c>
      <c r="J126" s="9" t="s">
        <v>643</v>
      </c>
      <c r="K126" s="9" t="s">
        <v>644</v>
      </c>
      <c r="L126" s="9" t="s">
        <v>30</v>
      </c>
      <c r="M126" s="9" t="s">
        <v>31</v>
      </c>
      <c r="N126" s="9" t="s">
        <v>32</v>
      </c>
      <c r="O126" s="12" t="s">
        <v>33</v>
      </c>
      <c r="P126" s="12" t="s">
        <v>34</v>
      </c>
      <c r="Q126" s="9"/>
      <c r="R126" s="18"/>
      <c r="S126" s="18"/>
      <c r="T126" s="18"/>
      <c r="U126" s="18"/>
      <c r="V126" s="18"/>
      <c r="W126" s="15"/>
      <c r="X126" s="15"/>
    </row>
    <row r="127">
      <c r="A127" s="7">
        <v>126.0</v>
      </c>
      <c r="B127" s="8" t="s">
        <v>645</v>
      </c>
      <c r="C127" s="9" t="s">
        <v>646</v>
      </c>
      <c r="D127" s="10" t="str">
        <f>HYPERLINK("https://facebook.com/367089020688300_535296337200900", "367089020688300_535296337200900")</f>
        <v>367089020688300_535296337200900</v>
      </c>
      <c r="E127" s="11">
        <v>401.0</v>
      </c>
      <c r="F127" s="11">
        <v>7.0</v>
      </c>
      <c r="G127" s="11">
        <v>381.0</v>
      </c>
      <c r="H127" s="9" t="s">
        <v>26</v>
      </c>
      <c r="I127" s="9" t="s">
        <v>647</v>
      </c>
      <c r="J127" s="9" t="s">
        <v>648</v>
      </c>
      <c r="K127" s="9" t="s">
        <v>649</v>
      </c>
      <c r="L127" s="9" t="s">
        <v>30</v>
      </c>
      <c r="M127" s="9" t="s">
        <v>31</v>
      </c>
      <c r="N127" s="9" t="s">
        <v>32</v>
      </c>
      <c r="O127" s="12" t="s">
        <v>33</v>
      </c>
      <c r="P127" s="12" t="s">
        <v>34</v>
      </c>
      <c r="Q127" s="9"/>
      <c r="R127" s="18"/>
      <c r="S127" s="18"/>
      <c r="T127" s="18"/>
      <c r="U127" s="18"/>
      <c r="V127" s="18"/>
      <c r="W127" s="15"/>
      <c r="X127" s="15"/>
    </row>
    <row r="128">
      <c r="A128" s="7">
        <v>127.0</v>
      </c>
      <c r="B128" s="8" t="s">
        <v>650</v>
      </c>
      <c r="C128" s="9" t="s">
        <v>651</v>
      </c>
      <c r="D128" s="10" t="str">
        <f>HYPERLINK("https://facebook.com/367089020688300_519561365441064", "367089020688300_519561365441064")</f>
        <v>367089020688300_519561365441064</v>
      </c>
      <c r="E128" s="11">
        <v>1157.0</v>
      </c>
      <c r="F128" s="11">
        <v>157.0</v>
      </c>
      <c r="G128" s="11">
        <v>498.0</v>
      </c>
      <c r="H128" s="9" t="s">
        <v>26</v>
      </c>
      <c r="I128" s="9" t="s">
        <v>652</v>
      </c>
      <c r="J128" s="16" t="s">
        <v>653</v>
      </c>
      <c r="K128" s="9"/>
      <c r="L128" s="9" t="s">
        <v>30</v>
      </c>
      <c r="M128" s="9" t="s">
        <v>31</v>
      </c>
      <c r="N128" s="9" t="s">
        <v>32</v>
      </c>
      <c r="O128" s="12" t="s">
        <v>33</v>
      </c>
      <c r="P128" s="12" t="s">
        <v>34</v>
      </c>
      <c r="Q128" s="9"/>
      <c r="R128" s="18"/>
      <c r="S128" s="18"/>
      <c r="T128" s="18"/>
      <c r="U128" s="18"/>
      <c r="V128" s="18"/>
      <c r="W128" s="15"/>
      <c r="X128" s="15"/>
    </row>
    <row r="129">
      <c r="A129" s="7">
        <v>128.0</v>
      </c>
      <c r="B129" s="8" t="s">
        <v>654</v>
      </c>
      <c r="C129" s="9" t="s">
        <v>655</v>
      </c>
      <c r="D129" s="10" t="str">
        <f>HYPERLINK("https://facebook.com/367089020688300_416873802376488", "367089020688300_416873802376488")</f>
        <v>367089020688300_416873802376488</v>
      </c>
      <c r="E129" s="11">
        <v>58.0</v>
      </c>
      <c r="F129" s="11">
        <v>2.0</v>
      </c>
      <c r="G129" s="11">
        <v>102.0</v>
      </c>
      <c r="H129" s="9" t="s">
        <v>26</v>
      </c>
      <c r="I129" s="9" t="s">
        <v>656</v>
      </c>
      <c r="J129" s="9" t="s">
        <v>657</v>
      </c>
      <c r="K129" s="9" t="s">
        <v>658</v>
      </c>
      <c r="L129" s="9" t="s">
        <v>30</v>
      </c>
      <c r="M129" s="9" t="s">
        <v>31</v>
      </c>
      <c r="N129" s="9" t="s">
        <v>32</v>
      </c>
      <c r="O129" s="12" t="s">
        <v>33</v>
      </c>
      <c r="P129" s="12" t="s">
        <v>34</v>
      </c>
      <c r="Q129" s="9"/>
      <c r="R129" s="18"/>
      <c r="S129" s="18"/>
      <c r="T129" s="18"/>
      <c r="U129" s="18"/>
      <c r="V129" s="18"/>
      <c r="W129" s="15"/>
      <c r="X129" s="15"/>
    </row>
    <row r="130">
      <c r="A130" s="7">
        <v>129.0</v>
      </c>
      <c r="B130" s="8" t="s">
        <v>659</v>
      </c>
      <c r="C130" s="9" t="s">
        <v>660</v>
      </c>
      <c r="D130" s="10" t="str">
        <f>HYPERLINK("https://facebook.com/367089020688300_557871314943402", "367089020688300_557871314943402")</f>
        <v>367089020688300_557871314943402</v>
      </c>
      <c r="E130" s="11">
        <v>193.0</v>
      </c>
      <c r="F130" s="11">
        <v>7.0</v>
      </c>
      <c r="G130" s="11">
        <v>361.0</v>
      </c>
      <c r="H130" s="9" t="s">
        <v>26</v>
      </c>
      <c r="I130" s="9" t="s">
        <v>661</v>
      </c>
      <c r="J130" s="9" t="s">
        <v>662</v>
      </c>
      <c r="K130" s="9" t="s">
        <v>663</v>
      </c>
      <c r="L130" s="9" t="s">
        <v>30</v>
      </c>
      <c r="M130" s="9" t="s">
        <v>31</v>
      </c>
      <c r="N130" s="9" t="s">
        <v>32</v>
      </c>
      <c r="O130" s="12" t="s">
        <v>33</v>
      </c>
      <c r="P130" s="12" t="s">
        <v>34</v>
      </c>
      <c r="Q130" s="9"/>
      <c r="R130" s="18"/>
      <c r="S130" s="18"/>
      <c r="T130" s="18"/>
      <c r="U130" s="18"/>
      <c r="V130" s="18"/>
      <c r="W130" s="15"/>
      <c r="X130" s="15"/>
    </row>
    <row r="131">
      <c r="A131" s="7">
        <v>130.0</v>
      </c>
      <c r="B131" s="8" t="s">
        <v>664</v>
      </c>
      <c r="C131" s="9" t="s">
        <v>665</v>
      </c>
      <c r="D131" s="10" t="str">
        <f>HYPERLINK("https://facebook.com/367089020688300_557907961606404", "367089020688300_557907961606404")</f>
        <v>367089020688300_557907961606404</v>
      </c>
      <c r="E131" s="11">
        <v>268.0</v>
      </c>
      <c r="F131" s="11">
        <v>5.0</v>
      </c>
      <c r="G131" s="11">
        <v>302.0</v>
      </c>
      <c r="H131" s="9" t="s">
        <v>26</v>
      </c>
      <c r="I131" s="9" t="s">
        <v>666</v>
      </c>
      <c r="J131" s="16" t="s">
        <v>667</v>
      </c>
      <c r="K131" s="9"/>
      <c r="L131" s="9" t="s">
        <v>30</v>
      </c>
      <c r="M131" s="9" t="s">
        <v>31</v>
      </c>
      <c r="N131" s="9" t="s">
        <v>32</v>
      </c>
      <c r="O131" s="12" t="s">
        <v>33</v>
      </c>
      <c r="P131" s="12" t="s">
        <v>34</v>
      </c>
      <c r="Q131" s="9"/>
      <c r="R131" s="18"/>
      <c r="S131" s="18"/>
      <c r="T131" s="18"/>
      <c r="U131" s="18"/>
      <c r="V131" s="18"/>
      <c r="W131" s="15"/>
      <c r="X131" s="15"/>
    </row>
    <row r="132">
      <c r="A132" s="7">
        <v>131.0</v>
      </c>
      <c r="B132" s="8" t="s">
        <v>668</v>
      </c>
      <c r="C132" s="9" t="s">
        <v>669</v>
      </c>
      <c r="D132" s="10" t="str">
        <f>HYPERLINK("https://facebook.com/367089020688300_544470019616865", "367089020688300_544470019616865")</f>
        <v>367089020688300_544470019616865</v>
      </c>
      <c r="E132" s="11">
        <v>1566.0</v>
      </c>
      <c r="F132" s="11">
        <v>164.0</v>
      </c>
      <c r="G132" s="11">
        <v>444.0</v>
      </c>
      <c r="H132" s="9" t="s">
        <v>26</v>
      </c>
      <c r="I132" s="9" t="s">
        <v>670</v>
      </c>
      <c r="J132" s="16" t="s">
        <v>671</v>
      </c>
      <c r="K132" s="9"/>
      <c r="L132" s="9" t="s">
        <v>30</v>
      </c>
      <c r="M132" s="9" t="s">
        <v>31</v>
      </c>
      <c r="N132" s="9" t="s">
        <v>32</v>
      </c>
      <c r="O132" s="12" t="s">
        <v>33</v>
      </c>
      <c r="P132" s="12" t="s">
        <v>34</v>
      </c>
      <c r="Q132" s="9"/>
      <c r="R132" s="18"/>
      <c r="S132" s="18"/>
      <c r="T132" s="18"/>
      <c r="U132" s="18"/>
      <c r="V132" s="18"/>
      <c r="W132" s="15"/>
      <c r="X132" s="15"/>
    </row>
    <row r="133">
      <c r="A133" s="7">
        <v>132.0</v>
      </c>
      <c r="B133" s="8" t="s">
        <v>672</v>
      </c>
      <c r="C133" s="9" t="s">
        <v>673</v>
      </c>
      <c r="D133" s="10" t="str">
        <f>HYPERLINK("https://facebook.com/367089020688300_557330958330771", "367089020688300_557330958330771")</f>
        <v>367089020688300_557330958330771</v>
      </c>
      <c r="E133" s="11">
        <v>334.0</v>
      </c>
      <c r="F133" s="11">
        <v>4.0</v>
      </c>
      <c r="G133" s="11">
        <v>125.0</v>
      </c>
      <c r="H133" s="9" t="s">
        <v>26</v>
      </c>
      <c r="I133" s="9" t="s">
        <v>674</v>
      </c>
      <c r="J133" s="9" t="s">
        <v>675</v>
      </c>
      <c r="K133" s="9" t="s">
        <v>676</v>
      </c>
      <c r="L133" s="9" t="s">
        <v>30</v>
      </c>
      <c r="M133" s="9" t="s">
        <v>31</v>
      </c>
      <c r="N133" s="9" t="s">
        <v>32</v>
      </c>
      <c r="O133" s="12" t="s">
        <v>33</v>
      </c>
      <c r="P133" s="12" t="s">
        <v>34</v>
      </c>
      <c r="Q133" s="9"/>
      <c r="R133" s="18"/>
      <c r="S133" s="18"/>
      <c r="T133" s="18"/>
      <c r="U133" s="18"/>
      <c r="V133" s="18"/>
      <c r="W133" s="15"/>
      <c r="X133" s="15"/>
    </row>
    <row r="134">
      <c r="A134" s="7">
        <v>133.0</v>
      </c>
      <c r="B134" s="8" t="s">
        <v>677</v>
      </c>
      <c r="C134" s="9" t="s">
        <v>678</v>
      </c>
      <c r="D134" s="10" t="str">
        <f>HYPERLINK("https://facebook.com/367089020688300_500982537298947", "367089020688300_500982537298947")</f>
        <v>367089020688300_500982537298947</v>
      </c>
      <c r="E134" s="11">
        <v>187.0</v>
      </c>
      <c r="F134" s="11">
        <v>1.0</v>
      </c>
      <c r="G134" s="11">
        <v>329.0</v>
      </c>
      <c r="H134" s="9" t="s">
        <v>26</v>
      </c>
      <c r="I134" s="9" t="s">
        <v>679</v>
      </c>
      <c r="J134" s="9" t="s">
        <v>680</v>
      </c>
      <c r="K134" s="9" t="s">
        <v>681</v>
      </c>
      <c r="L134" s="9" t="s">
        <v>30</v>
      </c>
      <c r="M134" s="9" t="s">
        <v>31</v>
      </c>
      <c r="N134" s="9" t="s">
        <v>32</v>
      </c>
      <c r="O134" s="12" t="s">
        <v>33</v>
      </c>
      <c r="P134" s="12" t="s">
        <v>34</v>
      </c>
      <c r="Q134" s="9"/>
      <c r="R134" s="18"/>
      <c r="S134" s="18"/>
      <c r="T134" s="18"/>
      <c r="U134" s="18"/>
      <c r="V134" s="18"/>
      <c r="W134" s="15"/>
      <c r="X134" s="15"/>
    </row>
    <row r="135">
      <c r="A135" s="7">
        <v>134.0</v>
      </c>
      <c r="B135" s="8" t="s">
        <v>682</v>
      </c>
      <c r="C135" s="9" t="s">
        <v>683</v>
      </c>
      <c r="D135" s="10" t="str">
        <f>HYPERLINK("https://facebook.com/367089020688300_525540638176470", "367089020688300_525540638176470")</f>
        <v>367089020688300_525540638176470</v>
      </c>
      <c r="E135" s="11">
        <v>64.0</v>
      </c>
      <c r="F135" s="11">
        <v>0.0</v>
      </c>
      <c r="G135" s="11">
        <v>91.0</v>
      </c>
      <c r="H135" s="9" t="s">
        <v>26</v>
      </c>
      <c r="I135" s="9" t="s">
        <v>684</v>
      </c>
      <c r="J135" s="9" t="s">
        <v>685</v>
      </c>
      <c r="K135" s="9" t="s">
        <v>686</v>
      </c>
      <c r="L135" s="9" t="s">
        <v>30</v>
      </c>
      <c r="M135" s="9" t="s">
        <v>31</v>
      </c>
      <c r="N135" s="9" t="s">
        <v>32</v>
      </c>
      <c r="O135" s="12" t="s">
        <v>33</v>
      </c>
      <c r="P135" s="12" t="s">
        <v>34</v>
      </c>
      <c r="Q135" s="9"/>
      <c r="R135" s="18"/>
      <c r="S135" s="18"/>
      <c r="T135" s="18"/>
      <c r="U135" s="18"/>
      <c r="V135" s="18"/>
      <c r="W135" s="15"/>
      <c r="X135" s="15"/>
    </row>
    <row r="136">
      <c r="A136" s="7">
        <v>135.0</v>
      </c>
      <c r="B136" s="8" t="s">
        <v>687</v>
      </c>
      <c r="C136" s="9" t="s">
        <v>688</v>
      </c>
      <c r="D136" s="10" t="str">
        <f>HYPERLINK("https://facebook.com/367089020688300_524054394991761", "367089020688300_524054394991761")</f>
        <v>367089020688300_524054394991761</v>
      </c>
      <c r="E136" s="11">
        <v>4.0</v>
      </c>
      <c r="F136" s="11">
        <v>0.0</v>
      </c>
      <c r="G136" s="11">
        <v>8.0</v>
      </c>
      <c r="H136" s="9" t="s">
        <v>26</v>
      </c>
      <c r="I136" s="9" t="s">
        <v>689</v>
      </c>
      <c r="J136" s="9" t="s">
        <v>690</v>
      </c>
      <c r="K136" s="9" t="s">
        <v>691</v>
      </c>
      <c r="L136" s="9" t="s">
        <v>30</v>
      </c>
      <c r="M136" s="9" t="s">
        <v>31</v>
      </c>
      <c r="N136" s="9" t="s">
        <v>32</v>
      </c>
      <c r="O136" s="12" t="s">
        <v>33</v>
      </c>
      <c r="P136" s="12" t="s">
        <v>34</v>
      </c>
      <c r="Q136" s="9"/>
      <c r="R136" s="18"/>
      <c r="S136" s="18"/>
      <c r="T136" s="18"/>
      <c r="U136" s="18"/>
      <c r="V136" s="18"/>
      <c r="W136" s="15"/>
      <c r="X136" s="15"/>
    </row>
    <row r="137">
      <c r="A137" s="7">
        <v>136.0</v>
      </c>
      <c r="B137" s="8" t="s">
        <v>692</v>
      </c>
      <c r="C137" s="9" t="s">
        <v>693</v>
      </c>
      <c r="D137" s="10" t="str">
        <f>HYPERLINK("https://facebook.com/367089020688300_532726104124590", "367089020688300_532726104124590")</f>
        <v>367089020688300_532726104124590</v>
      </c>
      <c r="E137" s="11">
        <v>1497.0</v>
      </c>
      <c r="F137" s="11">
        <v>15.0</v>
      </c>
      <c r="G137" s="11">
        <v>600.0</v>
      </c>
      <c r="H137" s="9" t="s">
        <v>26</v>
      </c>
      <c r="I137" s="9" t="s">
        <v>694</v>
      </c>
      <c r="J137" s="16" t="s">
        <v>695</v>
      </c>
      <c r="K137" s="9"/>
      <c r="L137" s="9" t="s">
        <v>30</v>
      </c>
      <c r="M137" s="9" t="s">
        <v>31</v>
      </c>
      <c r="N137" s="9" t="s">
        <v>32</v>
      </c>
      <c r="O137" s="12" t="s">
        <v>33</v>
      </c>
      <c r="P137" s="12" t="s">
        <v>34</v>
      </c>
      <c r="Q137" s="9"/>
      <c r="R137" s="18"/>
      <c r="S137" s="18"/>
      <c r="T137" s="18"/>
      <c r="U137" s="18"/>
      <c r="V137" s="18"/>
      <c r="W137" s="15"/>
      <c r="X137" s="15"/>
    </row>
    <row r="138">
      <c r="A138" s="7">
        <v>137.0</v>
      </c>
      <c r="B138" s="8" t="s">
        <v>696</v>
      </c>
      <c r="C138" s="9" t="s">
        <v>697</v>
      </c>
      <c r="D138" s="10" t="str">
        <f>HYPERLINK("https://facebook.com/367089020688300_533405120723355", "367089020688300_533405120723355")</f>
        <v>367089020688300_533405120723355</v>
      </c>
      <c r="E138" s="11">
        <v>167.0</v>
      </c>
      <c r="F138" s="11">
        <v>14.0</v>
      </c>
      <c r="G138" s="11">
        <v>271.0</v>
      </c>
      <c r="H138" s="9" t="s">
        <v>26</v>
      </c>
      <c r="I138" s="9" t="s">
        <v>698</v>
      </c>
      <c r="J138" s="9" t="s">
        <v>699</v>
      </c>
      <c r="K138" s="9" t="s">
        <v>219</v>
      </c>
      <c r="L138" s="9" t="s">
        <v>30</v>
      </c>
      <c r="M138" s="9" t="s">
        <v>31</v>
      </c>
      <c r="N138" s="9" t="s">
        <v>32</v>
      </c>
      <c r="O138" s="12" t="s">
        <v>33</v>
      </c>
      <c r="P138" s="12" t="s">
        <v>34</v>
      </c>
      <c r="Q138" s="9"/>
      <c r="R138" s="18"/>
      <c r="S138" s="18"/>
      <c r="T138" s="18"/>
      <c r="U138" s="18"/>
      <c r="V138" s="18"/>
      <c r="W138" s="15"/>
      <c r="X138" s="15"/>
    </row>
    <row r="139">
      <c r="A139" s="7">
        <v>138.0</v>
      </c>
      <c r="B139" s="8" t="s">
        <v>700</v>
      </c>
      <c r="C139" s="9" t="s">
        <v>701</v>
      </c>
      <c r="D139" s="10" t="str">
        <f>HYPERLINK("https://facebook.com/367089020688300_540941296636404", "367089020688300_540941296636404")</f>
        <v>367089020688300_540941296636404</v>
      </c>
      <c r="E139" s="11">
        <v>25.0</v>
      </c>
      <c r="F139" s="11">
        <v>0.0</v>
      </c>
      <c r="G139" s="11">
        <v>31.0</v>
      </c>
      <c r="H139" s="9" t="s">
        <v>26</v>
      </c>
      <c r="I139" s="9" t="s">
        <v>702</v>
      </c>
      <c r="J139" s="9" t="s">
        <v>703</v>
      </c>
      <c r="K139" s="9" t="s">
        <v>214</v>
      </c>
      <c r="L139" s="9" t="s">
        <v>30</v>
      </c>
      <c r="M139" s="9" t="s">
        <v>31</v>
      </c>
      <c r="N139" s="9" t="s">
        <v>32</v>
      </c>
      <c r="O139" s="12" t="s">
        <v>33</v>
      </c>
      <c r="P139" s="12" t="s">
        <v>34</v>
      </c>
      <c r="Q139" s="9"/>
      <c r="R139" s="18"/>
      <c r="S139" s="18"/>
      <c r="T139" s="18"/>
      <c r="U139" s="18"/>
      <c r="V139" s="18"/>
      <c r="W139" s="15"/>
      <c r="X139" s="15"/>
    </row>
    <row r="140">
      <c r="A140" s="7">
        <v>139.0</v>
      </c>
      <c r="B140" s="8" t="s">
        <v>704</v>
      </c>
      <c r="C140" s="9" t="s">
        <v>705</v>
      </c>
      <c r="D140" s="10" t="str">
        <f>HYPERLINK("https://facebook.com/367089020688300_519173342146533", "367089020688300_519173342146533")</f>
        <v>367089020688300_519173342146533</v>
      </c>
      <c r="E140" s="11">
        <v>31.0</v>
      </c>
      <c r="F140" s="11">
        <v>0.0</v>
      </c>
      <c r="G140" s="11">
        <v>31.0</v>
      </c>
      <c r="H140" s="9" t="s">
        <v>26</v>
      </c>
      <c r="I140" s="9" t="s">
        <v>706</v>
      </c>
      <c r="J140" s="9" t="s">
        <v>707</v>
      </c>
      <c r="K140" s="9" t="s">
        <v>708</v>
      </c>
      <c r="L140" s="9" t="s">
        <v>30</v>
      </c>
      <c r="M140" s="9" t="s">
        <v>31</v>
      </c>
      <c r="N140" s="9" t="s">
        <v>32</v>
      </c>
      <c r="O140" s="12" t="s">
        <v>33</v>
      </c>
      <c r="P140" s="12" t="s">
        <v>34</v>
      </c>
      <c r="Q140" s="9"/>
      <c r="R140" s="18"/>
      <c r="S140" s="18"/>
      <c r="T140" s="18"/>
      <c r="U140" s="18"/>
      <c r="V140" s="18"/>
      <c r="W140" s="15"/>
      <c r="X140" s="15"/>
    </row>
    <row r="141">
      <c r="A141" s="7">
        <v>140.0</v>
      </c>
      <c r="B141" s="8" t="s">
        <v>709</v>
      </c>
      <c r="C141" s="9" t="s">
        <v>710</v>
      </c>
      <c r="D141" s="10" t="str">
        <f>HYPERLINK("https://facebook.com/367089020688300_543457629718104", "367089020688300_543457629718104")</f>
        <v>367089020688300_543457629718104</v>
      </c>
      <c r="E141" s="11">
        <v>373.0</v>
      </c>
      <c r="F141" s="11">
        <v>3.0</v>
      </c>
      <c r="G141" s="11">
        <v>323.0</v>
      </c>
      <c r="H141" s="9" t="s">
        <v>26</v>
      </c>
      <c r="I141" s="9" t="s">
        <v>711</v>
      </c>
      <c r="J141" s="9" t="s">
        <v>712</v>
      </c>
      <c r="K141" s="9" t="s">
        <v>713</v>
      </c>
      <c r="L141" s="9" t="s">
        <v>30</v>
      </c>
      <c r="M141" s="9" t="s">
        <v>31</v>
      </c>
      <c r="N141" s="9" t="s">
        <v>32</v>
      </c>
      <c r="O141" s="12" t="s">
        <v>33</v>
      </c>
      <c r="P141" s="12" t="s">
        <v>34</v>
      </c>
      <c r="Q141" s="9"/>
      <c r="R141" s="18"/>
      <c r="S141" s="18"/>
      <c r="T141" s="18"/>
      <c r="U141" s="18"/>
      <c r="V141" s="18"/>
      <c r="W141" s="15"/>
      <c r="X141" s="15"/>
    </row>
    <row r="142">
      <c r="A142" s="7">
        <v>141.0</v>
      </c>
      <c r="B142" s="8" t="s">
        <v>714</v>
      </c>
      <c r="C142" s="9" t="s">
        <v>715</v>
      </c>
      <c r="D142" s="10" t="str">
        <f>HYPERLINK("https://facebook.com/367089020688300_514280299302504", "367089020688300_514280299302504")</f>
        <v>367089020688300_514280299302504</v>
      </c>
      <c r="E142" s="11">
        <v>235.0</v>
      </c>
      <c r="F142" s="11">
        <v>6.0</v>
      </c>
      <c r="G142" s="11">
        <v>169.0</v>
      </c>
      <c r="H142" s="9" t="s">
        <v>26</v>
      </c>
      <c r="I142" s="9" t="s">
        <v>716</v>
      </c>
      <c r="J142" s="9" t="s">
        <v>717</v>
      </c>
      <c r="K142" s="9" t="s">
        <v>718</v>
      </c>
      <c r="L142" s="9" t="s">
        <v>30</v>
      </c>
      <c r="M142" s="9" t="s">
        <v>31</v>
      </c>
      <c r="N142" s="9" t="s">
        <v>32</v>
      </c>
      <c r="O142" s="12" t="s">
        <v>33</v>
      </c>
      <c r="P142" s="12" t="s">
        <v>34</v>
      </c>
      <c r="Q142" s="9"/>
      <c r="R142" s="18"/>
      <c r="S142" s="18"/>
      <c r="T142" s="18"/>
      <c r="U142" s="18"/>
      <c r="V142" s="18"/>
      <c r="W142" s="15"/>
      <c r="X142" s="15"/>
    </row>
    <row r="143">
      <c r="A143" s="7">
        <v>142.0</v>
      </c>
      <c r="B143" s="8" t="s">
        <v>719</v>
      </c>
      <c r="C143" s="9" t="s">
        <v>720</v>
      </c>
      <c r="D143" s="10" t="str">
        <f>HYPERLINK("https://facebook.com/367089020688300_448421752555026", "367089020688300_448421752555026")</f>
        <v>367089020688300_448421752555026</v>
      </c>
      <c r="E143" s="11">
        <v>164.0</v>
      </c>
      <c r="F143" s="11">
        <v>3.0</v>
      </c>
      <c r="G143" s="11">
        <v>252.0</v>
      </c>
      <c r="H143" s="9" t="s">
        <v>26</v>
      </c>
      <c r="I143" s="9" t="s">
        <v>721</v>
      </c>
      <c r="J143" s="9" t="s">
        <v>722</v>
      </c>
      <c r="K143" s="9" t="s">
        <v>723</v>
      </c>
      <c r="L143" s="9" t="s">
        <v>30</v>
      </c>
      <c r="M143" s="9" t="s">
        <v>31</v>
      </c>
      <c r="N143" s="9" t="s">
        <v>32</v>
      </c>
      <c r="O143" s="12" t="s">
        <v>33</v>
      </c>
      <c r="P143" s="12" t="s">
        <v>34</v>
      </c>
      <c r="Q143" s="9"/>
      <c r="R143" s="18"/>
      <c r="S143" s="18"/>
      <c r="T143" s="18"/>
      <c r="U143" s="18"/>
      <c r="V143" s="18"/>
      <c r="W143" s="15"/>
      <c r="X143" s="15"/>
    </row>
    <row r="144">
      <c r="A144" s="7">
        <v>143.0</v>
      </c>
      <c r="B144" s="8" t="s">
        <v>724</v>
      </c>
      <c r="C144" s="9" t="s">
        <v>725</v>
      </c>
      <c r="D144" s="10" t="str">
        <f>HYPERLINK("https://facebook.com/367089020688300_553306982066502", "367089020688300_553306982066502")</f>
        <v>367089020688300_553306982066502</v>
      </c>
      <c r="E144" s="11">
        <v>46.0</v>
      </c>
      <c r="F144" s="11">
        <v>0.0</v>
      </c>
      <c r="G144" s="11">
        <v>7.0</v>
      </c>
      <c r="H144" s="9" t="s">
        <v>26</v>
      </c>
      <c r="I144" s="9" t="s">
        <v>726</v>
      </c>
      <c r="J144" s="9" t="s">
        <v>727</v>
      </c>
      <c r="K144" s="9" t="s">
        <v>728</v>
      </c>
      <c r="L144" s="9" t="s">
        <v>30</v>
      </c>
      <c r="M144" s="9" t="s">
        <v>31</v>
      </c>
      <c r="N144" s="9" t="s">
        <v>32</v>
      </c>
      <c r="O144" s="12" t="s">
        <v>33</v>
      </c>
      <c r="P144" s="12" t="s">
        <v>34</v>
      </c>
      <c r="Q144" s="9"/>
      <c r="R144" s="18"/>
      <c r="S144" s="18"/>
      <c r="T144" s="18"/>
      <c r="U144" s="18"/>
      <c r="V144" s="18"/>
      <c r="W144" s="15"/>
      <c r="X144" s="15"/>
    </row>
    <row r="145">
      <c r="A145" s="7">
        <v>144.0</v>
      </c>
      <c r="B145" s="8" t="s">
        <v>729</v>
      </c>
      <c r="C145" s="9" t="s">
        <v>730</v>
      </c>
      <c r="D145" s="10" t="str">
        <f>HYPERLINK("https://facebook.com/367089020688300_552574055473128", "367089020688300_552574055473128")</f>
        <v>367089020688300_552574055473128</v>
      </c>
      <c r="E145" s="11">
        <v>6.0</v>
      </c>
      <c r="F145" s="11">
        <v>0.0</v>
      </c>
      <c r="G145" s="11">
        <v>2.0</v>
      </c>
      <c r="H145" s="9" t="s">
        <v>26</v>
      </c>
      <c r="I145" s="9" t="s">
        <v>731</v>
      </c>
      <c r="J145" s="16" t="s">
        <v>732</v>
      </c>
      <c r="K145" s="9"/>
      <c r="L145" s="9" t="s">
        <v>30</v>
      </c>
      <c r="M145" s="9" t="s">
        <v>31</v>
      </c>
      <c r="N145" s="9" t="s">
        <v>32</v>
      </c>
      <c r="O145" s="12" t="s">
        <v>33</v>
      </c>
      <c r="P145" s="12" t="s">
        <v>34</v>
      </c>
      <c r="Q145" s="9"/>
      <c r="R145" s="18"/>
      <c r="S145" s="18"/>
      <c r="T145" s="18"/>
      <c r="U145" s="18"/>
      <c r="V145" s="18"/>
      <c r="W145" s="15"/>
      <c r="X145" s="15"/>
    </row>
    <row r="146">
      <c r="A146" s="7">
        <v>145.0</v>
      </c>
      <c r="B146" s="8" t="s">
        <v>733</v>
      </c>
      <c r="C146" s="9" t="s">
        <v>734</v>
      </c>
      <c r="D146" s="10" t="str">
        <f>HYPERLINK("https://facebook.com/367089020688300_538280560235811", "367089020688300_538280560235811")</f>
        <v>367089020688300_538280560235811</v>
      </c>
      <c r="E146" s="11">
        <v>632.0</v>
      </c>
      <c r="F146" s="11">
        <v>10.0</v>
      </c>
      <c r="G146" s="11">
        <v>389.0</v>
      </c>
      <c r="H146" s="9" t="s">
        <v>26</v>
      </c>
      <c r="I146" s="9" t="s">
        <v>735</v>
      </c>
      <c r="J146" s="16" t="s">
        <v>736</v>
      </c>
      <c r="K146" s="9"/>
      <c r="L146" s="9" t="s">
        <v>30</v>
      </c>
      <c r="M146" s="9" t="s">
        <v>31</v>
      </c>
      <c r="N146" s="9" t="s">
        <v>32</v>
      </c>
      <c r="O146" s="27" t="s">
        <v>33</v>
      </c>
      <c r="P146" s="12" t="s">
        <v>34</v>
      </c>
      <c r="Q146" s="9"/>
      <c r="R146" s="18"/>
      <c r="S146" s="18"/>
      <c r="T146" s="18"/>
      <c r="U146" s="18"/>
      <c r="V146" s="18"/>
      <c r="W146" s="15"/>
      <c r="X146" s="15"/>
    </row>
    <row r="147">
      <c r="A147" s="7">
        <v>146.0</v>
      </c>
      <c r="B147" s="8" t="s">
        <v>737</v>
      </c>
      <c r="C147" s="9" t="s">
        <v>738</v>
      </c>
      <c r="D147" s="10" t="str">
        <f>HYPERLINK("https://facebook.com/367089020688300_461205254610009", "367089020688300_461205254610009")</f>
        <v>367089020688300_461205254610009</v>
      </c>
      <c r="E147" s="11">
        <v>26.0</v>
      </c>
      <c r="F147" s="11">
        <v>0.0</v>
      </c>
      <c r="G147" s="11">
        <v>28.0</v>
      </c>
      <c r="H147" s="9" t="s">
        <v>26</v>
      </c>
      <c r="I147" s="9" t="s">
        <v>739</v>
      </c>
      <c r="J147" s="9" t="s">
        <v>740</v>
      </c>
      <c r="K147" s="9" t="s">
        <v>219</v>
      </c>
      <c r="L147" s="9" t="s">
        <v>30</v>
      </c>
      <c r="M147" s="9" t="s">
        <v>31</v>
      </c>
      <c r="N147" s="9" t="s">
        <v>32</v>
      </c>
      <c r="O147" s="12" t="s">
        <v>33</v>
      </c>
      <c r="P147" s="12" t="s">
        <v>34</v>
      </c>
      <c r="Q147" s="9"/>
      <c r="R147" s="18"/>
      <c r="S147" s="18"/>
      <c r="T147" s="18"/>
      <c r="U147" s="18"/>
      <c r="V147" s="18"/>
      <c r="W147" s="15"/>
      <c r="X147" s="15"/>
    </row>
    <row r="148">
      <c r="A148" s="7">
        <v>147.0</v>
      </c>
      <c r="B148" s="8" t="s">
        <v>741</v>
      </c>
      <c r="C148" s="9" t="s">
        <v>742</v>
      </c>
      <c r="D148" s="10" t="str">
        <f>HYPERLINK("https://facebook.com/367089020688300_551388595591674", "367089020688300_551388595591674")</f>
        <v>367089020688300_551388595591674</v>
      </c>
      <c r="E148" s="11">
        <v>43.0</v>
      </c>
      <c r="F148" s="11">
        <v>0.0</v>
      </c>
      <c r="G148" s="11">
        <v>41.0</v>
      </c>
      <c r="H148" s="9" t="s">
        <v>26</v>
      </c>
      <c r="I148" s="9" t="s">
        <v>743</v>
      </c>
      <c r="J148" s="16" t="s">
        <v>744</v>
      </c>
      <c r="K148" s="9"/>
      <c r="L148" s="9" t="s">
        <v>30</v>
      </c>
      <c r="M148" s="9" t="s">
        <v>31</v>
      </c>
      <c r="N148" s="9" t="s">
        <v>32</v>
      </c>
      <c r="O148" s="12" t="s">
        <v>33</v>
      </c>
      <c r="P148" s="12" t="s">
        <v>34</v>
      </c>
      <c r="Q148" s="9"/>
      <c r="R148" s="18"/>
      <c r="S148" s="18"/>
      <c r="T148" s="18"/>
      <c r="U148" s="18"/>
      <c r="V148" s="18"/>
      <c r="W148" s="15"/>
      <c r="X148" s="15"/>
    </row>
    <row r="149">
      <c r="A149" s="7">
        <v>148.0</v>
      </c>
      <c r="B149" s="8" t="s">
        <v>745</v>
      </c>
      <c r="C149" s="9" t="s">
        <v>746</v>
      </c>
      <c r="D149" s="10" t="str">
        <f>HYPERLINK("https://facebook.com/367089020688300_546537906076743", "367089020688300_546537906076743")</f>
        <v>367089020688300_546537906076743</v>
      </c>
      <c r="E149" s="11">
        <v>36.0</v>
      </c>
      <c r="F149" s="11">
        <v>0.0</v>
      </c>
      <c r="G149" s="11">
        <v>22.0</v>
      </c>
      <c r="H149" s="9" t="s">
        <v>26</v>
      </c>
      <c r="I149" s="9" t="s">
        <v>747</v>
      </c>
      <c r="J149" s="16" t="s">
        <v>748</v>
      </c>
      <c r="K149" s="9"/>
      <c r="L149" s="9" t="s">
        <v>30</v>
      </c>
      <c r="M149" s="9" t="s">
        <v>31</v>
      </c>
      <c r="N149" s="9" t="s">
        <v>32</v>
      </c>
      <c r="O149" s="12" t="s">
        <v>33</v>
      </c>
      <c r="P149" s="12" t="s">
        <v>34</v>
      </c>
      <c r="Q149" s="9"/>
      <c r="R149" s="18"/>
      <c r="S149" s="18"/>
      <c r="T149" s="18"/>
      <c r="U149" s="18"/>
      <c r="V149" s="18"/>
      <c r="W149" s="15"/>
      <c r="X149" s="15"/>
    </row>
    <row r="150">
      <c r="A150" s="7">
        <v>149.0</v>
      </c>
      <c r="B150" s="8" t="s">
        <v>749</v>
      </c>
      <c r="C150" s="9" t="s">
        <v>750</v>
      </c>
      <c r="D150" s="10" t="str">
        <f>HYPERLINK("https://facebook.com/367089020688300_529119571151910", "367089020688300_529119571151910")</f>
        <v>367089020688300_529119571151910</v>
      </c>
      <c r="E150" s="11">
        <v>648.0</v>
      </c>
      <c r="F150" s="11">
        <v>7.0</v>
      </c>
      <c r="G150" s="11">
        <v>338.0</v>
      </c>
      <c r="H150" s="9" t="s">
        <v>26</v>
      </c>
      <c r="I150" s="9" t="s">
        <v>751</v>
      </c>
      <c r="J150" s="9" t="s">
        <v>752</v>
      </c>
      <c r="K150" s="9" t="s">
        <v>753</v>
      </c>
      <c r="L150" s="9" t="s">
        <v>30</v>
      </c>
      <c r="M150" s="9" t="s">
        <v>31</v>
      </c>
      <c r="N150" s="9" t="s">
        <v>32</v>
      </c>
      <c r="O150" s="12" t="s">
        <v>33</v>
      </c>
      <c r="P150" s="12" t="s">
        <v>34</v>
      </c>
      <c r="Q150" s="9"/>
      <c r="R150" s="18"/>
      <c r="S150" s="18"/>
      <c r="T150" s="18"/>
      <c r="U150" s="18"/>
      <c r="V150" s="18"/>
      <c r="W150" s="15"/>
      <c r="X150" s="15"/>
    </row>
    <row r="151">
      <c r="A151" s="7">
        <v>150.0</v>
      </c>
      <c r="B151" s="8" t="s">
        <v>754</v>
      </c>
      <c r="C151" s="9" t="s">
        <v>755</v>
      </c>
      <c r="D151" s="10" t="str">
        <f>HYPERLINK("https://facebook.com/367089020688300_487866171943917", "367089020688300_487866171943917")</f>
        <v>367089020688300_487866171943917</v>
      </c>
      <c r="E151" s="11">
        <v>2903.0</v>
      </c>
      <c r="F151" s="11">
        <v>49.0</v>
      </c>
      <c r="G151" s="11">
        <v>1290.0</v>
      </c>
      <c r="H151" s="9" t="s">
        <v>26</v>
      </c>
      <c r="I151" s="9" t="s">
        <v>756</v>
      </c>
      <c r="J151" s="9" t="s">
        <v>757</v>
      </c>
      <c r="K151" s="9" t="s">
        <v>758</v>
      </c>
      <c r="L151" s="9" t="s">
        <v>30</v>
      </c>
      <c r="M151" s="9" t="s">
        <v>31</v>
      </c>
      <c r="N151" s="9" t="s">
        <v>32</v>
      </c>
      <c r="O151" s="12" t="s">
        <v>33</v>
      </c>
      <c r="P151" s="12" t="s">
        <v>34</v>
      </c>
      <c r="Q151" s="9"/>
      <c r="R151" s="18"/>
      <c r="S151" s="18"/>
      <c r="T151" s="18"/>
      <c r="U151" s="18"/>
      <c r="V151" s="18"/>
      <c r="W151" s="15"/>
      <c r="X151" s="15"/>
    </row>
    <row r="152">
      <c r="A152" s="7">
        <v>151.0</v>
      </c>
      <c r="B152" s="8" t="s">
        <v>759</v>
      </c>
      <c r="C152" s="9" t="s">
        <v>760</v>
      </c>
      <c r="D152" s="10" t="str">
        <f>HYPERLINK("https://facebook.com/367089020688300_528758141188053", "367089020688300_528758141188053")</f>
        <v>367089020688300_528758141188053</v>
      </c>
      <c r="E152" s="11">
        <v>30.0</v>
      </c>
      <c r="F152" s="11">
        <v>0.0</v>
      </c>
      <c r="G152" s="11">
        <v>16.0</v>
      </c>
      <c r="H152" s="9" t="s">
        <v>26</v>
      </c>
      <c r="I152" s="9" t="s">
        <v>761</v>
      </c>
      <c r="J152" s="9" t="s">
        <v>762</v>
      </c>
      <c r="K152" s="9" t="s">
        <v>763</v>
      </c>
      <c r="L152" s="9" t="s">
        <v>30</v>
      </c>
      <c r="M152" s="9" t="s">
        <v>31</v>
      </c>
      <c r="N152" s="9" t="s">
        <v>32</v>
      </c>
      <c r="O152" s="12" t="s">
        <v>33</v>
      </c>
      <c r="P152" s="12" t="s">
        <v>34</v>
      </c>
      <c r="Q152" s="9"/>
      <c r="R152" s="18"/>
      <c r="S152" s="18"/>
      <c r="T152" s="18"/>
      <c r="U152" s="18"/>
      <c r="V152" s="18"/>
      <c r="W152" s="15"/>
      <c r="X152" s="15"/>
    </row>
    <row r="153">
      <c r="A153" s="7">
        <v>152.0</v>
      </c>
      <c r="B153" s="8" t="s">
        <v>764</v>
      </c>
      <c r="C153" s="9" t="s">
        <v>765</v>
      </c>
      <c r="D153" s="10" t="str">
        <f>HYPERLINK("https://facebook.com/367089020688300_424582048272330", "367089020688300_424582048272330")</f>
        <v>367089020688300_424582048272330</v>
      </c>
      <c r="E153" s="11">
        <v>1104.0</v>
      </c>
      <c r="F153" s="11">
        <v>22.0</v>
      </c>
      <c r="G153" s="11">
        <v>868.0</v>
      </c>
      <c r="H153" s="9" t="s">
        <v>26</v>
      </c>
      <c r="I153" s="9" t="s">
        <v>766</v>
      </c>
      <c r="J153" s="9" t="s">
        <v>767</v>
      </c>
      <c r="K153" s="9" t="s">
        <v>663</v>
      </c>
      <c r="L153" s="9" t="s">
        <v>30</v>
      </c>
      <c r="M153" s="9" t="s">
        <v>31</v>
      </c>
      <c r="N153" s="9" t="s">
        <v>32</v>
      </c>
      <c r="O153" s="12" t="s">
        <v>33</v>
      </c>
      <c r="P153" s="12" t="s">
        <v>34</v>
      </c>
      <c r="Q153" s="9"/>
      <c r="R153" s="18"/>
      <c r="S153" s="18"/>
      <c r="T153" s="18"/>
      <c r="U153" s="18"/>
      <c r="V153" s="18"/>
      <c r="W153" s="15"/>
      <c r="X153" s="15"/>
    </row>
    <row r="154">
      <c r="A154" s="7">
        <v>153.0</v>
      </c>
      <c r="B154" s="8" t="s">
        <v>768</v>
      </c>
      <c r="C154" s="9" t="s">
        <v>769</v>
      </c>
      <c r="D154" s="10" t="str">
        <f>HYPERLINK("https://facebook.com/367089020688300_505948086802392", "367089020688300_505948086802392")</f>
        <v>367089020688300_505948086802392</v>
      </c>
      <c r="E154" s="11">
        <v>349.0</v>
      </c>
      <c r="F154" s="11">
        <v>11.0</v>
      </c>
      <c r="G154" s="11">
        <v>407.0</v>
      </c>
      <c r="H154" s="9" t="s">
        <v>26</v>
      </c>
      <c r="I154" s="9" t="s">
        <v>770</v>
      </c>
      <c r="J154" s="16" t="s">
        <v>771</v>
      </c>
      <c r="K154" s="9"/>
      <c r="L154" s="9" t="s">
        <v>30</v>
      </c>
      <c r="M154" s="9" t="s">
        <v>31</v>
      </c>
      <c r="N154" s="9" t="s">
        <v>32</v>
      </c>
      <c r="O154" s="12" t="s">
        <v>33</v>
      </c>
      <c r="P154" s="12" t="s">
        <v>34</v>
      </c>
      <c r="Q154" s="9"/>
      <c r="R154" s="18"/>
      <c r="S154" s="18"/>
      <c r="T154" s="18"/>
      <c r="U154" s="18"/>
      <c r="V154" s="18"/>
      <c r="W154" s="15"/>
      <c r="X154" s="15"/>
    </row>
    <row r="155">
      <c r="A155" s="7">
        <v>154.0</v>
      </c>
      <c r="B155" s="8" t="s">
        <v>772</v>
      </c>
      <c r="C155" s="9" t="s">
        <v>773</v>
      </c>
      <c r="D155" s="10" t="str">
        <f>HYPERLINK("https://facebook.com/367089020688300_558829598180907", "367089020688300_558829598180907")</f>
        <v>367089020688300_558829598180907</v>
      </c>
      <c r="E155" s="11">
        <v>147.0</v>
      </c>
      <c r="F155" s="11">
        <v>3.0</v>
      </c>
      <c r="G155" s="11">
        <v>116.0</v>
      </c>
      <c r="H155" s="9" t="s">
        <v>26</v>
      </c>
      <c r="I155" s="9" t="s">
        <v>774</v>
      </c>
      <c r="J155" s="16" t="s">
        <v>775</v>
      </c>
      <c r="K155" s="9"/>
      <c r="L155" s="9" t="s">
        <v>30</v>
      </c>
      <c r="M155" s="9" t="s">
        <v>31</v>
      </c>
      <c r="N155" s="9" t="s">
        <v>32</v>
      </c>
      <c r="O155" s="12" t="s">
        <v>33</v>
      </c>
      <c r="P155" s="12" t="s">
        <v>34</v>
      </c>
      <c r="Q155" s="9"/>
      <c r="R155" s="18"/>
      <c r="S155" s="18"/>
      <c r="T155" s="18"/>
      <c r="U155" s="18"/>
      <c r="V155" s="18"/>
      <c r="W155" s="15"/>
      <c r="X155" s="15"/>
    </row>
    <row r="156">
      <c r="A156" s="7">
        <v>155.0</v>
      </c>
      <c r="B156" s="8" t="s">
        <v>776</v>
      </c>
      <c r="C156" s="9" t="s">
        <v>777</v>
      </c>
      <c r="D156" s="10" t="str">
        <f>HYPERLINK("https://facebook.com/367089020688300_506795536717647", "367089020688300_506795536717647")</f>
        <v>367089020688300_506795536717647</v>
      </c>
      <c r="E156" s="11">
        <v>227.0</v>
      </c>
      <c r="F156" s="11">
        <v>8.0</v>
      </c>
      <c r="G156" s="11">
        <v>283.0</v>
      </c>
      <c r="H156" s="9" t="s">
        <v>26</v>
      </c>
      <c r="I156" s="9" t="s">
        <v>778</v>
      </c>
      <c r="J156" s="9" t="s">
        <v>779</v>
      </c>
      <c r="K156" s="9" t="s">
        <v>780</v>
      </c>
      <c r="L156" s="9" t="s">
        <v>30</v>
      </c>
      <c r="M156" s="9" t="s">
        <v>31</v>
      </c>
      <c r="N156" s="9" t="s">
        <v>32</v>
      </c>
      <c r="O156" s="12" t="s">
        <v>33</v>
      </c>
      <c r="P156" s="12" t="s">
        <v>34</v>
      </c>
      <c r="Q156" s="9"/>
      <c r="R156" s="18"/>
      <c r="S156" s="18"/>
      <c r="T156" s="18"/>
      <c r="U156" s="18"/>
      <c r="V156" s="18"/>
      <c r="W156" s="15"/>
      <c r="X156" s="15"/>
    </row>
    <row r="157">
      <c r="A157" s="7">
        <v>156.0</v>
      </c>
      <c r="B157" s="8" t="s">
        <v>781</v>
      </c>
      <c r="C157" s="9" t="s">
        <v>782</v>
      </c>
      <c r="D157" s="10" t="str">
        <f>HYPERLINK("https://facebook.com/367089020688300_560267958037071", "367089020688300_560267958037071")</f>
        <v>367089020688300_560267958037071</v>
      </c>
      <c r="E157" s="11">
        <v>47.0</v>
      </c>
      <c r="F157" s="11">
        <v>0.0</v>
      </c>
      <c r="G157" s="11">
        <v>9.0</v>
      </c>
      <c r="H157" s="9" t="s">
        <v>26</v>
      </c>
      <c r="I157" s="9" t="s">
        <v>783</v>
      </c>
      <c r="J157" s="16" t="s">
        <v>784</v>
      </c>
      <c r="K157" s="9"/>
      <c r="L157" s="9" t="s">
        <v>30</v>
      </c>
      <c r="M157" s="9" t="s">
        <v>31</v>
      </c>
      <c r="N157" s="9" t="s">
        <v>32</v>
      </c>
      <c r="O157" s="12" t="s">
        <v>33</v>
      </c>
      <c r="P157" s="12" t="s">
        <v>34</v>
      </c>
      <c r="Q157" s="9"/>
      <c r="R157" s="18"/>
      <c r="S157" s="18"/>
      <c r="T157" s="18"/>
      <c r="U157" s="18"/>
      <c r="V157" s="18"/>
      <c r="W157" s="15"/>
      <c r="X157" s="15"/>
    </row>
    <row r="158">
      <c r="A158" s="7">
        <v>157.0</v>
      </c>
      <c r="B158" s="8" t="s">
        <v>785</v>
      </c>
      <c r="C158" s="9" t="s">
        <v>786</v>
      </c>
      <c r="D158" s="10" t="str">
        <f>HYPERLINK("https://facebook.com/367089020688300_557916874938846", "367089020688300_557916874938846")</f>
        <v>367089020688300_557916874938846</v>
      </c>
      <c r="E158" s="11">
        <v>95.0</v>
      </c>
      <c r="F158" s="11">
        <v>0.0</v>
      </c>
      <c r="G158" s="11">
        <v>59.0</v>
      </c>
      <c r="H158" s="9" t="s">
        <v>26</v>
      </c>
      <c r="I158" s="9" t="s">
        <v>787</v>
      </c>
      <c r="J158" s="9" t="s">
        <v>788</v>
      </c>
      <c r="K158" s="9" t="s">
        <v>789</v>
      </c>
      <c r="L158" s="9" t="s">
        <v>30</v>
      </c>
      <c r="M158" s="9" t="s">
        <v>31</v>
      </c>
      <c r="N158" s="9" t="s">
        <v>32</v>
      </c>
      <c r="O158" s="12" t="s">
        <v>33</v>
      </c>
      <c r="P158" s="12" t="s">
        <v>34</v>
      </c>
      <c r="Q158" s="9"/>
      <c r="R158" s="18"/>
      <c r="S158" s="18"/>
      <c r="T158" s="18"/>
      <c r="U158" s="18"/>
      <c r="V158" s="18"/>
      <c r="W158" s="15"/>
      <c r="X158" s="15"/>
    </row>
    <row r="159">
      <c r="A159" s="7">
        <v>158.0</v>
      </c>
      <c r="B159" s="8" t="s">
        <v>790</v>
      </c>
      <c r="C159" s="9" t="s">
        <v>791</v>
      </c>
      <c r="D159" s="10" t="str">
        <f>HYPERLINK("https://facebook.com/367089020688300_435903230473545", "367089020688300_435903230473545")</f>
        <v>367089020688300_435903230473545</v>
      </c>
      <c r="E159" s="11">
        <v>590.0</v>
      </c>
      <c r="F159" s="11">
        <v>27.0</v>
      </c>
      <c r="G159" s="11">
        <v>187.0</v>
      </c>
      <c r="H159" s="9" t="s">
        <v>26</v>
      </c>
      <c r="I159" s="9" t="s">
        <v>792</v>
      </c>
      <c r="J159" s="9" t="s">
        <v>793</v>
      </c>
      <c r="K159" s="9" t="s">
        <v>794</v>
      </c>
      <c r="L159" s="9" t="s">
        <v>30</v>
      </c>
      <c r="M159" s="9" t="s">
        <v>31</v>
      </c>
      <c r="N159" s="9" t="s">
        <v>32</v>
      </c>
      <c r="O159" s="12" t="s">
        <v>33</v>
      </c>
      <c r="P159" s="12" t="s">
        <v>34</v>
      </c>
      <c r="Q159" s="9"/>
      <c r="R159" s="18"/>
      <c r="S159" s="18"/>
      <c r="T159" s="18"/>
      <c r="U159" s="18"/>
      <c r="V159" s="18"/>
      <c r="W159" s="15"/>
      <c r="X159" s="15"/>
    </row>
    <row r="160">
      <c r="A160" s="7">
        <v>159.0</v>
      </c>
      <c r="B160" s="8" t="s">
        <v>795</v>
      </c>
      <c r="C160" s="9" t="s">
        <v>796</v>
      </c>
      <c r="D160" s="10" t="str">
        <f>HYPERLINK("https://facebook.com/367089020688300_553180765412457", "367089020688300_553180765412457")</f>
        <v>367089020688300_553180765412457</v>
      </c>
      <c r="E160" s="11">
        <v>21.0</v>
      </c>
      <c r="F160" s="11">
        <v>0.0</v>
      </c>
      <c r="G160" s="11">
        <v>10.0</v>
      </c>
      <c r="H160" s="9" t="s">
        <v>26</v>
      </c>
      <c r="I160" s="9" t="s">
        <v>132</v>
      </c>
      <c r="J160" s="16" t="s">
        <v>492</v>
      </c>
      <c r="K160" s="9"/>
      <c r="L160" s="9" t="s">
        <v>30</v>
      </c>
      <c r="M160" s="9" t="s">
        <v>31</v>
      </c>
      <c r="N160" s="9" t="s">
        <v>32</v>
      </c>
      <c r="O160" s="12" t="s">
        <v>33</v>
      </c>
      <c r="P160" s="12" t="s">
        <v>34</v>
      </c>
      <c r="Q160" s="9"/>
      <c r="R160" s="18"/>
      <c r="S160" s="18"/>
      <c r="T160" s="18"/>
      <c r="U160" s="18"/>
      <c r="V160" s="18"/>
      <c r="W160" s="15"/>
      <c r="X160" s="15"/>
    </row>
    <row r="161">
      <c r="A161" s="7">
        <v>160.0</v>
      </c>
      <c r="B161" s="8" t="s">
        <v>797</v>
      </c>
      <c r="C161" s="9" t="s">
        <v>798</v>
      </c>
      <c r="D161" s="10" t="str">
        <f>HYPERLINK("https://facebook.com/367089020688300_558297534900780", "367089020688300_558297534900780")</f>
        <v>367089020688300_558297534900780</v>
      </c>
      <c r="E161" s="11">
        <v>269.0</v>
      </c>
      <c r="F161" s="11">
        <v>2.0</v>
      </c>
      <c r="G161" s="11">
        <v>109.0</v>
      </c>
      <c r="H161" s="9" t="s">
        <v>26</v>
      </c>
      <c r="I161" s="9" t="s">
        <v>270</v>
      </c>
      <c r="J161" s="9" t="s">
        <v>799</v>
      </c>
      <c r="K161" s="9" t="s">
        <v>800</v>
      </c>
      <c r="L161" s="9" t="s">
        <v>30</v>
      </c>
      <c r="M161" s="9" t="s">
        <v>31</v>
      </c>
      <c r="N161" s="9" t="s">
        <v>32</v>
      </c>
      <c r="O161" s="12" t="s">
        <v>33</v>
      </c>
      <c r="P161" s="12" t="s">
        <v>34</v>
      </c>
      <c r="Q161" s="9"/>
      <c r="R161" s="18"/>
      <c r="S161" s="18"/>
      <c r="T161" s="18"/>
      <c r="U161" s="18"/>
      <c r="V161" s="18"/>
      <c r="W161" s="15"/>
      <c r="X161" s="15"/>
    </row>
    <row r="162">
      <c r="A162" s="7">
        <v>161.0</v>
      </c>
      <c r="B162" s="8" t="s">
        <v>801</v>
      </c>
      <c r="C162" s="9" t="s">
        <v>802</v>
      </c>
      <c r="D162" s="10" t="str">
        <f>HYPERLINK("https://facebook.com/367089020688300_455533541843847", "367089020688300_455533541843847")</f>
        <v>367089020688300_455533541843847</v>
      </c>
      <c r="E162" s="11">
        <v>2917.0</v>
      </c>
      <c r="F162" s="11">
        <v>138.0</v>
      </c>
      <c r="G162" s="11">
        <v>1863.0</v>
      </c>
      <c r="H162" s="9" t="s">
        <v>26</v>
      </c>
      <c r="I162" s="9" t="s">
        <v>803</v>
      </c>
      <c r="J162" s="9" t="s">
        <v>804</v>
      </c>
      <c r="K162" s="9" t="s">
        <v>254</v>
      </c>
      <c r="L162" s="9" t="s">
        <v>30</v>
      </c>
      <c r="M162" s="9" t="s">
        <v>31</v>
      </c>
      <c r="N162" s="9" t="s">
        <v>32</v>
      </c>
      <c r="O162" s="12" t="s">
        <v>33</v>
      </c>
      <c r="P162" s="12" t="s">
        <v>34</v>
      </c>
      <c r="Q162" s="9"/>
      <c r="R162" s="18"/>
      <c r="S162" s="18"/>
      <c r="T162" s="18"/>
      <c r="U162" s="18"/>
      <c r="V162" s="18"/>
      <c r="W162" s="15"/>
      <c r="X162" s="15"/>
    </row>
    <row r="163">
      <c r="A163" s="7">
        <v>162.0</v>
      </c>
      <c r="B163" s="8" t="s">
        <v>805</v>
      </c>
      <c r="C163" s="9" t="s">
        <v>806</v>
      </c>
      <c r="D163" s="10" t="str">
        <f>HYPERLINK("https://facebook.com/367089020688300_553077248756142", "367089020688300_553077248756142")</f>
        <v>367089020688300_553077248756142</v>
      </c>
      <c r="E163" s="11">
        <v>38.0</v>
      </c>
      <c r="F163" s="11">
        <v>0.0</v>
      </c>
      <c r="G163" s="11">
        <v>26.0</v>
      </c>
      <c r="H163" s="9" t="s">
        <v>26</v>
      </c>
      <c r="I163" s="9" t="s">
        <v>807</v>
      </c>
      <c r="J163" s="16" t="s">
        <v>808</v>
      </c>
      <c r="K163" s="9"/>
      <c r="L163" s="9" t="s">
        <v>30</v>
      </c>
      <c r="M163" s="9" t="s">
        <v>31</v>
      </c>
      <c r="N163" s="9" t="s">
        <v>32</v>
      </c>
      <c r="O163" s="12" t="s">
        <v>33</v>
      </c>
      <c r="P163" s="12" t="s">
        <v>34</v>
      </c>
      <c r="Q163" s="9"/>
      <c r="R163" s="18"/>
      <c r="S163" s="18"/>
      <c r="T163" s="18"/>
      <c r="U163" s="18"/>
      <c r="V163" s="18"/>
      <c r="W163" s="15"/>
      <c r="X163" s="15"/>
    </row>
    <row r="164">
      <c r="A164" s="7">
        <v>163.0</v>
      </c>
      <c r="B164" s="8" t="s">
        <v>809</v>
      </c>
      <c r="C164" s="9" t="s">
        <v>810</v>
      </c>
      <c r="D164" s="10" t="str">
        <f>HYPERLINK("https://facebook.com/367089020688300_534462463950954", "367089020688300_534462463950954")</f>
        <v>367089020688300_534462463950954</v>
      </c>
      <c r="E164" s="11">
        <v>235.0</v>
      </c>
      <c r="F164" s="11">
        <v>1.0</v>
      </c>
      <c r="G164" s="11">
        <v>213.0</v>
      </c>
      <c r="H164" s="9" t="s">
        <v>26</v>
      </c>
      <c r="I164" s="9" t="s">
        <v>811</v>
      </c>
      <c r="J164" s="9" t="s">
        <v>812</v>
      </c>
      <c r="K164" s="9" t="s">
        <v>813</v>
      </c>
      <c r="L164" s="9" t="s">
        <v>30</v>
      </c>
      <c r="M164" s="9" t="s">
        <v>31</v>
      </c>
      <c r="N164" s="9" t="s">
        <v>32</v>
      </c>
      <c r="O164" s="12" t="s">
        <v>33</v>
      </c>
      <c r="P164" s="12" t="s">
        <v>34</v>
      </c>
      <c r="Q164" s="9"/>
      <c r="R164" s="18"/>
      <c r="S164" s="18"/>
      <c r="T164" s="18"/>
      <c r="U164" s="18"/>
      <c r="V164" s="18"/>
      <c r="W164" s="15"/>
      <c r="X164" s="15"/>
    </row>
    <row r="165">
      <c r="A165" s="7">
        <v>164.0</v>
      </c>
      <c r="B165" s="8" t="s">
        <v>814</v>
      </c>
      <c r="C165" s="9" t="s">
        <v>815</v>
      </c>
      <c r="D165" s="10" t="str">
        <f>HYPERLINK("https://facebook.com/367089020688300_507799756617225", "367089020688300_507799756617225")</f>
        <v>367089020688300_507799756617225</v>
      </c>
      <c r="E165" s="11">
        <v>9.0</v>
      </c>
      <c r="F165" s="11">
        <v>0.0</v>
      </c>
      <c r="G165" s="11">
        <v>7.0</v>
      </c>
      <c r="H165" s="9" t="s">
        <v>26</v>
      </c>
      <c r="I165" s="9" t="s">
        <v>816</v>
      </c>
      <c r="J165" s="9" t="s">
        <v>817</v>
      </c>
      <c r="K165" s="9" t="s">
        <v>818</v>
      </c>
      <c r="L165" s="9" t="s">
        <v>30</v>
      </c>
      <c r="M165" s="9" t="s">
        <v>31</v>
      </c>
      <c r="N165" s="9" t="s">
        <v>32</v>
      </c>
      <c r="O165" s="12" t="s">
        <v>33</v>
      </c>
      <c r="P165" s="12" t="s">
        <v>34</v>
      </c>
      <c r="Q165" s="9"/>
      <c r="R165" s="18"/>
      <c r="S165" s="18"/>
      <c r="T165" s="18"/>
      <c r="U165" s="18"/>
      <c r="V165" s="18"/>
      <c r="W165" s="15"/>
      <c r="X165" s="15"/>
    </row>
    <row r="166">
      <c r="A166" s="7">
        <v>165.0</v>
      </c>
      <c r="B166" s="8" t="s">
        <v>819</v>
      </c>
      <c r="C166" s="9" t="s">
        <v>820</v>
      </c>
      <c r="D166" s="10" t="str">
        <f>HYPERLINK("https://facebook.com/367089020688300_538517420212125", "367089020688300_538517420212125")</f>
        <v>367089020688300_538517420212125</v>
      </c>
      <c r="E166" s="11">
        <v>8.0</v>
      </c>
      <c r="F166" s="11">
        <v>0.0</v>
      </c>
      <c r="G166" s="11">
        <v>7.0</v>
      </c>
      <c r="H166" s="9" t="s">
        <v>26</v>
      </c>
      <c r="I166" s="9" t="s">
        <v>821</v>
      </c>
      <c r="J166" s="16" t="s">
        <v>822</v>
      </c>
      <c r="K166" s="9"/>
      <c r="L166" s="9" t="s">
        <v>30</v>
      </c>
      <c r="M166" s="9" t="s">
        <v>31</v>
      </c>
      <c r="N166" s="9" t="s">
        <v>32</v>
      </c>
      <c r="O166" s="12" t="s">
        <v>33</v>
      </c>
      <c r="P166" s="12" t="s">
        <v>34</v>
      </c>
      <c r="Q166" s="9"/>
      <c r="R166" s="18"/>
      <c r="S166" s="18"/>
      <c r="T166" s="18"/>
      <c r="U166" s="18"/>
      <c r="V166" s="18"/>
      <c r="W166" s="15"/>
      <c r="X166" s="15"/>
    </row>
    <row r="167">
      <c r="A167" s="7">
        <v>166.0</v>
      </c>
      <c r="B167" s="8" t="s">
        <v>823</v>
      </c>
      <c r="C167" s="9" t="s">
        <v>824</v>
      </c>
      <c r="D167" s="10" t="str">
        <f>HYPERLINK("https://facebook.com/367089020688300_404284140302121", "367089020688300_404284140302121")</f>
        <v>367089020688300_404284140302121</v>
      </c>
      <c r="E167" s="11">
        <v>1006.0</v>
      </c>
      <c r="F167" s="11">
        <v>35.0</v>
      </c>
      <c r="G167" s="11">
        <v>574.0</v>
      </c>
      <c r="H167" s="9" t="s">
        <v>26</v>
      </c>
      <c r="I167" s="9" t="s">
        <v>825</v>
      </c>
      <c r="J167" s="9" t="s">
        <v>826</v>
      </c>
      <c r="K167" s="9" t="s">
        <v>827</v>
      </c>
      <c r="L167" s="9" t="s">
        <v>30</v>
      </c>
      <c r="M167" s="9" t="s">
        <v>31</v>
      </c>
      <c r="N167" s="9" t="s">
        <v>32</v>
      </c>
      <c r="O167" s="12" t="s">
        <v>33</v>
      </c>
      <c r="P167" s="12" t="s">
        <v>34</v>
      </c>
      <c r="Q167" s="9"/>
      <c r="R167" s="18"/>
      <c r="S167" s="18"/>
      <c r="T167" s="18"/>
      <c r="U167" s="18"/>
      <c r="V167" s="18"/>
      <c r="W167" s="15"/>
      <c r="X167" s="15"/>
    </row>
    <row r="168">
      <c r="A168" s="7">
        <v>167.0</v>
      </c>
      <c r="B168" s="8" t="s">
        <v>828</v>
      </c>
      <c r="C168" s="9" t="s">
        <v>829</v>
      </c>
      <c r="D168" s="10" t="str">
        <f>HYPERLINK("https://facebook.com/367089020688300_537470186983515", "367089020688300_537470186983515")</f>
        <v>367089020688300_537470186983515</v>
      </c>
      <c r="E168" s="11">
        <v>2.0</v>
      </c>
      <c r="F168" s="11">
        <v>0.0</v>
      </c>
      <c r="G168" s="11">
        <v>2.0</v>
      </c>
      <c r="H168" s="9" t="s">
        <v>26</v>
      </c>
      <c r="I168" s="9" t="s">
        <v>830</v>
      </c>
      <c r="J168" s="9" t="s">
        <v>831</v>
      </c>
      <c r="K168" s="9" t="s">
        <v>832</v>
      </c>
      <c r="L168" s="9" t="s">
        <v>30</v>
      </c>
      <c r="M168" s="9" t="s">
        <v>31</v>
      </c>
      <c r="N168" s="9" t="s">
        <v>32</v>
      </c>
      <c r="O168" s="12" t="s">
        <v>33</v>
      </c>
      <c r="P168" s="12" t="s">
        <v>34</v>
      </c>
      <c r="Q168" s="9"/>
      <c r="R168" s="18"/>
      <c r="S168" s="18"/>
      <c r="T168" s="18"/>
      <c r="U168" s="18"/>
      <c r="V168" s="18"/>
      <c r="W168" s="15"/>
      <c r="X168" s="15"/>
    </row>
    <row r="169">
      <c r="A169" s="7">
        <v>168.0</v>
      </c>
      <c r="B169" s="8" t="s">
        <v>833</v>
      </c>
      <c r="C169" s="9" t="s">
        <v>834</v>
      </c>
      <c r="D169" s="10" t="str">
        <f>HYPERLINK("https://facebook.com/367089020688300_528308244566376", "367089020688300_528308244566376")</f>
        <v>367089020688300_528308244566376</v>
      </c>
      <c r="E169" s="11">
        <v>90.0</v>
      </c>
      <c r="F169" s="11">
        <v>2.0</v>
      </c>
      <c r="G169" s="11">
        <v>91.0</v>
      </c>
      <c r="H169" s="9" t="s">
        <v>26</v>
      </c>
      <c r="I169" s="9" t="s">
        <v>835</v>
      </c>
      <c r="J169" s="16" t="s">
        <v>836</v>
      </c>
      <c r="K169" s="9"/>
      <c r="L169" s="9" t="s">
        <v>30</v>
      </c>
      <c r="M169" s="9" t="s">
        <v>31</v>
      </c>
      <c r="N169" s="9" t="s">
        <v>32</v>
      </c>
      <c r="O169" s="12" t="s">
        <v>33</v>
      </c>
      <c r="P169" s="12" t="s">
        <v>34</v>
      </c>
      <c r="Q169" s="9"/>
      <c r="R169" s="18"/>
      <c r="S169" s="18"/>
      <c r="T169" s="18"/>
      <c r="U169" s="18"/>
      <c r="V169" s="18"/>
      <c r="W169" s="15"/>
      <c r="X169" s="15"/>
    </row>
    <row r="170">
      <c r="A170" s="7">
        <v>169.0</v>
      </c>
      <c r="B170" s="8" t="s">
        <v>837</v>
      </c>
      <c r="C170" s="9" t="s">
        <v>838</v>
      </c>
      <c r="D170" s="10" t="str">
        <f>HYPERLINK("https://facebook.com/367089020688300_544097519654115", "367089020688300_544097519654115")</f>
        <v>367089020688300_544097519654115</v>
      </c>
      <c r="E170" s="11">
        <v>686.0</v>
      </c>
      <c r="F170" s="11">
        <v>18.0</v>
      </c>
      <c r="G170" s="11">
        <v>568.0</v>
      </c>
      <c r="H170" s="9" t="s">
        <v>26</v>
      </c>
      <c r="I170" s="9" t="s">
        <v>839</v>
      </c>
      <c r="J170" s="9" t="s">
        <v>840</v>
      </c>
      <c r="K170" s="9" t="s">
        <v>51</v>
      </c>
      <c r="L170" s="9" t="s">
        <v>30</v>
      </c>
      <c r="M170" s="9" t="s">
        <v>31</v>
      </c>
      <c r="N170" s="9" t="s">
        <v>32</v>
      </c>
      <c r="O170" s="12" t="s">
        <v>33</v>
      </c>
      <c r="P170" s="12" t="s">
        <v>34</v>
      </c>
      <c r="Q170" s="9"/>
      <c r="R170" s="18"/>
      <c r="S170" s="18"/>
      <c r="T170" s="18"/>
      <c r="U170" s="18"/>
      <c r="V170" s="18"/>
      <c r="W170" s="15"/>
      <c r="X170" s="15"/>
    </row>
    <row r="171">
      <c r="A171" s="7">
        <v>170.0</v>
      </c>
      <c r="B171" s="8" t="s">
        <v>841</v>
      </c>
      <c r="C171" s="9" t="s">
        <v>842</v>
      </c>
      <c r="D171" s="10" t="str">
        <f>HYPERLINK("https://facebook.com/367089020688300_536171047113429", "367089020688300_536171047113429")</f>
        <v>367089020688300_536171047113429</v>
      </c>
      <c r="E171" s="11">
        <v>185.0</v>
      </c>
      <c r="F171" s="11">
        <v>2.0</v>
      </c>
      <c r="G171" s="11">
        <v>72.0</v>
      </c>
      <c r="H171" s="9" t="s">
        <v>26</v>
      </c>
      <c r="I171" s="9" t="s">
        <v>843</v>
      </c>
      <c r="J171" s="16" t="s">
        <v>844</v>
      </c>
      <c r="K171" s="9"/>
      <c r="L171" s="9" t="s">
        <v>30</v>
      </c>
      <c r="M171" s="9" t="s">
        <v>31</v>
      </c>
      <c r="N171" s="9" t="s">
        <v>32</v>
      </c>
      <c r="O171" s="12" t="s">
        <v>33</v>
      </c>
      <c r="P171" s="12" t="s">
        <v>34</v>
      </c>
      <c r="Q171" s="9"/>
      <c r="R171" s="18"/>
      <c r="S171" s="18"/>
      <c r="T171" s="18"/>
      <c r="U171" s="18"/>
      <c r="V171" s="18"/>
      <c r="W171" s="15"/>
      <c r="X171" s="15"/>
    </row>
    <row r="172">
      <c r="A172" s="7">
        <v>171.0</v>
      </c>
      <c r="B172" s="8" t="s">
        <v>845</v>
      </c>
      <c r="C172" s="9" t="s">
        <v>846</v>
      </c>
      <c r="D172" s="10" t="str">
        <f>HYPERLINK("https://facebook.com/367089020688300_533778774019323", "367089020688300_533778774019323")</f>
        <v>367089020688300_533778774019323</v>
      </c>
      <c r="E172" s="11">
        <v>47.0</v>
      </c>
      <c r="F172" s="11">
        <v>0.0</v>
      </c>
      <c r="G172" s="11">
        <v>19.0</v>
      </c>
      <c r="H172" s="9" t="s">
        <v>26</v>
      </c>
      <c r="I172" s="9" t="s">
        <v>847</v>
      </c>
      <c r="J172" s="16" t="s">
        <v>848</v>
      </c>
      <c r="K172" s="9"/>
      <c r="L172" s="9" t="s">
        <v>30</v>
      </c>
      <c r="M172" s="9" t="s">
        <v>31</v>
      </c>
      <c r="N172" s="9" t="s">
        <v>32</v>
      </c>
      <c r="O172" s="12" t="s">
        <v>33</v>
      </c>
      <c r="P172" s="12" t="s">
        <v>34</v>
      </c>
      <c r="Q172" s="9"/>
      <c r="R172" s="18"/>
      <c r="S172" s="18"/>
      <c r="T172" s="18"/>
      <c r="U172" s="18"/>
      <c r="V172" s="18"/>
      <c r="W172" s="15"/>
      <c r="X172" s="15"/>
    </row>
    <row r="173">
      <c r="A173" s="7">
        <v>172.0</v>
      </c>
      <c r="B173" s="8" t="s">
        <v>849</v>
      </c>
      <c r="C173" s="9" t="s">
        <v>850</v>
      </c>
      <c r="D173" s="10" t="str">
        <f>HYPERLINK("https://facebook.com/367089020688300_550850705645463", "367089020688300_550850705645463")</f>
        <v>367089020688300_550850705645463</v>
      </c>
      <c r="E173" s="11">
        <v>63.0</v>
      </c>
      <c r="F173" s="11">
        <v>1.0</v>
      </c>
      <c r="G173" s="11">
        <v>34.0</v>
      </c>
      <c r="H173" s="9" t="s">
        <v>26</v>
      </c>
      <c r="I173" s="9" t="s">
        <v>851</v>
      </c>
      <c r="J173" s="16" t="s">
        <v>852</v>
      </c>
      <c r="K173" s="9"/>
      <c r="L173" s="9" t="s">
        <v>30</v>
      </c>
      <c r="M173" s="9" t="s">
        <v>31</v>
      </c>
      <c r="N173" s="9" t="s">
        <v>32</v>
      </c>
      <c r="O173" s="12" t="s">
        <v>33</v>
      </c>
      <c r="P173" s="12" t="s">
        <v>34</v>
      </c>
      <c r="Q173" s="9"/>
      <c r="R173" s="18"/>
      <c r="S173" s="18"/>
      <c r="T173" s="18"/>
      <c r="U173" s="18"/>
      <c r="V173" s="18"/>
      <c r="W173" s="15"/>
      <c r="X173" s="15"/>
    </row>
    <row r="174">
      <c r="A174" s="7">
        <v>173.0</v>
      </c>
      <c r="B174" s="8" t="s">
        <v>853</v>
      </c>
      <c r="C174" s="9" t="s">
        <v>854</v>
      </c>
      <c r="D174" s="10" t="str">
        <f>HYPERLINK("https://facebook.com/367089020688300_549856902411510", "367089020688300_549856902411510")</f>
        <v>367089020688300_549856902411510</v>
      </c>
      <c r="E174" s="11">
        <v>307.0</v>
      </c>
      <c r="F174" s="11">
        <v>15.0</v>
      </c>
      <c r="G174" s="11">
        <v>195.0</v>
      </c>
      <c r="H174" s="9" t="s">
        <v>26</v>
      </c>
      <c r="I174" s="9" t="s">
        <v>855</v>
      </c>
      <c r="J174" s="9" t="s">
        <v>856</v>
      </c>
      <c r="K174" s="9" t="s">
        <v>249</v>
      </c>
      <c r="L174" s="9" t="s">
        <v>30</v>
      </c>
      <c r="M174" s="9" t="s">
        <v>31</v>
      </c>
      <c r="N174" s="9" t="s">
        <v>32</v>
      </c>
      <c r="O174" s="12" t="s">
        <v>33</v>
      </c>
      <c r="P174" s="12" t="s">
        <v>34</v>
      </c>
      <c r="Q174" s="9"/>
      <c r="R174" s="18"/>
      <c r="S174" s="18"/>
      <c r="T174" s="18"/>
      <c r="U174" s="18"/>
      <c r="V174" s="18"/>
      <c r="W174" s="15"/>
      <c r="X174" s="15"/>
    </row>
    <row r="175">
      <c r="A175" s="7">
        <v>174.0</v>
      </c>
      <c r="B175" s="8" t="s">
        <v>857</v>
      </c>
      <c r="C175" s="9" t="s">
        <v>858</v>
      </c>
      <c r="D175" s="10" t="str">
        <f>HYPERLINK("https://facebook.com/367089020688300_541512829912584", "367089020688300_541512829912584")</f>
        <v>367089020688300_541512829912584</v>
      </c>
      <c r="E175" s="11">
        <v>23.0</v>
      </c>
      <c r="F175" s="11">
        <v>0.0</v>
      </c>
      <c r="G175" s="11">
        <v>11.0</v>
      </c>
      <c r="H175" s="9" t="s">
        <v>26</v>
      </c>
      <c r="I175" s="9" t="s">
        <v>859</v>
      </c>
      <c r="J175" s="16" t="s">
        <v>860</v>
      </c>
      <c r="K175" s="9"/>
      <c r="L175" s="9" t="s">
        <v>30</v>
      </c>
      <c r="M175" s="9" t="s">
        <v>31</v>
      </c>
      <c r="N175" s="9" t="s">
        <v>32</v>
      </c>
      <c r="O175" s="12" t="s">
        <v>33</v>
      </c>
      <c r="P175" s="12" t="s">
        <v>34</v>
      </c>
      <c r="Q175" s="9"/>
      <c r="R175" s="18"/>
      <c r="S175" s="18"/>
      <c r="T175" s="18"/>
      <c r="U175" s="18"/>
      <c r="V175" s="18"/>
      <c r="W175" s="15"/>
      <c r="X175" s="15"/>
    </row>
    <row r="176">
      <c r="A176" s="7">
        <v>175.0</v>
      </c>
      <c r="B176" s="8" t="s">
        <v>861</v>
      </c>
      <c r="C176" s="9" t="s">
        <v>862</v>
      </c>
      <c r="D176" s="10" t="str">
        <f>HYPERLINK("https://facebook.com/367089020688300_541502063246994", "367089020688300_541502063246994")</f>
        <v>367089020688300_541502063246994</v>
      </c>
      <c r="E176" s="11">
        <v>35.0</v>
      </c>
      <c r="F176" s="11">
        <v>0.0</v>
      </c>
      <c r="G176" s="11">
        <v>40.0</v>
      </c>
      <c r="H176" s="9" t="s">
        <v>26</v>
      </c>
      <c r="I176" s="9" t="s">
        <v>863</v>
      </c>
      <c r="J176" s="9" t="s">
        <v>864</v>
      </c>
      <c r="K176" s="9" t="s">
        <v>865</v>
      </c>
      <c r="L176" s="9" t="s">
        <v>30</v>
      </c>
      <c r="M176" s="9" t="s">
        <v>31</v>
      </c>
      <c r="N176" s="9" t="s">
        <v>32</v>
      </c>
      <c r="O176" s="12" t="s">
        <v>33</v>
      </c>
      <c r="P176" s="12" t="s">
        <v>34</v>
      </c>
      <c r="Q176" s="9"/>
      <c r="R176" s="18"/>
      <c r="S176" s="18"/>
      <c r="T176" s="18"/>
      <c r="U176" s="18"/>
      <c r="V176" s="18"/>
      <c r="W176" s="15"/>
      <c r="X176" s="15"/>
    </row>
    <row r="177">
      <c r="A177" s="7">
        <v>176.0</v>
      </c>
      <c r="B177" s="8" t="s">
        <v>866</v>
      </c>
      <c r="C177" s="9" t="s">
        <v>867</v>
      </c>
      <c r="D177" s="10" t="str">
        <f>HYPERLINK("https://facebook.com/367089020688300_483000065763861", "367089020688300_483000065763861")</f>
        <v>367089020688300_483000065763861</v>
      </c>
      <c r="E177" s="11">
        <v>264.0</v>
      </c>
      <c r="F177" s="11">
        <v>5.0</v>
      </c>
      <c r="G177" s="11">
        <v>480.0</v>
      </c>
      <c r="H177" s="9" t="s">
        <v>26</v>
      </c>
      <c r="I177" s="9" t="s">
        <v>868</v>
      </c>
      <c r="J177" s="9" t="s">
        <v>869</v>
      </c>
      <c r="K177" s="9" t="s">
        <v>870</v>
      </c>
      <c r="L177" s="9" t="s">
        <v>30</v>
      </c>
      <c r="M177" s="9" t="s">
        <v>31</v>
      </c>
      <c r="N177" s="9" t="s">
        <v>32</v>
      </c>
      <c r="O177" s="12" t="s">
        <v>33</v>
      </c>
      <c r="P177" s="12" t="s">
        <v>34</v>
      </c>
      <c r="Q177" s="9"/>
      <c r="R177" s="18"/>
      <c r="S177" s="18"/>
      <c r="T177" s="18"/>
      <c r="U177" s="18"/>
      <c r="V177" s="18"/>
      <c r="W177" s="15"/>
      <c r="X177" s="15"/>
    </row>
    <row r="178">
      <c r="A178" s="7">
        <v>177.0</v>
      </c>
      <c r="B178" s="8" t="s">
        <v>871</v>
      </c>
      <c r="C178" s="9" t="s">
        <v>872</v>
      </c>
      <c r="D178" s="10" t="str">
        <f>HYPERLINK("https://facebook.com/367089020688300_538469526883581", "367089020688300_538469526883581")</f>
        <v>367089020688300_538469526883581</v>
      </c>
      <c r="E178" s="11">
        <v>43.0</v>
      </c>
      <c r="F178" s="11">
        <v>2.0</v>
      </c>
      <c r="G178" s="11">
        <v>63.0</v>
      </c>
      <c r="H178" s="9" t="s">
        <v>26</v>
      </c>
      <c r="I178" s="9" t="s">
        <v>873</v>
      </c>
      <c r="J178" s="16" t="s">
        <v>874</v>
      </c>
      <c r="K178" s="9"/>
      <c r="L178" s="9" t="s">
        <v>30</v>
      </c>
      <c r="M178" s="9" t="s">
        <v>31</v>
      </c>
      <c r="N178" s="9" t="s">
        <v>32</v>
      </c>
      <c r="O178" s="12" t="s">
        <v>33</v>
      </c>
      <c r="P178" s="12" t="s">
        <v>34</v>
      </c>
      <c r="Q178" s="9"/>
      <c r="R178" s="18"/>
      <c r="S178" s="18"/>
      <c r="T178" s="18"/>
      <c r="U178" s="18"/>
      <c r="V178" s="18"/>
      <c r="W178" s="15"/>
      <c r="X178" s="15"/>
    </row>
    <row r="179">
      <c r="A179" s="7">
        <v>178.0</v>
      </c>
      <c r="B179" s="8" t="s">
        <v>875</v>
      </c>
      <c r="C179" s="9" t="s">
        <v>876</v>
      </c>
      <c r="D179" s="10" t="str">
        <f>HYPERLINK("https://facebook.com/367089020688300_555091235221410", "367089020688300_555091235221410")</f>
        <v>367089020688300_555091235221410</v>
      </c>
      <c r="E179" s="11">
        <v>25.0</v>
      </c>
      <c r="F179" s="11">
        <v>0.0</v>
      </c>
      <c r="G179" s="11">
        <v>5.0</v>
      </c>
      <c r="H179" s="9" t="s">
        <v>26</v>
      </c>
      <c r="I179" s="9" t="s">
        <v>877</v>
      </c>
      <c r="J179" s="16" t="s">
        <v>878</v>
      </c>
      <c r="K179" s="9"/>
      <c r="L179" s="9" t="s">
        <v>30</v>
      </c>
      <c r="M179" s="9" t="s">
        <v>31</v>
      </c>
      <c r="N179" s="9" t="s">
        <v>32</v>
      </c>
      <c r="O179" s="12" t="s">
        <v>33</v>
      </c>
      <c r="P179" s="12" t="s">
        <v>34</v>
      </c>
      <c r="Q179" s="9"/>
      <c r="R179" s="18"/>
      <c r="S179" s="18"/>
      <c r="T179" s="18"/>
      <c r="U179" s="18"/>
      <c r="V179" s="18"/>
      <c r="W179" s="15"/>
      <c r="X179" s="15"/>
    </row>
    <row r="180">
      <c r="A180" s="7">
        <v>179.0</v>
      </c>
      <c r="B180" s="8" t="s">
        <v>879</v>
      </c>
      <c r="C180" s="9" t="s">
        <v>880</v>
      </c>
      <c r="D180" s="10" t="str">
        <f>HYPERLINK("https://facebook.com/367089020688300_559729301424270", "367089020688300_559729301424270")</f>
        <v>367089020688300_559729301424270</v>
      </c>
      <c r="E180" s="11">
        <v>101.0</v>
      </c>
      <c r="F180" s="11">
        <v>4.0</v>
      </c>
      <c r="G180" s="11">
        <v>55.0</v>
      </c>
      <c r="H180" s="9" t="s">
        <v>26</v>
      </c>
      <c r="I180" s="9" t="s">
        <v>881</v>
      </c>
      <c r="J180" s="16" t="s">
        <v>882</v>
      </c>
      <c r="K180" s="9"/>
      <c r="L180" s="9" t="s">
        <v>30</v>
      </c>
      <c r="M180" s="9" t="s">
        <v>31</v>
      </c>
      <c r="N180" s="9" t="s">
        <v>32</v>
      </c>
      <c r="O180" s="12" t="s">
        <v>33</v>
      </c>
      <c r="P180" s="12" t="s">
        <v>34</v>
      </c>
      <c r="Q180" s="9"/>
      <c r="R180" s="18"/>
      <c r="S180" s="18"/>
      <c r="T180" s="18"/>
      <c r="U180" s="18"/>
      <c r="V180" s="18"/>
      <c r="W180" s="15"/>
      <c r="X180" s="15"/>
    </row>
    <row r="181">
      <c r="A181" s="7">
        <v>180.0</v>
      </c>
      <c r="B181" s="8" t="s">
        <v>883</v>
      </c>
      <c r="C181" s="9" t="s">
        <v>884</v>
      </c>
      <c r="D181" s="10" t="str">
        <f>HYPERLINK("https://facebook.com/367089020688300_545523062844894", "367089020688300_545523062844894")</f>
        <v>367089020688300_545523062844894</v>
      </c>
      <c r="E181" s="11">
        <v>75.0</v>
      </c>
      <c r="F181" s="11">
        <v>0.0</v>
      </c>
      <c r="G181" s="11">
        <v>43.0</v>
      </c>
      <c r="H181" s="9" t="s">
        <v>26</v>
      </c>
      <c r="I181" s="9" t="s">
        <v>885</v>
      </c>
      <c r="J181" s="9" t="s">
        <v>886</v>
      </c>
      <c r="K181" s="9" t="s">
        <v>887</v>
      </c>
      <c r="L181" s="9" t="s">
        <v>30</v>
      </c>
      <c r="M181" s="9" t="s">
        <v>31</v>
      </c>
      <c r="N181" s="9" t="s">
        <v>32</v>
      </c>
      <c r="O181" s="12" t="s">
        <v>33</v>
      </c>
      <c r="P181" s="12" t="s">
        <v>34</v>
      </c>
      <c r="Q181" s="9"/>
      <c r="R181" s="18"/>
      <c r="S181" s="18"/>
      <c r="T181" s="18"/>
      <c r="U181" s="18"/>
      <c r="V181" s="18"/>
      <c r="W181" s="15"/>
      <c r="X181" s="15"/>
    </row>
    <row r="182">
      <c r="A182" s="7">
        <v>181.0</v>
      </c>
      <c r="B182" s="8" t="s">
        <v>888</v>
      </c>
      <c r="C182" s="9" t="s">
        <v>889</v>
      </c>
      <c r="D182" s="10" t="str">
        <f>HYPERLINK("https://facebook.com/367089020688300_544794952917705", "367089020688300_544794952917705")</f>
        <v>367089020688300_544794952917705</v>
      </c>
      <c r="E182" s="11">
        <v>299.0</v>
      </c>
      <c r="F182" s="11">
        <v>12.0</v>
      </c>
      <c r="G182" s="11">
        <v>153.0</v>
      </c>
      <c r="H182" s="9" t="s">
        <v>26</v>
      </c>
      <c r="I182" s="9" t="s">
        <v>890</v>
      </c>
      <c r="J182" s="9" t="s">
        <v>891</v>
      </c>
      <c r="K182" s="9" t="s">
        <v>892</v>
      </c>
      <c r="L182" s="9" t="s">
        <v>30</v>
      </c>
      <c r="M182" s="9" t="s">
        <v>31</v>
      </c>
      <c r="N182" s="9" t="s">
        <v>32</v>
      </c>
      <c r="O182" s="12" t="s">
        <v>33</v>
      </c>
      <c r="P182" s="12" t="s">
        <v>34</v>
      </c>
      <c r="Q182" s="9"/>
      <c r="R182" s="18"/>
      <c r="S182" s="18"/>
      <c r="T182" s="18"/>
      <c r="U182" s="18"/>
      <c r="V182" s="18"/>
      <c r="W182" s="15"/>
      <c r="X182" s="15"/>
    </row>
    <row r="183">
      <c r="A183" s="7">
        <v>182.0</v>
      </c>
      <c r="B183" s="8" t="s">
        <v>893</v>
      </c>
      <c r="C183" s="9" t="s">
        <v>894</v>
      </c>
      <c r="D183" s="10" t="str">
        <f>HYPERLINK("https://facebook.com/367089020688300_519583172105550", "367089020688300_519583172105550")</f>
        <v>367089020688300_519583172105550</v>
      </c>
      <c r="E183" s="11">
        <v>168.0</v>
      </c>
      <c r="F183" s="11">
        <v>3.0</v>
      </c>
      <c r="G183" s="11">
        <v>166.0</v>
      </c>
      <c r="H183" s="9" t="s">
        <v>26</v>
      </c>
      <c r="I183" s="9" t="s">
        <v>868</v>
      </c>
      <c r="J183" s="16" t="s">
        <v>895</v>
      </c>
      <c r="K183" s="9"/>
      <c r="L183" s="9" t="s">
        <v>30</v>
      </c>
      <c r="M183" s="9" t="s">
        <v>31</v>
      </c>
      <c r="N183" s="9" t="s">
        <v>32</v>
      </c>
      <c r="O183" s="12" t="s">
        <v>33</v>
      </c>
      <c r="P183" s="12" t="s">
        <v>34</v>
      </c>
      <c r="Q183" s="9"/>
      <c r="R183" s="18"/>
      <c r="S183" s="18"/>
      <c r="T183" s="18"/>
      <c r="U183" s="18"/>
      <c r="V183" s="18"/>
      <c r="W183" s="15"/>
      <c r="X183" s="15"/>
    </row>
    <row r="184">
      <c r="A184" s="7">
        <v>183.0</v>
      </c>
      <c r="B184" s="21" t="s">
        <v>896</v>
      </c>
      <c r="C184" s="21" t="s">
        <v>897</v>
      </c>
      <c r="D184" s="22" t="str">
        <f>HYPERLINK("https://facebook.com/367089020688300_474168676647000", "367089020688300_474168676647000")</f>
        <v>367089020688300_474168676647000</v>
      </c>
      <c r="E184" s="23">
        <v>274.0</v>
      </c>
      <c r="F184" s="23">
        <v>18.0</v>
      </c>
      <c r="G184" s="23">
        <v>185.0</v>
      </c>
      <c r="H184" s="21" t="s">
        <v>26</v>
      </c>
      <c r="I184" s="21" t="s">
        <v>898</v>
      </c>
      <c r="J184" s="21" t="s">
        <v>899</v>
      </c>
      <c r="K184" s="21" t="s">
        <v>900</v>
      </c>
      <c r="L184" s="21" t="s">
        <v>30</v>
      </c>
      <c r="M184" s="21" t="s">
        <v>31</v>
      </c>
      <c r="N184" s="21" t="s">
        <v>32</v>
      </c>
      <c r="O184" s="21" t="s">
        <v>33</v>
      </c>
      <c r="P184" s="12" t="s">
        <v>34</v>
      </c>
      <c r="Q184" s="21"/>
      <c r="R184" s="13" t="s">
        <v>35</v>
      </c>
      <c r="S184" s="24"/>
      <c r="T184" s="13"/>
      <c r="U184" s="13" t="s">
        <v>901</v>
      </c>
      <c r="V184" s="13" t="s">
        <v>902</v>
      </c>
      <c r="W184" s="13" t="s">
        <v>166</v>
      </c>
      <c r="X184" s="24"/>
    </row>
    <row r="185">
      <c r="A185" s="7">
        <v>184.0</v>
      </c>
      <c r="B185" s="8" t="s">
        <v>903</v>
      </c>
      <c r="C185" s="9" t="s">
        <v>904</v>
      </c>
      <c r="D185" s="10" t="str">
        <f>HYPERLINK("https://facebook.com/367089020688300_398694900861045", "367089020688300_398694900861045")</f>
        <v>367089020688300_398694900861045</v>
      </c>
      <c r="E185" s="11">
        <v>287.0</v>
      </c>
      <c r="F185" s="11">
        <v>21.0</v>
      </c>
      <c r="G185" s="11">
        <v>448.0</v>
      </c>
      <c r="H185" s="9" t="s">
        <v>26</v>
      </c>
      <c r="I185" s="9" t="s">
        <v>905</v>
      </c>
      <c r="J185" s="9" t="s">
        <v>906</v>
      </c>
      <c r="K185" s="9" t="s">
        <v>907</v>
      </c>
      <c r="L185" s="9" t="s">
        <v>30</v>
      </c>
      <c r="M185" s="9" t="s">
        <v>31</v>
      </c>
      <c r="N185" s="9" t="s">
        <v>32</v>
      </c>
      <c r="O185" s="12" t="s">
        <v>33</v>
      </c>
      <c r="P185" s="12" t="s">
        <v>34</v>
      </c>
      <c r="Q185" s="9"/>
      <c r="R185" s="18"/>
      <c r="S185" s="18"/>
      <c r="T185" s="18"/>
      <c r="U185" s="18"/>
      <c r="V185" s="18"/>
      <c r="W185" s="15"/>
      <c r="X185" s="15"/>
    </row>
    <row r="186">
      <c r="A186" s="7">
        <v>185.0</v>
      </c>
      <c r="B186" s="8" t="s">
        <v>908</v>
      </c>
      <c r="C186" s="9" t="s">
        <v>909</v>
      </c>
      <c r="D186" s="10" t="str">
        <f>HYPERLINK("https://facebook.com/367089020688300_498248290905705", "367089020688300_498248290905705")</f>
        <v>367089020688300_498248290905705</v>
      </c>
      <c r="E186" s="11">
        <v>17.0</v>
      </c>
      <c r="F186" s="11">
        <v>0.0</v>
      </c>
      <c r="G186" s="11">
        <v>77.0</v>
      </c>
      <c r="H186" s="9" t="s">
        <v>26</v>
      </c>
      <c r="I186" s="9" t="s">
        <v>910</v>
      </c>
      <c r="J186" s="16" t="s">
        <v>911</v>
      </c>
      <c r="K186" s="9"/>
      <c r="L186" s="9" t="s">
        <v>30</v>
      </c>
      <c r="M186" s="9" t="s">
        <v>31</v>
      </c>
      <c r="N186" s="9" t="s">
        <v>32</v>
      </c>
      <c r="O186" s="12" t="s">
        <v>33</v>
      </c>
      <c r="P186" s="12" t="s">
        <v>34</v>
      </c>
      <c r="Q186" s="9"/>
      <c r="R186" s="18"/>
      <c r="S186" s="18"/>
      <c r="T186" s="18"/>
      <c r="U186" s="18"/>
      <c r="V186" s="18"/>
      <c r="W186" s="15"/>
      <c r="X186" s="15"/>
    </row>
    <row r="187">
      <c r="A187" s="7">
        <v>186.0</v>
      </c>
      <c r="B187" s="8" t="s">
        <v>912</v>
      </c>
      <c r="C187" s="9" t="s">
        <v>913</v>
      </c>
      <c r="D187" s="10" t="str">
        <f>HYPERLINK("https://facebook.com/367089020688300_562885507775316", "367089020688300_562885507775316")</f>
        <v>367089020688300_562885507775316</v>
      </c>
      <c r="E187" s="11">
        <v>2487.0</v>
      </c>
      <c r="F187" s="11">
        <v>71.0</v>
      </c>
      <c r="G187" s="11">
        <v>791.0</v>
      </c>
      <c r="H187" s="9" t="s">
        <v>26</v>
      </c>
      <c r="I187" s="9" t="s">
        <v>914</v>
      </c>
      <c r="J187" s="16" t="s">
        <v>915</v>
      </c>
      <c r="K187" s="9"/>
      <c r="L187" s="9" t="s">
        <v>30</v>
      </c>
      <c r="M187" s="9" t="s">
        <v>31</v>
      </c>
      <c r="N187" s="9" t="s">
        <v>32</v>
      </c>
      <c r="O187" s="12" t="s">
        <v>33</v>
      </c>
      <c r="P187" s="12" t="s">
        <v>34</v>
      </c>
      <c r="Q187" s="9"/>
      <c r="R187" s="18"/>
      <c r="S187" s="18"/>
      <c r="T187" s="18"/>
      <c r="U187" s="18"/>
      <c r="V187" s="18"/>
      <c r="W187" s="15"/>
      <c r="X187" s="15"/>
    </row>
    <row r="188">
      <c r="A188" s="7">
        <v>187.0</v>
      </c>
      <c r="B188" s="8" t="s">
        <v>916</v>
      </c>
      <c r="C188" s="9" t="s">
        <v>917</v>
      </c>
      <c r="D188" s="10" t="str">
        <f>HYPERLINK("https://facebook.com/367089020688300_541782943218906", "367089020688300_541782943218906")</f>
        <v>367089020688300_541782943218906</v>
      </c>
      <c r="E188" s="11">
        <v>579.0</v>
      </c>
      <c r="F188" s="11">
        <v>6.0</v>
      </c>
      <c r="G188" s="11">
        <v>188.0</v>
      </c>
      <c r="H188" s="9" t="s">
        <v>26</v>
      </c>
      <c r="I188" s="9" t="s">
        <v>918</v>
      </c>
      <c r="J188" s="9" t="s">
        <v>919</v>
      </c>
      <c r="K188" s="9" t="s">
        <v>920</v>
      </c>
      <c r="L188" s="9" t="s">
        <v>30</v>
      </c>
      <c r="M188" s="9" t="s">
        <v>31</v>
      </c>
      <c r="N188" s="9" t="s">
        <v>32</v>
      </c>
      <c r="O188" s="12" t="s">
        <v>33</v>
      </c>
      <c r="P188" s="12" t="s">
        <v>34</v>
      </c>
      <c r="Q188" s="9"/>
      <c r="R188" s="18"/>
      <c r="S188" s="18"/>
      <c r="T188" s="18"/>
      <c r="U188" s="18"/>
      <c r="V188" s="18"/>
      <c r="W188" s="15"/>
      <c r="X188" s="15"/>
    </row>
    <row r="189">
      <c r="A189" s="7">
        <v>188.0</v>
      </c>
      <c r="B189" s="8" t="s">
        <v>921</v>
      </c>
      <c r="C189" s="9" t="s">
        <v>922</v>
      </c>
      <c r="D189" s="10" t="str">
        <f>HYPERLINK("https://facebook.com/367089020688300_548536805876853", "367089020688300_548536805876853")</f>
        <v>367089020688300_548536805876853</v>
      </c>
      <c r="E189" s="11">
        <v>12.0</v>
      </c>
      <c r="F189" s="11">
        <v>0.0</v>
      </c>
      <c r="G189" s="11">
        <v>7.0</v>
      </c>
      <c r="H189" s="9" t="s">
        <v>26</v>
      </c>
      <c r="I189" s="9" t="s">
        <v>923</v>
      </c>
      <c r="J189" s="16" t="s">
        <v>924</v>
      </c>
      <c r="K189" s="9"/>
      <c r="L189" s="9" t="s">
        <v>30</v>
      </c>
      <c r="M189" s="9" t="s">
        <v>31</v>
      </c>
      <c r="N189" s="9" t="s">
        <v>32</v>
      </c>
      <c r="O189" s="12" t="s">
        <v>33</v>
      </c>
      <c r="P189" s="12" t="s">
        <v>34</v>
      </c>
      <c r="Q189" s="9"/>
      <c r="R189" s="18"/>
      <c r="S189" s="18"/>
      <c r="T189" s="18"/>
      <c r="U189" s="18"/>
      <c r="V189" s="18"/>
      <c r="W189" s="15"/>
      <c r="X189" s="15"/>
    </row>
    <row r="190">
      <c r="A190" s="7">
        <v>189.0</v>
      </c>
      <c r="B190" s="8" t="s">
        <v>925</v>
      </c>
      <c r="C190" s="9" t="s">
        <v>926</v>
      </c>
      <c r="D190" s="10" t="str">
        <f>HYPERLINK("https://facebook.com/367089020688300_545177622879438", "367089020688300_545177622879438")</f>
        <v>367089020688300_545177622879438</v>
      </c>
      <c r="E190" s="11">
        <v>623.0</v>
      </c>
      <c r="F190" s="11">
        <v>47.0</v>
      </c>
      <c r="G190" s="11">
        <v>872.0</v>
      </c>
      <c r="H190" s="9" t="s">
        <v>26</v>
      </c>
      <c r="I190" s="9" t="s">
        <v>927</v>
      </c>
      <c r="J190" s="16" t="s">
        <v>928</v>
      </c>
      <c r="K190" s="9"/>
      <c r="L190" s="9" t="s">
        <v>30</v>
      </c>
      <c r="M190" s="9" t="s">
        <v>31</v>
      </c>
      <c r="N190" s="9" t="s">
        <v>32</v>
      </c>
      <c r="O190" s="12" t="s">
        <v>33</v>
      </c>
      <c r="P190" s="12" t="s">
        <v>34</v>
      </c>
      <c r="Q190" s="9"/>
      <c r="R190" s="18"/>
      <c r="S190" s="18"/>
      <c r="T190" s="18"/>
      <c r="U190" s="18"/>
      <c r="V190" s="18"/>
      <c r="W190" s="15"/>
      <c r="X190" s="15"/>
    </row>
    <row r="191">
      <c r="A191" s="7">
        <v>190.0</v>
      </c>
      <c r="B191" s="8" t="s">
        <v>929</v>
      </c>
      <c r="C191" s="9" t="s">
        <v>930</v>
      </c>
      <c r="D191" s="10" t="str">
        <f>HYPERLINK("https://facebook.com/367089020688300_486948215369046", "367089020688300_486948215369046")</f>
        <v>367089020688300_486948215369046</v>
      </c>
      <c r="E191" s="11">
        <v>570.0</v>
      </c>
      <c r="F191" s="11">
        <v>45.0</v>
      </c>
      <c r="G191" s="11">
        <v>208.0</v>
      </c>
      <c r="H191" s="9" t="s">
        <v>26</v>
      </c>
      <c r="I191" s="9" t="s">
        <v>931</v>
      </c>
      <c r="J191" s="9" t="s">
        <v>932</v>
      </c>
      <c r="K191" s="9" t="s">
        <v>933</v>
      </c>
      <c r="L191" s="9" t="s">
        <v>30</v>
      </c>
      <c r="M191" s="9" t="s">
        <v>31</v>
      </c>
      <c r="N191" s="9" t="s">
        <v>32</v>
      </c>
      <c r="O191" s="12" t="s">
        <v>33</v>
      </c>
      <c r="P191" s="12" t="s">
        <v>34</v>
      </c>
      <c r="Q191" s="9"/>
      <c r="R191" s="18"/>
      <c r="S191" s="18"/>
      <c r="T191" s="18"/>
      <c r="U191" s="18"/>
      <c r="V191" s="18"/>
      <c r="W191" s="15"/>
      <c r="X191" s="15"/>
    </row>
    <row r="192">
      <c r="A192" s="7">
        <v>191.0</v>
      </c>
      <c r="B192" s="8" t="s">
        <v>934</v>
      </c>
      <c r="C192" s="9" t="s">
        <v>935</v>
      </c>
      <c r="D192" s="10" t="str">
        <f>HYPERLINK("https://facebook.com/367089020688300_558738468190020", "367089020688300_558738468190020")</f>
        <v>367089020688300_558738468190020</v>
      </c>
      <c r="E192" s="11">
        <v>35.0</v>
      </c>
      <c r="F192" s="11">
        <v>0.0</v>
      </c>
      <c r="G192" s="11">
        <v>0.0</v>
      </c>
      <c r="H192" s="9" t="s">
        <v>26</v>
      </c>
      <c r="I192" s="9" t="s">
        <v>936</v>
      </c>
      <c r="J192" s="16" t="s">
        <v>937</v>
      </c>
      <c r="K192" s="9"/>
      <c r="L192" s="9" t="s">
        <v>30</v>
      </c>
      <c r="M192" s="9" t="s">
        <v>31</v>
      </c>
      <c r="N192" s="9" t="s">
        <v>32</v>
      </c>
      <c r="O192" s="12" t="s">
        <v>33</v>
      </c>
      <c r="P192" s="12" t="s">
        <v>34</v>
      </c>
      <c r="Q192" s="9"/>
      <c r="R192" s="18"/>
      <c r="S192" s="18"/>
      <c r="T192" s="18"/>
      <c r="U192" s="18"/>
      <c r="V192" s="18"/>
      <c r="W192" s="15"/>
      <c r="X192" s="15"/>
    </row>
    <row r="193">
      <c r="A193" s="7">
        <v>192.0</v>
      </c>
      <c r="B193" s="8" t="s">
        <v>938</v>
      </c>
      <c r="C193" s="9" t="s">
        <v>939</v>
      </c>
      <c r="D193" s="10" t="str">
        <f>HYPERLINK("https://facebook.com/367089020688300_490762784987589", "367089020688300_490762784987589")</f>
        <v>367089020688300_490762784987589</v>
      </c>
      <c r="E193" s="11">
        <v>180.0</v>
      </c>
      <c r="F193" s="11">
        <v>1.0</v>
      </c>
      <c r="G193" s="11">
        <v>185.0</v>
      </c>
      <c r="H193" s="9" t="s">
        <v>26</v>
      </c>
      <c r="I193" s="9" t="s">
        <v>940</v>
      </c>
      <c r="J193" s="9" t="s">
        <v>941</v>
      </c>
      <c r="K193" s="9" t="s">
        <v>942</v>
      </c>
      <c r="L193" s="9" t="s">
        <v>30</v>
      </c>
      <c r="M193" s="9" t="s">
        <v>31</v>
      </c>
      <c r="N193" s="9" t="s">
        <v>32</v>
      </c>
      <c r="O193" s="12" t="s">
        <v>33</v>
      </c>
      <c r="P193" s="12" t="s">
        <v>34</v>
      </c>
      <c r="Q193" s="9"/>
      <c r="R193" s="18"/>
      <c r="S193" s="18"/>
      <c r="T193" s="18"/>
      <c r="U193" s="18"/>
      <c r="V193" s="18"/>
      <c r="W193" s="15"/>
      <c r="X193" s="15"/>
    </row>
    <row r="194">
      <c r="A194" s="7">
        <v>193.0</v>
      </c>
      <c r="B194" s="8" t="s">
        <v>943</v>
      </c>
      <c r="C194" s="9" t="s">
        <v>944</v>
      </c>
      <c r="D194" s="10" t="str">
        <f>HYPERLINK("https://facebook.com/367089020688300_523114288419105", "367089020688300_523114288419105")</f>
        <v>367089020688300_523114288419105</v>
      </c>
      <c r="E194" s="11">
        <v>1021.0</v>
      </c>
      <c r="F194" s="11">
        <v>17.0</v>
      </c>
      <c r="G194" s="11">
        <v>1033.0</v>
      </c>
      <c r="H194" s="9" t="s">
        <v>26</v>
      </c>
      <c r="I194" s="9" t="s">
        <v>945</v>
      </c>
      <c r="J194" s="9" t="s">
        <v>946</v>
      </c>
      <c r="K194" s="9" t="s">
        <v>947</v>
      </c>
      <c r="L194" s="9" t="s">
        <v>30</v>
      </c>
      <c r="M194" s="9" t="s">
        <v>31</v>
      </c>
      <c r="N194" s="9" t="s">
        <v>32</v>
      </c>
      <c r="O194" s="12" t="s">
        <v>33</v>
      </c>
      <c r="P194" s="12" t="s">
        <v>34</v>
      </c>
      <c r="Q194" s="9"/>
      <c r="R194" s="18"/>
      <c r="S194" s="18"/>
      <c r="T194" s="18"/>
      <c r="U194" s="18"/>
      <c r="V194" s="18"/>
      <c r="W194" s="15"/>
      <c r="X194" s="15"/>
    </row>
    <row r="195">
      <c r="A195" s="7">
        <v>194.0</v>
      </c>
      <c r="B195" s="8" t="s">
        <v>948</v>
      </c>
      <c r="C195" s="9" t="s">
        <v>949</v>
      </c>
      <c r="D195" s="10" t="str">
        <f>HYPERLINK("https://facebook.com/367089020688300_552497095480824", "367089020688300_552497095480824")</f>
        <v>367089020688300_552497095480824</v>
      </c>
      <c r="E195" s="11">
        <v>441.0</v>
      </c>
      <c r="F195" s="11">
        <v>18.0</v>
      </c>
      <c r="G195" s="11">
        <v>449.0</v>
      </c>
      <c r="H195" s="9" t="s">
        <v>26</v>
      </c>
      <c r="I195" s="9" t="s">
        <v>950</v>
      </c>
      <c r="J195" s="9" t="s">
        <v>951</v>
      </c>
      <c r="K195" s="9" t="s">
        <v>952</v>
      </c>
      <c r="L195" s="9" t="s">
        <v>30</v>
      </c>
      <c r="M195" s="9" t="s">
        <v>31</v>
      </c>
      <c r="N195" s="9" t="s">
        <v>32</v>
      </c>
      <c r="O195" s="12" t="s">
        <v>33</v>
      </c>
      <c r="P195" s="12" t="s">
        <v>34</v>
      </c>
      <c r="Q195" s="9"/>
      <c r="R195" s="18"/>
      <c r="S195" s="18"/>
      <c r="T195" s="18"/>
      <c r="U195" s="18"/>
      <c r="V195" s="18"/>
      <c r="W195" s="15"/>
      <c r="X195" s="15"/>
    </row>
    <row r="196">
      <c r="A196" s="7">
        <v>195.0</v>
      </c>
      <c r="B196" s="8" t="s">
        <v>953</v>
      </c>
      <c r="C196" s="9" t="s">
        <v>954</v>
      </c>
      <c r="D196" s="10" t="str">
        <f>HYPERLINK("https://facebook.com/367089020688300_551322845598249", "367089020688300_551322845598249")</f>
        <v>367089020688300_551322845598249</v>
      </c>
      <c r="E196" s="11">
        <v>34.0</v>
      </c>
      <c r="F196" s="11">
        <v>1.0</v>
      </c>
      <c r="G196" s="11">
        <v>15.0</v>
      </c>
      <c r="H196" s="9" t="s">
        <v>26</v>
      </c>
      <c r="I196" s="9" t="s">
        <v>955</v>
      </c>
      <c r="J196" s="9" t="s">
        <v>956</v>
      </c>
      <c r="K196" s="9" t="s">
        <v>957</v>
      </c>
      <c r="L196" s="9" t="s">
        <v>30</v>
      </c>
      <c r="M196" s="9" t="s">
        <v>31</v>
      </c>
      <c r="N196" s="9" t="s">
        <v>32</v>
      </c>
      <c r="O196" s="12" t="s">
        <v>33</v>
      </c>
      <c r="P196" s="12" t="s">
        <v>34</v>
      </c>
      <c r="Q196" s="9"/>
      <c r="R196" s="18"/>
      <c r="S196" s="18"/>
      <c r="T196" s="18"/>
      <c r="U196" s="18"/>
      <c r="V196" s="18"/>
      <c r="W196" s="15"/>
      <c r="X196" s="15"/>
    </row>
    <row r="197">
      <c r="A197" s="7">
        <v>196.0</v>
      </c>
      <c r="B197" s="8" t="s">
        <v>958</v>
      </c>
      <c r="C197" s="9" t="s">
        <v>959</v>
      </c>
      <c r="D197" s="10" t="str">
        <f>HYPERLINK("https://facebook.com/367089020688300_514692515927949", "367089020688300_514692515927949")</f>
        <v>367089020688300_514692515927949</v>
      </c>
      <c r="E197" s="11">
        <v>945.0</v>
      </c>
      <c r="F197" s="11">
        <v>31.0</v>
      </c>
      <c r="G197" s="11">
        <v>745.0</v>
      </c>
      <c r="H197" s="9" t="s">
        <v>26</v>
      </c>
      <c r="I197" s="9" t="s">
        <v>960</v>
      </c>
      <c r="J197" s="16" t="s">
        <v>961</v>
      </c>
      <c r="K197" s="9"/>
      <c r="L197" s="9" t="s">
        <v>30</v>
      </c>
      <c r="M197" s="9" t="s">
        <v>31</v>
      </c>
      <c r="N197" s="9" t="s">
        <v>32</v>
      </c>
      <c r="O197" s="12" t="s">
        <v>33</v>
      </c>
      <c r="P197" s="12" t="s">
        <v>34</v>
      </c>
      <c r="Q197" s="9"/>
      <c r="R197" s="18"/>
      <c r="S197" s="18"/>
      <c r="T197" s="18"/>
      <c r="U197" s="18"/>
      <c r="V197" s="18"/>
      <c r="W197" s="15"/>
      <c r="X197" s="15"/>
    </row>
    <row r="198">
      <c r="A198" s="7">
        <v>197.0</v>
      </c>
      <c r="B198" s="8" t="s">
        <v>962</v>
      </c>
      <c r="C198" s="9" t="s">
        <v>963</v>
      </c>
      <c r="D198" s="10" t="str">
        <f>HYPERLINK("https://facebook.com/367089020688300_514640885933112", "367089020688300_514640885933112")</f>
        <v>367089020688300_514640885933112</v>
      </c>
      <c r="E198" s="11">
        <v>136.0</v>
      </c>
      <c r="F198" s="11">
        <v>8.0</v>
      </c>
      <c r="G198" s="11">
        <v>291.0</v>
      </c>
      <c r="H198" s="9" t="s">
        <v>26</v>
      </c>
      <c r="I198" s="9" t="s">
        <v>964</v>
      </c>
      <c r="J198" s="16" t="s">
        <v>965</v>
      </c>
      <c r="K198" s="9"/>
      <c r="L198" s="9" t="s">
        <v>30</v>
      </c>
      <c r="M198" s="9" t="s">
        <v>31</v>
      </c>
      <c r="N198" s="9" t="s">
        <v>32</v>
      </c>
      <c r="O198" s="12" t="s">
        <v>33</v>
      </c>
      <c r="P198" s="12" t="s">
        <v>34</v>
      </c>
      <c r="Q198" s="9"/>
      <c r="R198" s="18"/>
      <c r="S198" s="18"/>
      <c r="T198" s="18"/>
      <c r="U198" s="18"/>
      <c r="V198" s="18"/>
      <c r="W198" s="15"/>
      <c r="X198" s="15"/>
    </row>
    <row r="199">
      <c r="A199" s="7">
        <v>198.0</v>
      </c>
      <c r="B199" s="8" t="s">
        <v>966</v>
      </c>
      <c r="C199" s="9" t="s">
        <v>967</v>
      </c>
      <c r="D199" s="10" t="str">
        <f>HYPERLINK("https://facebook.com/367089020688300_549863312410869", "367089020688300_549863312410869")</f>
        <v>367089020688300_549863312410869</v>
      </c>
      <c r="E199" s="11">
        <v>780.0</v>
      </c>
      <c r="F199" s="11">
        <v>33.0</v>
      </c>
      <c r="G199" s="11">
        <v>455.0</v>
      </c>
      <c r="H199" s="9" t="s">
        <v>26</v>
      </c>
      <c r="I199" s="9" t="s">
        <v>955</v>
      </c>
      <c r="J199" s="9" t="s">
        <v>968</v>
      </c>
      <c r="K199" s="9" t="s">
        <v>249</v>
      </c>
      <c r="L199" s="9" t="s">
        <v>30</v>
      </c>
      <c r="M199" s="9" t="s">
        <v>31</v>
      </c>
      <c r="N199" s="9" t="s">
        <v>32</v>
      </c>
      <c r="O199" s="12" t="s">
        <v>33</v>
      </c>
      <c r="P199" s="12" t="s">
        <v>34</v>
      </c>
      <c r="Q199" s="9"/>
      <c r="R199" s="18"/>
      <c r="S199" s="18"/>
      <c r="T199" s="18"/>
      <c r="U199" s="18"/>
      <c r="V199" s="18"/>
      <c r="W199" s="15"/>
      <c r="X199" s="15"/>
    </row>
    <row r="200">
      <c r="A200" s="7">
        <v>199.0</v>
      </c>
      <c r="B200" s="8" t="s">
        <v>969</v>
      </c>
      <c r="C200" s="9" t="s">
        <v>970</v>
      </c>
      <c r="D200" s="10" t="str">
        <f>HYPERLINK("https://facebook.com/367089020688300_532997854097415", "367089020688300_532997854097415")</f>
        <v>367089020688300_532997854097415</v>
      </c>
      <c r="E200" s="11">
        <v>228.0</v>
      </c>
      <c r="F200" s="11">
        <v>0.0</v>
      </c>
      <c r="G200" s="11">
        <v>77.0</v>
      </c>
      <c r="H200" s="9" t="s">
        <v>26</v>
      </c>
      <c r="I200" s="9" t="s">
        <v>971</v>
      </c>
      <c r="J200" s="16" t="s">
        <v>972</v>
      </c>
      <c r="K200" s="9"/>
      <c r="L200" s="9" t="s">
        <v>30</v>
      </c>
      <c r="M200" s="9" t="s">
        <v>31</v>
      </c>
      <c r="N200" s="9" t="s">
        <v>32</v>
      </c>
      <c r="O200" s="12" t="s">
        <v>33</v>
      </c>
      <c r="P200" s="12" t="s">
        <v>34</v>
      </c>
      <c r="Q200" s="9"/>
      <c r="R200" s="18"/>
      <c r="S200" s="18"/>
      <c r="T200" s="18"/>
      <c r="U200" s="18"/>
      <c r="V200" s="18"/>
      <c r="W200" s="15"/>
      <c r="X200" s="15"/>
    </row>
    <row r="201">
      <c r="A201" s="7">
        <v>200.0</v>
      </c>
      <c r="B201" s="8" t="s">
        <v>973</v>
      </c>
      <c r="C201" s="9" t="s">
        <v>974</v>
      </c>
      <c r="D201" s="10" t="str">
        <f>HYPERLINK("https://facebook.com/367089020688300_548204362576764", "367089020688300_548204362576764")</f>
        <v>367089020688300_548204362576764</v>
      </c>
      <c r="E201" s="11">
        <v>485.0</v>
      </c>
      <c r="F201" s="11">
        <v>11.0</v>
      </c>
      <c r="G201" s="11">
        <v>173.0</v>
      </c>
      <c r="H201" s="9" t="s">
        <v>26</v>
      </c>
      <c r="I201" s="9" t="s">
        <v>975</v>
      </c>
      <c r="J201" s="9" t="s">
        <v>976</v>
      </c>
      <c r="K201" s="9" t="s">
        <v>219</v>
      </c>
      <c r="L201" s="9" t="s">
        <v>30</v>
      </c>
      <c r="M201" s="9" t="s">
        <v>31</v>
      </c>
      <c r="N201" s="9" t="s">
        <v>32</v>
      </c>
      <c r="O201" s="12" t="s">
        <v>33</v>
      </c>
      <c r="P201" s="12" t="s">
        <v>34</v>
      </c>
      <c r="Q201" s="9"/>
      <c r="R201" s="18"/>
      <c r="S201" s="18"/>
      <c r="T201" s="18"/>
      <c r="U201" s="18"/>
      <c r="V201" s="18"/>
      <c r="W201" s="15"/>
      <c r="X201" s="15"/>
    </row>
    <row r="202">
      <c r="A202" s="7">
        <v>201.0</v>
      </c>
      <c r="B202" s="8" t="s">
        <v>977</v>
      </c>
      <c r="C202" s="9" t="s">
        <v>978</v>
      </c>
      <c r="D202" s="10" t="str">
        <f>HYPERLINK("https://facebook.com/367089020688300_554396965290837", "367089020688300_554396965290837")</f>
        <v>367089020688300_554396965290837</v>
      </c>
      <c r="E202" s="11">
        <v>500.0</v>
      </c>
      <c r="F202" s="11">
        <v>5.0</v>
      </c>
      <c r="G202" s="11">
        <v>527.0</v>
      </c>
      <c r="H202" s="9" t="s">
        <v>26</v>
      </c>
      <c r="I202" s="9" t="s">
        <v>979</v>
      </c>
      <c r="J202" s="16" t="s">
        <v>980</v>
      </c>
      <c r="K202" s="9"/>
      <c r="L202" s="9" t="s">
        <v>30</v>
      </c>
      <c r="M202" s="9" t="s">
        <v>31</v>
      </c>
      <c r="N202" s="9" t="s">
        <v>32</v>
      </c>
      <c r="O202" s="12" t="s">
        <v>33</v>
      </c>
      <c r="P202" s="12" t="s">
        <v>34</v>
      </c>
      <c r="Q202" s="9"/>
      <c r="R202" s="18"/>
      <c r="S202" s="18"/>
      <c r="T202" s="18"/>
      <c r="U202" s="18"/>
      <c r="V202" s="18"/>
      <c r="W202" s="15"/>
      <c r="X202" s="15"/>
    </row>
    <row r="203">
      <c r="A203" s="7">
        <v>202.0</v>
      </c>
      <c r="B203" s="8" t="s">
        <v>981</v>
      </c>
      <c r="C203" s="9" t="s">
        <v>982</v>
      </c>
      <c r="D203" s="10" t="str">
        <f>HYPERLINK("https://facebook.com/367089020688300_562143574516176", "367089020688300_562143574516176")</f>
        <v>367089020688300_562143574516176</v>
      </c>
      <c r="E203" s="11">
        <v>23.0</v>
      </c>
      <c r="F203" s="11">
        <v>2.0</v>
      </c>
      <c r="G203" s="11">
        <v>90.0</v>
      </c>
      <c r="H203" s="9" t="s">
        <v>26</v>
      </c>
      <c r="I203" s="9" t="s">
        <v>983</v>
      </c>
      <c r="J203" s="9" t="s">
        <v>984</v>
      </c>
      <c r="K203" s="9" t="s">
        <v>985</v>
      </c>
      <c r="L203" s="9" t="s">
        <v>30</v>
      </c>
      <c r="M203" s="9" t="s">
        <v>31</v>
      </c>
      <c r="N203" s="9" t="s">
        <v>32</v>
      </c>
      <c r="O203" s="12" t="s">
        <v>33</v>
      </c>
      <c r="P203" s="12" t="s">
        <v>34</v>
      </c>
      <c r="Q203" s="9"/>
      <c r="R203" s="18"/>
      <c r="S203" s="18"/>
      <c r="T203" s="18"/>
      <c r="U203" s="18"/>
      <c r="V203" s="18"/>
      <c r="W203" s="15"/>
      <c r="X203" s="15"/>
    </row>
    <row r="204">
      <c r="A204" s="7">
        <v>203.0</v>
      </c>
      <c r="B204" s="8" t="s">
        <v>986</v>
      </c>
      <c r="C204" s="9" t="s">
        <v>987</v>
      </c>
      <c r="D204" s="10" t="str">
        <f>HYPERLINK("https://facebook.com/367089020688300_476462329750968", "367089020688300_476462329750968")</f>
        <v>367089020688300_476462329750968</v>
      </c>
      <c r="E204" s="11">
        <v>340.0</v>
      </c>
      <c r="F204" s="11">
        <v>12.0</v>
      </c>
      <c r="G204" s="11">
        <v>258.0</v>
      </c>
      <c r="H204" s="9" t="s">
        <v>26</v>
      </c>
      <c r="I204" s="9" t="s">
        <v>988</v>
      </c>
      <c r="J204" s="9" t="s">
        <v>989</v>
      </c>
      <c r="K204" s="9" t="s">
        <v>990</v>
      </c>
      <c r="L204" s="9" t="s">
        <v>30</v>
      </c>
      <c r="M204" s="9" t="s">
        <v>31</v>
      </c>
      <c r="N204" s="9" t="s">
        <v>32</v>
      </c>
      <c r="O204" s="12" t="s">
        <v>33</v>
      </c>
      <c r="P204" s="12" t="s">
        <v>34</v>
      </c>
      <c r="Q204" s="9"/>
      <c r="R204" s="18"/>
      <c r="S204" s="18"/>
      <c r="T204" s="18"/>
      <c r="U204" s="18"/>
      <c r="V204" s="18"/>
      <c r="W204" s="15"/>
      <c r="X204" s="15"/>
    </row>
    <row r="205">
      <c r="A205" s="7">
        <v>204.0</v>
      </c>
      <c r="B205" s="8" t="s">
        <v>991</v>
      </c>
      <c r="C205" s="9" t="s">
        <v>992</v>
      </c>
      <c r="D205" s="10" t="str">
        <f>HYPERLINK("https://facebook.com/367089020688300_553933468670520", "367089020688300_553933468670520")</f>
        <v>367089020688300_553933468670520</v>
      </c>
      <c r="E205" s="11">
        <v>973.0</v>
      </c>
      <c r="F205" s="11">
        <v>252.0</v>
      </c>
      <c r="G205" s="11">
        <v>153.0</v>
      </c>
      <c r="H205" s="9" t="s">
        <v>26</v>
      </c>
      <c r="I205" s="9" t="s">
        <v>993</v>
      </c>
      <c r="J205" s="9" t="s">
        <v>994</v>
      </c>
      <c r="K205" s="9" t="s">
        <v>995</v>
      </c>
      <c r="L205" s="9" t="s">
        <v>30</v>
      </c>
      <c r="M205" s="9" t="s">
        <v>31</v>
      </c>
      <c r="N205" s="9" t="s">
        <v>32</v>
      </c>
      <c r="O205" s="12" t="s">
        <v>33</v>
      </c>
      <c r="P205" s="12" t="s">
        <v>34</v>
      </c>
      <c r="Q205" s="9"/>
      <c r="R205" s="18"/>
      <c r="S205" s="18"/>
      <c r="T205" s="18"/>
      <c r="U205" s="18"/>
      <c r="V205" s="18"/>
      <c r="W205" s="15"/>
      <c r="X205" s="15"/>
    </row>
    <row r="206">
      <c r="A206" s="7">
        <v>205.0</v>
      </c>
      <c r="B206" s="8" t="s">
        <v>996</v>
      </c>
      <c r="C206" s="9" t="s">
        <v>997</v>
      </c>
      <c r="D206" s="10" t="str">
        <f>HYPERLINK("https://facebook.com/367089020688300_415979552465913", "367089020688300_415979552465913")</f>
        <v>367089020688300_415979552465913</v>
      </c>
      <c r="E206" s="11">
        <v>2432.0</v>
      </c>
      <c r="F206" s="11">
        <v>26.0</v>
      </c>
      <c r="G206" s="11">
        <v>1122.0</v>
      </c>
      <c r="H206" s="9" t="s">
        <v>26</v>
      </c>
      <c r="I206" s="9" t="s">
        <v>998</v>
      </c>
      <c r="J206" s="9" t="s">
        <v>999</v>
      </c>
      <c r="K206" s="9" t="s">
        <v>1000</v>
      </c>
      <c r="L206" s="9" t="s">
        <v>30</v>
      </c>
      <c r="M206" s="9" t="s">
        <v>31</v>
      </c>
      <c r="N206" s="9" t="s">
        <v>32</v>
      </c>
      <c r="O206" s="12" t="s">
        <v>33</v>
      </c>
      <c r="P206" s="12" t="s">
        <v>34</v>
      </c>
      <c r="Q206" s="9"/>
      <c r="R206" s="18"/>
      <c r="S206" s="18"/>
      <c r="T206" s="18"/>
      <c r="U206" s="18"/>
      <c r="V206" s="18"/>
      <c r="W206" s="15"/>
      <c r="X206" s="15"/>
    </row>
    <row r="207">
      <c r="A207" s="7">
        <v>206.0</v>
      </c>
      <c r="B207" s="8" t="s">
        <v>1001</v>
      </c>
      <c r="C207" s="9" t="s">
        <v>1002</v>
      </c>
      <c r="D207" s="10" t="str">
        <f>HYPERLINK("https://facebook.com/367089020688300_523033385093862", "367089020688300_523033385093862")</f>
        <v>367089020688300_523033385093862</v>
      </c>
      <c r="E207" s="11">
        <v>1180.0</v>
      </c>
      <c r="F207" s="11">
        <v>184.0</v>
      </c>
      <c r="G207" s="11">
        <v>1250.0</v>
      </c>
      <c r="H207" s="9" t="s">
        <v>26</v>
      </c>
      <c r="I207" s="9" t="s">
        <v>1003</v>
      </c>
      <c r="J207" s="16" t="s">
        <v>1004</v>
      </c>
      <c r="K207" s="9"/>
      <c r="L207" s="9" t="s">
        <v>30</v>
      </c>
      <c r="M207" s="9" t="s">
        <v>31</v>
      </c>
      <c r="N207" s="9" t="s">
        <v>32</v>
      </c>
      <c r="O207" s="12" t="s">
        <v>33</v>
      </c>
      <c r="P207" s="12" t="s">
        <v>34</v>
      </c>
      <c r="Q207" s="9"/>
      <c r="R207" s="18"/>
      <c r="S207" s="18"/>
      <c r="T207" s="18"/>
      <c r="U207" s="18"/>
      <c r="V207" s="18"/>
      <c r="W207" s="15"/>
      <c r="X207" s="15"/>
    </row>
    <row r="208">
      <c r="A208" s="7">
        <v>207.0</v>
      </c>
      <c r="B208" s="8" t="s">
        <v>1005</v>
      </c>
      <c r="C208" s="9" t="s">
        <v>1006</v>
      </c>
      <c r="D208" s="10" t="str">
        <f>HYPERLINK("https://facebook.com/367089020688300_550526159011251", "367089020688300_550526159011251")</f>
        <v>367089020688300_550526159011251</v>
      </c>
      <c r="E208" s="11">
        <v>240.0</v>
      </c>
      <c r="F208" s="11">
        <v>15.0</v>
      </c>
      <c r="G208" s="11">
        <v>345.0</v>
      </c>
      <c r="H208" s="9" t="s">
        <v>26</v>
      </c>
      <c r="I208" s="9" t="s">
        <v>1007</v>
      </c>
      <c r="J208" s="16" t="s">
        <v>1008</v>
      </c>
      <c r="K208" s="9"/>
      <c r="L208" s="9" t="s">
        <v>30</v>
      </c>
      <c r="M208" s="9" t="s">
        <v>31</v>
      </c>
      <c r="N208" s="9" t="s">
        <v>32</v>
      </c>
      <c r="O208" s="12" t="s">
        <v>33</v>
      </c>
      <c r="P208" s="12" t="s">
        <v>34</v>
      </c>
      <c r="Q208" s="9"/>
      <c r="R208" s="18"/>
      <c r="S208" s="18"/>
      <c r="T208" s="18"/>
      <c r="U208" s="18"/>
      <c r="V208" s="18"/>
      <c r="W208" s="15"/>
      <c r="X208" s="15"/>
    </row>
    <row r="209">
      <c r="A209" s="7">
        <v>208.0</v>
      </c>
      <c r="B209" s="8" t="s">
        <v>1009</v>
      </c>
      <c r="C209" s="9" t="s">
        <v>1010</v>
      </c>
      <c r="D209" s="10" t="str">
        <f>HYPERLINK("https://facebook.com/367089020688300_558297324900801", "367089020688300_558297324900801")</f>
        <v>367089020688300_558297324900801</v>
      </c>
      <c r="E209" s="11">
        <v>10.0</v>
      </c>
      <c r="F209" s="11">
        <v>0.0</v>
      </c>
      <c r="G209" s="11">
        <v>1.0</v>
      </c>
      <c r="H209" s="9" t="s">
        <v>26</v>
      </c>
      <c r="I209" s="9" t="s">
        <v>1011</v>
      </c>
      <c r="J209" s="16" t="s">
        <v>1012</v>
      </c>
      <c r="K209" s="9"/>
      <c r="L209" s="9" t="s">
        <v>30</v>
      </c>
      <c r="M209" s="9" t="s">
        <v>31</v>
      </c>
      <c r="N209" s="9" t="s">
        <v>32</v>
      </c>
      <c r="O209" s="12" t="s">
        <v>33</v>
      </c>
      <c r="P209" s="12" t="s">
        <v>34</v>
      </c>
      <c r="Q209" s="9"/>
      <c r="R209" s="18"/>
      <c r="S209" s="18"/>
      <c r="T209" s="18"/>
      <c r="U209" s="18"/>
      <c r="V209" s="18"/>
      <c r="W209" s="15"/>
      <c r="X209" s="15"/>
    </row>
    <row r="210">
      <c r="A210" s="7">
        <v>209.0</v>
      </c>
      <c r="B210" s="8" t="s">
        <v>1013</v>
      </c>
      <c r="C210" s="9" t="s">
        <v>1014</v>
      </c>
      <c r="D210" s="10" t="str">
        <f>HYPERLINK("https://facebook.com/367089020688300_542805123116688", "367089020688300_542805123116688")</f>
        <v>367089020688300_542805123116688</v>
      </c>
      <c r="E210" s="11">
        <v>23.0</v>
      </c>
      <c r="F210" s="11">
        <v>0.0</v>
      </c>
      <c r="G210" s="11">
        <v>4.0</v>
      </c>
      <c r="H210" s="9" t="s">
        <v>26</v>
      </c>
      <c r="I210" s="9" t="s">
        <v>1015</v>
      </c>
      <c r="J210" s="9" t="s">
        <v>1016</v>
      </c>
      <c r="K210" s="9" t="s">
        <v>1017</v>
      </c>
      <c r="L210" s="9" t="s">
        <v>30</v>
      </c>
      <c r="M210" s="9" t="s">
        <v>31</v>
      </c>
      <c r="N210" s="9" t="s">
        <v>32</v>
      </c>
      <c r="O210" s="12" t="s">
        <v>33</v>
      </c>
      <c r="P210" s="12" t="s">
        <v>34</v>
      </c>
      <c r="Q210" s="9"/>
      <c r="R210" s="18"/>
      <c r="S210" s="18"/>
      <c r="T210" s="18"/>
      <c r="U210" s="18"/>
      <c r="V210" s="18"/>
      <c r="W210" s="15"/>
      <c r="X210" s="15"/>
    </row>
    <row r="211">
      <c r="A211" s="7">
        <v>210.0</v>
      </c>
      <c r="B211" s="8" t="s">
        <v>1018</v>
      </c>
      <c r="C211" s="9" t="s">
        <v>1019</v>
      </c>
      <c r="D211" s="10" t="str">
        <f>HYPERLINK("https://facebook.com/367089020688300_468309540566247", "367089020688300_468309540566247")</f>
        <v>367089020688300_468309540566247</v>
      </c>
      <c r="E211" s="11">
        <v>306.0</v>
      </c>
      <c r="F211" s="11">
        <v>5.0</v>
      </c>
      <c r="G211" s="11">
        <v>235.0</v>
      </c>
      <c r="H211" s="9" t="s">
        <v>26</v>
      </c>
      <c r="I211" s="9" t="s">
        <v>1020</v>
      </c>
      <c r="J211" s="9" t="s">
        <v>1021</v>
      </c>
      <c r="K211" s="9" t="s">
        <v>1022</v>
      </c>
      <c r="L211" s="9" t="s">
        <v>30</v>
      </c>
      <c r="M211" s="9" t="s">
        <v>31</v>
      </c>
      <c r="N211" s="9" t="s">
        <v>32</v>
      </c>
      <c r="O211" s="12" t="s">
        <v>33</v>
      </c>
      <c r="P211" s="12" t="s">
        <v>34</v>
      </c>
      <c r="Q211" s="9"/>
      <c r="R211" s="18"/>
      <c r="S211" s="18"/>
      <c r="T211" s="18"/>
      <c r="U211" s="18"/>
      <c r="V211" s="18"/>
      <c r="W211" s="15"/>
      <c r="X211" s="15"/>
    </row>
    <row r="212">
      <c r="A212" s="7">
        <v>211.0</v>
      </c>
      <c r="B212" s="8" t="s">
        <v>1023</v>
      </c>
      <c r="C212" s="9" t="s">
        <v>1024</v>
      </c>
      <c r="D212" s="10" t="str">
        <f>HYPERLINK("https://facebook.com/367089020688300_478396652890869", "367089020688300_478396652890869")</f>
        <v>367089020688300_478396652890869</v>
      </c>
      <c r="E212" s="11">
        <v>697.0</v>
      </c>
      <c r="F212" s="11">
        <v>31.0</v>
      </c>
      <c r="G212" s="11">
        <v>749.0</v>
      </c>
      <c r="H212" s="9" t="s">
        <v>26</v>
      </c>
      <c r="I212" s="9" t="s">
        <v>1025</v>
      </c>
      <c r="J212" s="9" t="s">
        <v>1026</v>
      </c>
      <c r="K212" s="9" t="s">
        <v>1027</v>
      </c>
      <c r="L212" s="9" t="s">
        <v>30</v>
      </c>
      <c r="M212" s="9" t="s">
        <v>31</v>
      </c>
      <c r="N212" s="9" t="s">
        <v>32</v>
      </c>
      <c r="O212" s="12" t="s">
        <v>33</v>
      </c>
      <c r="P212" s="12" t="s">
        <v>34</v>
      </c>
      <c r="Q212" s="9"/>
      <c r="R212" s="18"/>
      <c r="S212" s="18"/>
      <c r="T212" s="18"/>
      <c r="U212" s="18"/>
      <c r="V212" s="18"/>
      <c r="W212" s="15"/>
      <c r="X212" s="15"/>
    </row>
    <row r="213">
      <c r="A213" s="7">
        <v>212.0</v>
      </c>
      <c r="B213" s="8" t="s">
        <v>1028</v>
      </c>
      <c r="C213" s="9" t="s">
        <v>1029</v>
      </c>
      <c r="D213" s="10" t="str">
        <f>HYPERLINK("https://facebook.com/367089020688300_426036691460199", "367089020688300_426036691460199")</f>
        <v>367089020688300_426036691460199</v>
      </c>
      <c r="E213" s="11">
        <v>7.0</v>
      </c>
      <c r="F213" s="11">
        <v>0.0</v>
      </c>
      <c r="G213" s="11">
        <v>8.0</v>
      </c>
      <c r="H213" s="9" t="s">
        <v>26</v>
      </c>
      <c r="I213" s="9" t="s">
        <v>1030</v>
      </c>
      <c r="J213" s="9" t="s">
        <v>1031</v>
      </c>
      <c r="K213" s="9" t="s">
        <v>1032</v>
      </c>
      <c r="L213" s="9" t="s">
        <v>30</v>
      </c>
      <c r="M213" s="9" t="s">
        <v>31</v>
      </c>
      <c r="N213" s="9" t="s">
        <v>32</v>
      </c>
      <c r="O213" s="12" t="s">
        <v>33</v>
      </c>
      <c r="P213" s="12" t="s">
        <v>34</v>
      </c>
      <c r="Q213" s="9"/>
      <c r="R213" s="18"/>
      <c r="S213" s="18"/>
      <c r="T213" s="18"/>
      <c r="U213" s="18"/>
      <c r="V213" s="18"/>
      <c r="W213" s="15"/>
      <c r="X213" s="15"/>
    </row>
    <row r="214">
      <c r="A214" s="7">
        <v>213.0</v>
      </c>
      <c r="B214" s="8" t="s">
        <v>1033</v>
      </c>
      <c r="C214" s="9" t="s">
        <v>1034</v>
      </c>
      <c r="D214" s="10" t="str">
        <f>HYPERLINK("https://facebook.com/367089020688300_560577698006097", "367089020688300_560577698006097")</f>
        <v>367089020688300_560577698006097</v>
      </c>
      <c r="E214" s="11">
        <v>101.0</v>
      </c>
      <c r="F214" s="11">
        <v>1.0</v>
      </c>
      <c r="G214" s="11">
        <v>77.0</v>
      </c>
      <c r="H214" s="9" t="s">
        <v>26</v>
      </c>
      <c r="I214" s="9" t="s">
        <v>1035</v>
      </c>
      <c r="J214" s="9" t="s">
        <v>1036</v>
      </c>
      <c r="K214" s="9" t="s">
        <v>1037</v>
      </c>
      <c r="L214" s="9" t="s">
        <v>30</v>
      </c>
      <c r="M214" s="9" t="s">
        <v>31</v>
      </c>
      <c r="N214" s="9" t="s">
        <v>32</v>
      </c>
      <c r="O214" s="12" t="s">
        <v>33</v>
      </c>
      <c r="P214" s="12" t="s">
        <v>34</v>
      </c>
      <c r="Q214" s="9"/>
      <c r="R214" s="18"/>
      <c r="S214" s="18"/>
      <c r="T214" s="18"/>
      <c r="U214" s="18"/>
      <c r="V214" s="18"/>
      <c r="W214" s="15"/>
      <c r="X214" s="15"/>
    </row>
    <row r="215">
      <c r="A215" s="7">
        <v>214.0</v>
      </c>
      <c r="B215" s="8" t="s">
        <v>1038</v>
      </c>
      <c r="C215" s="9" t="s">
        <v>1039</v>
      </c>
      <c r="D215" s="10" t="str">
        <f>HYPERLINK("https://facebook.com/367089020688300_557024945028039", "367089020688300_557024945028039")</f>
        <v>367089020688300_557024945028039</v>
      </c>
      <c r="E215" s="11">
        <v>24.0</v>
      </c>
      <c r="F215" s="11">
        <v>0.0</v>
      </c>
      <c r="G215" s="11">
        <v>10.0</v>
      </c>
      <c r="H215" s="9" t="s">
        <v>26</v>
      </c>
      <c r="I215" s="9" t="s">
        <v>1040</v>
      </c>
      <c r="J215" s="16" t="s">
        <v>1041</v>
      </c>
      <c r="K215" s="9"/>
      <c r="L215" s="9" t="s">
        <v>30</v>
      </c>
      <c r="M215" s="9" t="s">
        <v>31</v>
      </c>
      <c r="N215" s="9" t="s">
        <v>32</v>
      </c>
      <c r="O215" s="12" t="s">
        <v>33</v>
      </c>
      <c r="P215" s="12" t="s">
        <v>34</v>
      </c>
      <c r="Q215" s="9"/>
      <c r="R215" s="18"/>
      <c r="S215" s="18"/>
      <c r="T215" s="18"/>
      <c r="U215" s="18"/>
      <c r="V215" s="18"/>
      <c r="W215" s="15"/>
      <c r="X215" s="15"/>
    </row>
    <row r="216">
      <c r="A216" s="7">
        <v>215.0</v>
      </c>
      <c r="B216" s="8" t="s">
        <v>1042</v>
      </c>
      <c r="C216" s="9" t="s">
        <v>1043</v>
      </c>
      <c r="D216" s="10" t="str">
        <f>HYPERLINK("https://facebook.com/367089020688300_447760055954529", "367089020688300_447760055954529")</f>
        <v>367089020688300_447760055954529</v>
      </c>
      <c r="E216" s="11">
        <v>211.0</v>
      </c>
      <c r="F216" s="11">
        <v>4.0</v>
      </c>
      <c r="G216" s="11">
        <v>269.0</v>
      </c>
      <c r="H216" s="9" t="s">
        <v>26</v>
      </c>
      <c r="I216" s="9" t="s">
        <v>1044</v>
      </c>
      <c r="J216" s="9" t="s">
        <v>1045</v>
      </c>
      <c r="K216" s="9" t="s">
        <v>1046</v>
      </c>
      <c r="L216" s="9" t="s">
        <v>30</v>
      </c>
      <c r="M216" s="9" t="s">
        <v>31</v>
      </c>
      <c r="N216" s="9" t="s">
        <v>32</v>
      </c>
      <c r="O216" s="12" t="s">
        <v>33</v>
      </c>
      <c r="P216" s="12" t="s">
        <v>34</v>
      </c>
      <c r="Q216" s="9"/>
      <c r="R216" s="18"/>
      <c r="S216" s="18"/>
      <c r="T216" s="18"/>
      <c r="U216" s="18"/>
      <c r="V216" s="18"/>
      <c r="W216" s="15"/>
      <c r="X216" s="15"/>
    </row>
    <row r="217">
      <c r="A217" s="7">
        <v>216.0</v>
      </c>
      <c r="B217" s="8" t="s">
        <v>1047</v>
      </c>
      <c r="C217" s="9" t="s">
        <v>1048</v>
      </c>
      <c r="D217" s="10" t="str">
        <f>HYPERLINK("https://facebook.com/367089020688300_530133017717232", "367089020688300_530133017717232")</f>
        <v>367089020688300_530133017717232</v>
      </c>
      <c r="E217" s="11">
        <v>232.0</v>
      </c>
      <c r="F217" s="11">
        <v>7.0</v>
      </c>
      <c r="G217" s="11">
        <v>90.0</v>
      </c>
      <c r="H217" s="9" t="s">
        <v>26</v>
      </c>
      <c r="I217" s="9" t="s">
        <v>1049</v>
      </c>
      <c r="J217" s="16" t="s">
        <v>1050</v>
      </c>
      <c r="K217" s="9"/>
      <c r="L217" s="9" t="s">
        <v>30</v>
      </c>
      <c r="M217" s="9" t="s">
        <v>31</v>
      </c>
      <c r="N217" s="9" t="s">
        <v>32</v>
      </c>
      <c r="O217" s="12" t="s">
        <v>33</v>
      </c>
      <c r="P217" s="12" t="s">
        <v>34</v>
      </c>
      <c r="Q217" s="9"/>
      <c r="R217" s="18"/>
      <c r="S217" s="18"/>
      <c r="T217" s="18"/>
      <c r="U217" s="18"/>
      <c r="V217" s="18"/>
      <c r="W217" s="15"/>
      <c r="X217" s="15"/>
    </row>
    <row r="218">
      <c r="A218" s="7">
        <v>217.0</v>
      </c>
      <c r="B218" s="8" t="s">
        <v>1051</v>
      </c>
      <c r="C218" s="9" t="s">
        <v>1052</v>
      </c>
      <c r="D218" s="10" t="str">
        <f>HYPERLINK("https://facebook.com/367089020688300_561347041262496", "367089020688300_561347041262496")</f>
        <v>367089020688300_561347041262496</v>
      </c>
      <c r="E218" s="11">
        <v>316.0</v>
      </c>
      <c r="F218" s="11">
        <v>1.0</v>
      </c>
      <c r="G218" s="11">
        <v>127.0</v>
      </c>
      <c r="H218" s="9" t="s">
        <v>26</v>
      </c>
      <c r="I218" s="9" t="s">
        <v>1053</v>
      </c>
      <c r="J218" s="16" t="s">
        <v>1054</v>
      </c>
      <c r="K218" s="9"/>
      <c r="L218" s="9" t="s">
        <v>30</v>
      </c>
      <c r="M218" s="9" t="s">
        <v>31</v>
      </c>
      <c r="N218" s="9" t="s">
        <v>32</v>
      </c>
      <c r="O218" s="12" t="s">
        <v>33</v>
      </c>
      <c r="P218" s="12" t="s">
        <v>34</v>
      </c>
      <c r="Q218" s="9"/>
      <c r="R218" s="18"/>
      <c r="S218" s="18"/>
      <c r="T218" s="18"/>
      <c r="U218" s="18"/>
      <c r="V218" s="18"/>
      <c r="W218" s="15"/>
      <c r="X218" s="15"/>
    </row>
    <row r="219">
      <c r="A219" s="7">
        <v>218.0</v>
      </c>
      <c r="B219" s="8" t="s">
        <v>1055</v>
      </c>
      <c r="C219" s="9" t="s">
        <v>1056</v>
      </c>
      <c r="D219" s="10" t="str">
        <f>HYPERLINK("https://facebook.com/367089020688300_556192338444633", "367089020688300_556192338444633")</f>
        <v>367089020688300_556192338444633</v>
      </c>
      <c r="E219" s="11">
        <v>410.0</v>
      </c>
      <c r="F219" s="11">
        <v>8.0</v>
      </c>
      <c r="G219" s="11">
        <v>390.0</v>
      </c>
      <c r="H219" s="9" t="s">
        <v>26</v>
      </c>
      <c r="I219" s="9" t="s">
        <v>1057</v>
      </c>
      <c r="J219" s="16" t="s">
        <v>1058</v>
      </c>
      <c r="K219" s="9"/>
      <c r="L219" s="9" t="s">
        <v>30</v>
      </c>
      <c r="M219" s="9" t="s">
        <v>31</v>
      </c>
      <c r="N219" s="9" t="s">
        <v>32</v>
      </c>
      <c r="O219" s="12" t="s">
        <v>33</v>
      </c>
      <c r="P219" s="12" t="s">
        <v>34</v>
      </c>
      <c r="Q219" s="9"/>
      <c r="R219" s="18"/>
      <c r="S219" s="18"/>
      <c r="T219" s="18"/>
      <c r="U219" s="18"/>
      <c r="V219" s="18"/>
      <c r="W219" s="15"/>
      <c r="X219" s="15"/>
    </row>
    <row r="220">
      <c r="A220" s="7">
        <v>219.0</v>
      </c>
      <c r="B220" s="8" t="s">
        <v>1059</v>
      </c>
      <c r="C220" s="9" t="s">
        <v>1060</v>
      </c>
      <c r="D220" s="10" t="str">
        <f>HYPERLINK("https://facebook.com/367089020688300_553219102075290", "367089020688300_553219102075290")</f>
        <v>367089020688300_553219102075290</v>
      </c>
      <c r="E220" s="11">
        <v>1262.0</v>
      </c>
      <c r="F220" s="11">
        <v>42.0</v>
      </c>
      <c r="G220" s="11">
        <v>700.0</v>
      </c>
      <c r="H220" s="9" t="s">
        <v>26</v>
      </c>
      <c r="I220" s="9" t="s">
        <v>1061</v>
      </c>
      <c r="J220" s="16" t="s">
        <v>1062</v>
      </c>
      <c r="K220" s="9"/>
      <c r="L220" s="9" t="s">
        <v>30</v>
      </c>
      <c r="M220" s="9" t="s">
        <v>31</v>
      </c>
      <c r="N220" s="9" t="s">
        <v>32</v>
      </c>
      <c r="O220" s="12" t="s">
        <v>33</v>
      </c>
      <c r="P220" s="12" t="s">
        <v>34</v>
      </c>
      <c r="Q220" s="9"/>
      <c r="R220" s="18"/>
      <c r="S220" s="18"/>
      <c r="T220" s="18"/>
      <c r="U220" s="18"/>
      <c r="V220" s="18"/>
      <c r="W220" s="15"/>
      <c r="X220" s="15"/>
    </row>
    <row r="221">
      <c r="A221" s="7">
        <v>220.0</v>
      </c>
      <c r="B221" s="8" t="s">
        <v>1063</v>
      </c>
      <c r="C221" s="9" t="s">
        <v>1064</v>
      </c>
      <c r="D221" s="10" t="str">
        <f>HYPERLINK("https://facebook.com/367089020688300_403641210366414", "367089020688300_403641210366414")</f>
        <v>367089020688300_403641210366414</v>
      </c>
      <c r="E221" s="11">
        <v>327.0</v>
      </c>
      <c r="F221" s="11">
        <v>2.0</v>
      </c>
      <c r="G221" s="11">
        <v>184.0</v>
      </c>
      <c r="H221" s="9" t="s">
        <v>26</v>
      </c>
      <c r="I221" s="9" t="s">
        <v>936</v>
      </c>
      <c r="J221" s="9" t="s">
        <v>1065</v>
      </c>
      <c r="K221" s="9" t="s">
        <v>476</v>
      </c>
      <c r="L221" s="9" t="s">
        <v>30</v>
      </c>
      <c r="M221" s="9" t="s">
        <v>31</v>
      </c>
      <c r="N221" s="9" t="s">
        <v>32</v>
      </c>
      <c r="O221" s="12" t="s">
        <v>33</v>
      </c>
      <c r="P221" s="12" t="s">
        <v>34</v>
      </c>
      <c r="Q221" s="9"/>
      <c r="R221" s="18"/>
      <c r="S221" s="18"/>
      <c r="T221" s="18"/>
      <c r="U221" s="18"/>
      <c r="V221" s="18"/>
      <c r="W221" s="15"/>
      <c r="X221" s="15"/>
    </row>
    <row r="222">
      <c r="A222" s="7">
        <v>221.0</v>
      </c>
      <c r="B222" s="8" t="s">
        <v>1066</v>
      </c>
      <c r="C222" s="9" t="s">
        <v>1067</v>
      </c>
      <c r="D222" s="10" t="str">
        <f>HYPERLINK("https://facebook.com/367089020688300_441366959927172", "367089020688300_441366959927172")</f>
        <v>367089020688300_441366959927172</v>
      </c>
      <c r="E222" s="11">
        <v>194.0</v>
      </c>
      <c r="F222" s="11">
        <v>5.0</v>
      </c>
      <c r="G222" s="11">
        <v>136.0</v>
      </c>
      <c r="H222" s="9" t="s">
        <v>26</v>
      </c>
      <c r="I222" s="9" t="s">
        <v>1068</v>
      </c>
      <c r="J222" s="9" t="s">
        <v>1069</v>
      </c>
      <c r="K222" s="9" t="s">
        <v>1070</v>
      </c>
      <c r="L222" s="9" t="s">
        <v>30</v>
      </c>
      <c r="M222" s="9" t="s">
        <v>31</v>
      </c>
      <c r="N222" s="9" t="s">
        <v>32</v>
      </c>
      <c r="O222" s="12" t="s">
        <v>33</v>
      </c>
      <c r="P222" s="12" t="s">
        <v>34</v>
      </c>
      <c r="Q222" s="9"/>
      <c r="R222" s="18"/>
      <c r="S222" s="18"/>
      <c r="T222" s="18"/>
      <c r="U222" s="18"/>
      <c r="V222" s="18"/>
      <c r="W222" s="15"/>
      <c r="X222" s="15"/>
    </row>
    <row r="223">
      <c r="A223" s="7">
        <v>222.0</v>
      </c>
      <c r="B223" s="8" t="s">
        <v>1071</v>
      </c>
      <c r="C223" s="9" t="s">
        <v>1072</v>
      </c>
      <c r="D223" s="10" t="str">
        <f>HYPERLINK("https://facebook.com/367089020688300_539001940163673", "367089020688300_539001940163673")</f>
        <v>367089020688300_539001940163673</v>
      </c>
      <c r="E223" s="11">
        <v>141.0</v>
      </c>
      <c r="F223" s="11">
        <v>1.0</v>
      </c>
      <c r="G223" s="11">
        <v>78.0</v>
      </c>
      <c r="H223" s="9" t="s">
        <v>26</v>
      </c>
      <c r="I223" s="9" t="s">
        <v>1073</v>
      </c>
      <c r="J223" s="16" t="s">
        <v>1074</v>
      </c>
      <c r="K223" s="9"/>
      <c r="L223" s="9" t="s">
        <v>30</v>
      </c>
      <c r="M223" s="9" t="s">
        <v>31</v>
      </c>
      <c r="N223" s="9" t="s">
        <v>32</v>
      </c>
      <c r="O223" s="12" t="s">
        <v>33</v>
      </c>
      <c r="P223" s="12" t="s">
        <v>34</v>
      </c>
      <c r="Q223" s="9"/>
      <c r="R223" s="18"/>
      <c r="S223" s="18"/>
      <c r="T223" s="18"/>
      <c r="U223" s="18"/>
      <c r="V223" s="18"/>
      <c r="W223" s="15"/>
      <c r="X223" s="15"/>
    </row>
    <row r="224">
      <c r="A224" s="7">
        <v>223.0</v>
      </c>
      <c r="B224" s="8" t="s">
        <v>1075</v>
      </c>
      <c r="C224" s="9" t="s">
        <v>1076</v>
      </c>
      <c r="D224" s="10" t="str">
        <f>HYPERLINK("https://facebook.com/367089020688300_550644268999440", "367089020688300_550644268999440")</f>
        <v>367089020688300_550644268999440</v>
      </c>
      <c r="E224" s="11">
        <v>431.0</v>
      </c>
      <c r="F224" s="11">
        <v>9.0</v>
      </c>
      <c r="G224" s="11">
        <v>518.0</v>
      </c>
      <c r="H224" s="9" t="s">
        <v>26</v>
      </c>
      <c r="I224" s="9" t="s">
        <v>1077</v>
      </c>
      <c r="J224" s="16" t="s">
        <v>1078</v>
      </c>
      <c r="K224" s="9"/>
      <c r="L224" s="9" t="s">
        <v>30</v>
      </c>
      <c r="M224" s="9" t="s">
        <v>31</v>
      </c>
      <c r="N224" s="9" t="s">
        <v>32</v>
      </c>
      <c r="O224" s="12" t="s">
        <v>33</v>
      </c>
      <c r="P224" s="12" t="s">
        <v>34</v>
      </c>
      <c r="Q224" s="9"/>
      <c r="R224" s="18"/>
      <c r="S224" s="18"/>
      <c r="T224" s="18"/>
      <c r="U224" s="18"/>
      <c r="V224" s="18"/>
      <c r="W224" s="15"/>
      <c r="X224" s="15"/>
    </row>
    <row r="225">
      <c r="A225" s="7">
        <v>224.0</v>
      </c>
      <c r="B225" s="8" t="s">
        <v>1079</v>
      </c>
      <c r="C225" s="9" t="s">
        <v>1080</v>
      </c>
      <c r="D225" s="10" t="str">
        <f>HYPERLINK("https://facebook.com/367089020688300_490158508381350", "367089020688300_490158508381350")</f>
        <v>367089020688300_490158508381350</v>
      </c>
      <c r="E225" s="11">
        <v>5049.0</v>
      </c>
      <c r="F225" s="11">
        <v>244.0</v>
      </c>
      <c r="G225" s="11">
        <v>664.0</v>
      </c>
      <c r="H225" s="9" t="s">
        <v>26</v>
      </c>
      <c r="I225" s="9" t="s">
        <v>1081</v>
      </c>
      <c r="J225" s="16" t="s">
        <v>1082</v>
      </c>
      <c r="K225" s="9"/>
      <c r="L225" s="9" t="s">
        <v>30</v>
      </c>
      <c r="M225" s="9" t="s">
        <v>31</v>
      </c>
      <c r="N225" s="9" t="s">
        <v>32</v>
      </c>
      <c r="O225" s="12" t="s">
        <v>33</v>
      </c>
      <c r="P225" s="12" t="s">
        <v>34</v>
      </c>
      <c r="Q225" s="9"/>
      <c r="R225" s="18"/>
      <c r="S225" s="18"/>
      <c r="T225" s="18"/>
      <c r="U225" s="18"/>
      <c r="V225" s="18"/>
      <c r="W225" s="15"/>
      <c r="X225" s="15"/>
    </row>
    <row r="226">
      <c r="A226" s="7">
        <v>225.0</v>
      </c>
      <c r="B226" s="8" t="s">
        <v>1083</v>
      </c>
      <c r="C226" s="9" t="s">
        <v>1084</v>
      </c>
      <c r="D226" s="10" t="str">
        <f>HYPERLINK("https://facebook.com/367089020688300_555215425208991", "367089020688300_555215425208991")</f>
        <v>367089020688300_555215425208991</v>
      </c>
      <c r="E226" s="11">
        <v>7.0</v>
      </c>
      <c r="F226" s="11">
        <v>0.0</v>
      </c>
      <c r="G226" s="11">
        <v>13.0</v>
      </c>
      <c r="H226" s="9" t="s">
        <v>26</v>
      </c>
      <c r="I226" s="9" t="s">
        <v>1085</v>
      </c>
      <c r="J226" s="9" t="s">
        <v>1086</v>
      </c>
      <c r="K226" s="9" t="s">
        <v>1087</v>
      </c>
      <c r="L226" s="9" t="s">
        <v>30</v>
      </c>
      <c r="M226" s="9" t="s">
        <v>31</v>
      </c>
      <c r="N226" s="9" t="s">
        <v>32</v>
      </c>
      <c r="O226" s="12" t="s">
        <v>33</v>
      </c>
      <c r="P226" s="12" t="s">
        <v>34</v>
      </c>
      <c r="Q226" s="9"/>
      <c r="R226" s="18"/>
      <c r="S226" s="18"/>
      <c r="T226" s="18"/>
      <c r="U226" s="18"/>
      <c r="V226" s="18"/>
      <c r="W226" s="15"/>
      <c r="X226" s="15"/>
    </row>
    <row r="227">
      <c r="A227" s="7">
        <v>226.0</v>
      </c>
      <c r="B227" s="8" t="s">
        <v>1088</v>
      </c>
      <c r="C227" s="9" t="s">
        <v>1089</v>
      </c>
      <c r="D227" s="10" t="str">
        <f>HYPERLINK("https://facebook.com/367089020688300_539890810074786", "367089020688300_539890810074786")</f>
        <v>367089020688300_539890810074786</v>
      </c>
      <c r="E227" s="11">
        <v>582.0</v>
      </c>
      <c r="F227" s="11">
        <v>21.0</v>
      </c>
      <c r="G227" s="11">
        <v>408.0</v>
      </c>
      <c r="H227" s="9" t="s">
        <v>26</v>
      </c>
      <c r="I227" s="9" t="s">
        <v>1090</v>
      </c>
      <c r="J227" s="16" t="s">
        <v>1091</v>
      </c>
      <c r="K227" s="9"/>
      <c r="L227" s="9" t="s">
        <v>30</v>
      </c>
      <c r="M227" s="9" t="s">
        <v>31</v>
      </c>
      <c r="N227" s="9" t="s">
        <v>32</v>
      </c>
      <c r="O227" s="12" t="s">
        <v>34</v>
      </c>
      <c r="P227" s="12" t="s">
        <v>34</v>
      </c>
      <c r="Q227" s="9"/>
      <c r="R227" s="18"/>
      <c r="S227" s="18"/>
      <c r="T227" s="18"/>
      <c r="U227" s="18"/>
      <c r="V227" s="18"/>
      <c r="W227" s="15"/>
      <c r="X227" s="15"/>
    </row>
    <row r="228">
      <c r="A228" s="7">
        <v>227.0</v>
      </c>
      <c r="B228" s="8" t="s">
        <v>1092</v>
      </c>
      <c r="C228" s="9" t="s">
        <v>1093</v>
      </c>
      <c r="D228" s="10" t="str">
        <f>HYPERLINK("https://facebook.com/367089020688300_553456668718200", "367089020688300_553456668718200")</f>
        <v>367089020688300_553456668718200</v>
      </c>
      <c r="E228" s="11">
        <v>23.0</v>
      </c>
      <c r="F228" s="11">
        <v>1.0</v>
      </c>
      <c r="G228" s="11">
        <v>22.0</v>
      </c>
      <c r="H228" s="9" t="s">
        <v>26</v>
      </c>
      <c r="I228" s="9" t="s">
        <v>1094</v>
      </c>
      <c r="J228" s="9" t="s">
        <v>1095</v>
      </c>
      <c r="K228" s="9" t="s">
        <v>1096</v>
      </c>
      <c r="L228" s="9" t="s">
        <v>30</v>
      </c>
      <c r="M228" s="9" t="s">
        <v>31</v>
      </c>
      <c r="N228" s="9" t="s">
        <v>32</v>
      </c>
      <c r="O228" s="12" t="s">
        <v>33</v>
      </c>
      <c r="P228" s="12" t="s">
        <v>34</v>
      </c>
      <c r="Q228" s="9"/>
      <c r="R228" s="18"/>
      <c r="S228" s="18"/>
      <c r="T228" s="18"/>
      <c r="U228" s="18"/>
      <c r="V228" s="18"/>
      <c r="W228" s="15"/>
      <c r="X228" s="15"/>
    </row>
    <row r="229">
      <c r="A229" s="7">
        <v>228.0</v>
      </c>
      <c r="B229" s="8" t="s">
        <v>1097</v>
      </c>
      <c r="C229" s="9" t="s">
        <v>1098</v>
      </c>
      <c r="D229" s="10" t="str">
        <f>HYPERLINK("https://facebook.com/367089020688300_404325893631279", "367089020688300_404325893631279")</f>
        <v>367089020688300_404325893631279</v>
      </c>
      <c r="E229" s="11">
        <v>485.0</v>
      </c>
      <c r="F229" s="11">
        <v>8.0</v>
      </c>
      <c r="G229" s="11">
        <v>367.0</v>
      </c>
      <c r="H229" s="9" t="s">
        <v>26</v>
      </c>
      <c r="I229" s="9" t="s">
        <v>1099</v>
      </c>
      <c r="J229" s="9" t="s">
        <v>1100</v>
      </c>
      <c r="K229" s="9" t="s">
        <v>1101</v>
      </c>
      <c r="L229" s="9" t="s">
        <v>30</v>
      </c>
      <c r="M229" s="9" t="s">
        <v>31</v>
      </c>
      <c r="N229" s="9" t="s">
        <v>32</v>
      </c>
      <c r="O229" s="12" t="s">
        <v>33</v>
      </c>
      <c r="P229" s="12" t="s">
        <v>34</v>
      </c>
      <c r="Q229" s="9"/>
      <c r="R229" s="18"/>
      <c r="S229" s="18"/>
      <c r="T229" s="18"/>
      <c r="U229" s="18"/>
      <c r="V229" s="18"/>
      <c r="W229" s="15"/>
      <c r="X229" s="15"/>
    </row>
    <row r="230">
      <c r="A230" s="7">
        <v>229.0</v>
      </c>
      <c r="B230" s="8" t="s">
        <v>1102</v>
      </c>
      <c r="C230" s="9" t="s">
        <v>1103</v>
      </c>
      <c r="D230" s="10" t="str">
        <f>HYPERLINK("https://facebook.com/367089020688300_528309534566247", "367089020688300_528309534566247")</f>
        <v>367089020688300_528309534566247</v>
      </c>
      <c r="E230" s="11">
        <v>35.0</v>
      </c>
      <c r="F230" s="11">
        <v>0.0</v>
      </c>
      <c r="G230" s="11">
        <v>37.0</v>
      </c>
      <c r="H230" s="9" t="s">
        <v>26</v>
      </c>
      <c r="I230" s="9" t="s">
        <v>1104</v>
      </c>
      <c r="J230" s="9" t="s">
        <v>1105</v>
      </c>
      <c r="K230" s="9" t="s">
        <v>1106</v>
      </c>
      <c r="L230" s="9" t="s">
        <v>30</v>
      </c>
      <c r="M230" s="9" t="s">
        <v>31</v>
      </c>
      <c r="N230" s="9" t="s">
        <v>32</v>
      </c>
      <c r="O230" s="12" t="s">
        <v>33</v>
      </c>
      <c r="P230" s="12" t="s">
        <v>34</v>
      </c>
      <c r="Q230" s="9"/>
      <c r="R230" s="18"/>
      <c r="S230" s="18"/>
      <c r="T230" s="18"/>
      <c r="U230" s="18"/>
      <c r="V230" s="18"/>
      <c r="W230" s="15"/>
      <c r="X230" s="15"/>
    </row>
    <row r="231">
      <c r="A231" s="7">
        <v>230.0</v>
      </c>
      <c r="B231" s="8" t="s">
        <v>1107</v>
      </c>
      <c r="C231" s="9" t="s">
        <v>1108</v>
      </c>
      <c r="D231" s="10" t="str">
        <f>HYPERLINK("https://facebook.com/367089020688300_514678749262659", "367089020688300_514678749262659")</f>
        <v>367089020688300_514678749262659</v>
      </c>
      <c r="E231" s="11">
        <v>10.0</v>
      </c>
      <c r="F231" s="11">
        <v>1.0</v>
      </c>
      <c r="G231" s="11">
        <v>18.0</v>
      </c>
      <c r="H231" s="9" t="s">
        <v>26</v>
      </c>
      <c r="I231" s="9" t="s">
        <v>1109</v>
      </c>
      <c r="J231" s="16" t="s">
        <v>1110</v>
      </c>
      <c r="K231" s="9"/>
      <c r="L231" s="9" t="s">
        <v>30</v>
      </c>
      <c r="M231" s="9" t="s">
        <v>31</v>
      </c>
      <c r="N231" s="9" t="s">
        <v>32</v>
      </c>
      <c r="O231" s="12" t="s">
        <v>33</v>
      </c>
      <c r="P231" s="12" t="s">
        <v>34</v>
      </c>
      <c r="Q231" s="9"/>
      <c r="R231" s="18"/>
      <c r="S231" s="18"/>
      <c r="T231" s="18"/>
      <c r="U231" s="18"/>
      <c r="V231" s="18"/>
      <c r="W231" s="15"/>
      <c r="X231" s="15"/>
    </row>
    <row r="232">
      <c r="A232" s="7">
        <v>231.0</v>
      </c>
      <c r="B232" s="8" t="s">
        <v>1111</v>
      </c>
      <c r="C232" s="9" t="s">
        <v>1112</v>
      </c>
      <c r="D232" s="10" t="str">
        <f>HYPERLINK("https://facebook.com/367089020688300_394175664646302", "367089020688300_394175664646302")</f>
        <v>367089020688300_394175664646302</v>
      </c>
      <c r="E232" s="11">
        <v>76.0</v>
      </c>
      <c r="F232" s="11">
        <v>0.0</v>
      </c>
      <c r="G232" s="11">
        <v>50.0</v>
      </c>
      <c r="H232" s="9" t="s">
        <v>26</v>
      </c>
      <c r="I232" s="9" t="s">
        <v>1113</v>
      </c>
      <c r="J232" s="9" t="s">
        <v>1114</v>
      </c>
      <c r="K232" s="9" t="s">
        <v>1115</v>
      </c>
      <c r="L232" s="9" t="s">
        <v>30</v>
      </c>
      <c r="M232" s="9" t="s">
        <v>31</v>
      </c>
      <c r="N232" s="9" t="s">
        <v>32</v>
      </c>
      <c r="O232" s="12" t="s">
        <v>33</v>
      </c>
      <c r="P232" s="12" t="s">
        <v>34</v>
      </c>
      <c r="Q232" s="9"/>
      <c r="R232" s="18"/>
      <c r="S232" s="18"/>
      <c r="T232" s="18"/>
      <c r="U232" s="18"/>
      <c r="V232" s="18"/>
      <c r="W232" s="15"/>
      <c r="X232" s="15"/>
    </row>
    <row r="233">
      <c r="A233" s="7">
        <v>232.0</v>
      </c>
      <c r="B233" s="8" t="s">
        <v>1116</v>
      </c>
      <c r="C233" s="9" t="s">
        <v>1117</v>
      </c>
      <c r="D233" s="10" t="str">
        <f>HYPERLINK("https://facebook.com/367089020688300_526466764750524", "367089020688300_526466764750524")</f>
        <v>367089020688300_526466764750524</v>
      </c>
      <c r="E233" s="11">
        <v>407.0</v>
      </c>
      <c r="F233" s="11">
        <v>13.0</v>
      </c>
      <c r="G233" s="11">
        <v>498.0</v>
      </c>
      <c r="H233" s="9" t="s">
        <v>26</v>
      </c>
      <c r="I233" s="9" t="s">
        <v>1118</v>
      </c>
      <c r="J233" s="9" t="s">
        <v>1119</v>
      </c>
      <c r="K233" s="9" t="s">
        <v>1120</v>
      </c>
      <c r="L233" s="9" t="s">
        <v>30</v>
      </c>
      <c r="M233" s="9" t="s">
        <v>31</v>
      </c>
      <c r="N233" s="9" t="s">
        <v>32</v>
      </c>
      <c r="O233" s="12" t="s">
        <v>33</v>
      </c>
      <c r="P233" s="12" t="s">
        <v>34</v>
      </c>
      <c r="Q233" s="9"/>
      <c r="R233" s="18"/>
      <c r="S233" s="18"/>
      <c r="T233" s="18"/>
      <c r="U233" s="18"/>
      <c r="V233" s="18"/>
      <c r="W233" s="15"/>
      <c r="X233" s="15"/>
    </row>
    <row r="234">
      <c r="A234" s="7">
        <v>233.0</v>
      </c>
      <c r="B234" s="8" t="s">
        <v>1121</v>
      </c>
      <c r="C234" s="9" t="s">
        <v>1122</v>
      </c>
      <c r="D234" s="10" t="str">
        <f>HYPERLINK("https://facebook.com/367089020688300_545599212837279", "367089020688300_545599212837279")</f>
        <v>367089020688300_545599212837279</v>
      </c>
      <c r="E234" s="11">
        <v>492.0</v>
      </c>
      <c r="F234" s="11">
        <v>0.0</v>
      </c>
      <c r="G234" s="11">
        <v>56.0</v>
      </c>
      <c r="H234" s="9" t="s">
        <v>26</v>
      </c>
      <c r="I234" s="9" t="s">
        <v>1123</v>
      </c>
      <c r="J234" s="9" t="s">
        <v>1124</v>
      </c>
      <c r="K234" s="9" t="s">
        <v>1125</v>
      </c>
      <c r="L234" s="9" t="s">
        <v>30</v>
      </c>
      <c r="M234" s="9" t="s">
        <v>31</v>
      </c>
      <c r="N234" s="9" t="s">
        <v>32</v>
      </c>
      <c r="O234" s="12" t="s">
        <v>33</v>
      </c>
      <c r="P234" s="12" t="s">
        <v>34</v>
      </c>
      <c r="Q234" s="9"/>
      <c r="R234" s="18"/>
      <c r="S234" s="18"/>
      <c r="T234" s="18"/>
      <c r="U234" s="18"/>
      <c r="V234" s="18"/>
      <c r="W234" s="15"/>
      <c r="X234" s="15"/>
    </row>
    <row r="235">
      <c r="A235" s="7">
        <v>234.0</v>
      </c>
      <c r="B235" s="8" t="s">
        <v>1126</v>
      </c>
      <c r="C235" s="9" t="s">
        <v>1127</v>
      </c>
      <c r="D235" s="10" t="str">
        <f>HYPERLINK("https://facebook.com/367089020688300_512593642804503", "367089020688300_512593642804503")</f>
        <v>367089020688300_512593642804503</v>
      </c>
      <c r="E235" s="11">
        <v>51.0</v>
      </c>
      <c r="F235" s="11">
        <v>1.0</v>
      </c>
      <c r="G235" s="11">
        <v>65.0</v>
      </c>
      <c r="H235" s="9" t="s">
        <v>26</v>
      </c>
      <c r="I235" s="9" t="s">
        <v>1128</v>
      </c>
      <c r="J235" s="9" t="s">
        <v>1129</v>
      </c>
      <c r="K235" s="9" t="s">
        <v>1130</v>
      </c>
      <c r="L235" s="9" t="s">
        <v>30</v>
      </c>
      <c r="M235" s="9" t="s">
        <v>31</v>
      </c>
      <c r="N235" s="9" t="s">
        <v>32</v>
      </c>
      <c r="O235" s="12" t="s">
        <v>33</v>
      </c>
      <c r="P235" s="12" t="s">
        <v>34</v>
      </c>
      <c r="Q235" s="9"/>
      <c r="R235" s="18"/>
      <c r="S235" s="18"/>
      <c r="T235" s="18"/>
      <c r="U235" s="18"/>
      <c r="V235" s="18"/>
      <c r="W235" s="15"/>
      <c r="X235" s="15"/>
    </row>
    <row r="236">
      <c r="A236" s="7">
        <v>235.0</v>
      </c>
      <c r="B236" s="8" t="s">
        <v>1131</v>
      </c>
      <c r="C236" s="9" t="s">
        <v>1132</v>
      </c>
      <c r="D236" s="10" t="str">
        <f>HYPERLINK("https://facebook.com/367089020688300_523032391760628", "367089020688300_523032391760628")</f>
        <v>367089020688300_523032391760628</v>
      </c>
      <c r="E236" s="11">
        <v>139.0</v>
      </c>
      <c r="F236" s="11">
        <v>4.0</v>
      </c>
      <c r="G236" s="11">
        <v>196.0</v>
      </c>
      <c r="H236" s="9" t="s">
        <v>26</v>
      </c>
      <c r="I236" s="9" t="s">
        <v>1133</v>
      </c>
      <c r="J236" s="9" t="s">
        <v>1134</v>
      </c>
      <c r="K236" s="9" t="s">
        <v>1135</v>
      </c>
      <c r="L236" s="9" t="s">
        <v>30</v>
      </c>
      <c r="M236" s="9" t="s">
        <v>31</v>
      </c>
      <c r="N236" s="9" t="s">
        <v>32</v>
      </c>
      <c r="O236" s="12" t="s">
        <v>33</v>
      </c>
      <c r="P236" s="12" t="s">
        <v>34</v>
      </c>
      <c r="Q236" s="9"/>
      <c r="R236" s="18"/>
      <c r="S236" s="18"/>
      <c r="T236" s="18"/>
      <c r="U236" s="18"/>
      <c r="V236" s="18"/>
      <c r="W236" s="15"/>
      <c r="X236" s="15"/>
    </row>
    <row r="237">
      <c r="A237" s="7">
        <v>236.0</v>
      </c>
      <c r="B237" s="8" t="s">
        <v>1136</v>
      </c>
      <c r="C237" s="9" t="s">
        <v>1137</v>
      </c>
      <c r="D237" s="10" t="str">
        <f>HYPERLINK("https://facebook.com/367089020688300_558681638195703", "367089020688300_558681638195703")</f>
        <v>367089020688300_558681638195703</v>
      </c>
      <c r="E237" s="11">
        <v>8.0</v>
      </c>
      <c r="F237" s="11">
        <v>0.0</v>
      </c>
      <c r="G237" s="11">
        <v>11.0</v>
      </c>
      <c r="H237" s="9" t="s">
        <v>26</v>
      </c>
      <c r="I237" s="9" t="s">
        <v>1138</v>
      </c>
      <c r="J237" s="16" t="s">
        <v>1139</v>
      </c>
      <c r="K237" s="9"/>
      <c r="L237" s="9" t="s">
        <v>30</v>
      </c>
      <c r="M237" s="9" t="s">
        <v>31</v>
      </c>
      <c r="N237" s="9" t="s">
        <v>32</v>
      </c>
      <c r="O237" s="12" t="s">
        <v>33</v>
      </c>
      <c r="P237" s="12" t="s">
        <v>34</v>
      </c>
      <c r="Q237" s="9"/>
      <c r="R237" s="18"/>
      <c r="S237" s="18"/>
      <c r="T237" s="18"/>
      <c r="U237" s="18"/>
      <c r="V237" s="18"/>
      <c r="W237" s="15"/>
      <c r="X237" s="15"/>
    </row>
    <row r="238">
      <c r="A238" s="7">
        <v>237.0</v>
      </c>
      <c r="B238" s="8" t="s">
        <v>1140</v>
      </c>
      <c r="C238" s="9" t="s">
        <v>1141</v>
      </c>
      <c r="D238" s="10" t="str">
        <f>HYPERLINK("https://facebook.com/367089020688300_455523981844803", "367089020688300_455523981844803")</f>
        <v>367089020688300_455523981844803</v>
      </c>
      <c r="E238" s="11">
        <v>1104.0</v>
      </c>
      <c r="F238" s="11">
        <v>207.0</v>
      </c>
      <c r="G238" s="11">
        <v>624.0</v>
      </c>
      <c r="H238" s="9" t="s">
        <v>26</v>
      </c>
      <c r="I238" s="9" t="s">
        <v>1142</v>
      </c>
      <c r="J238" s="9" t="s">
        <v>1143</v>
      </c>
      <c r="K238" s="9" t="s">
        <v>1144</v>
      </c>
      <c r="L238" s="9" t="s">
        <v>30</v>
      </c>
      <c r="M238" s="9" t="s">
        <v>31</v>
      </c>
      <c r="N238" s="9" t="s">
        <v>32</v>
      </c>
      <c r="O238" s="12" t="s">
        <v>33</v>
      </c>
      <c r="P238" s="12" t="s">
        <v>34</v>
      </c>
      <c r="Q238" s="9"/>
      <c r="R238" s="18"/>
      <c r="S238" s="18"/>
      <c r="T238" s="18"/>
      <c r="U238" s="18"/>
      <c r="V238" s="18"/>
      <c r="W238" s="15"/>
      <c r="X238" s="15"/>
    </row>
    <row r="239">
      <c r="A239" s="7">
        <v>238.0</v>
      </c>
      <c r="B239" s="8" t="s">
        <v>1145</v>
      </c>
      <c r="C239" s="9" t="s">
        <v>1146</v>
      </c>
      <c r="D239" s="10" t="str">
        <f>HYPERLINK("https://facebook.com/367089020688300_556584345072099", "367089020688300_556584345072099")</f>
        <v>367089020688300_556584345072099</v>
      </c>
      <c r="E239" s="11">
        <v>17.0</v>
      </c>
      <c r="F239" s="11">
        <v>0.0</v>
      </c>
      <c r="G239" s="11">
        <v>22.0</v>
      </c>
      <c r="H239" s="9" t="s">
        <v>26</v>
      </c>
      <c r="I239" s="9" t="s">
        <v>1147</v>
      </c>
      <c r="J239" s="16" t="s">
        <v>1148</v>
      </c>
      <c r="K239" s="9"/>
      <c r="L239" s="9" t="s">
        <v>30</v>
      </c>
      <c r="M239" s="9" t="s">
        <v>31</v>
      </c>
      <c r="N239" s="9" t="s">
        <v>32</v>
      </c>
      <c r="O239" s="12" t="s">
        <v>33</v>
      </c>
      <c r="P239" s="12" t="s">
        <v>34</v>
      </c>
      <c r="Q239" s="9"/>
      <c r="R239" s="18"/>
      <c r="S239" s="18"/>
      <c r="T239" s="18"/>
      <c r="U239" s="18"/>
      <c r="V239" s="18"/>
      <c r="W239" s="15"/>
      <c r="X239" s="15"/>
    </row>
    <row r="240">
      <c r="A240" s="7">
        <v>239.0</v>
      </c>
      <c r="B240" s="8" t="s">
        <v>1149</v>
      </c>
      <c r="C240" s="9" t="s">
        <v>1150</v>
      </c>
      <c r="D240" s="10" t="str">
        <f>HYPERLINK("https://facebook.com/367089020688300_520640401999827", "367089020688300_520640401999827")</f>
        <v>367089020688300_520640401999827</v>
      </c>
      <c r="E240" s="11">
        <v>7.0</v>
      </c>
      <c r="F240" s="11">
        <v>1.0</v>
      </c>
      <c r="G240" s="11">
        <v>23.0</v>
      </c>
      <c r="H240" s="9" t="s">
        <v>26</v>
      </c>
      <c r="I240" s="9" t="s">
        <v>1151</v>
      </c>
      <c r="J240" s="9" t="s">
        <v>1152</v>
      </c>
      <c r="K240" s="9" t="s">
        <v>1153</v>
      </c>
      <c r="L240" s="9" t="s">
        <v>30</v>
      </c>
      <c r="M240" s="9" t="s">
        <v>31</v>
      </c>
      <c r="N240" s="9" t="s">
        <v>32</v>
      </c>
      <c r="O240" s="12" t="s">
        <v>33</v>
      </c>
      <c r="P240" s="12" t="s">
        <v>34</v>
      </c>
      <c r="Q240" s="9"/>
      <c r="R240" s="18"/>
      <c r="S240" s="18"/>
      <c r="T240" s="18"/>
      <c r="U240" s="18"/>
      <c r="V240" s="18"/>
      <c r="W240" s="15"/>
      <c r="X240" s="15"/>
    </row>
    <row r="241">
      <c r="A241" s="7">
        <v>240.0</v>
      </c>
      <c r="B241" s="8" t="s">
        <v>1154</v>
      </c>
      <c r="C241" s="9" t="s">
        <v>1155</v>
      </c>
      <c r="D241" s="10" t="str">
        <f>HYPERLINK("https://facebook.com/367089020688300_519034888827045", "367089020688300_519034888827045")</f>
        <v>367089020688300_519034888827045</v>
      </c>
      <c r="E241" s="11">
        <v>17.0</v>
      </c>
      <c r="F241" s="11">
        <v>0.0</v>
      </c>
      <c r="G241" s="11">
        <v>15.0</v>
      </c>
      <c r="H241" s="9" t="s">
        <v>26</v>
      </c>
      <c r="I241" s="9" t="s">
        <v>1156</v>
      </c>
      <c r="J241" s="9" t="s">
        <v>1157</v>
      </c>
      <c r="K241" s="9" t="s">
        <v>1158</v>
      </c>
      <c r="L241" s="9" t="s">
        <v>30</v>
      </c>
      <c r="M241" s="9" t="s">
        <v>31</v>
      </c>
      <c r="N241" s="9" t="s">
        <v>32</v>
      </c>
      <c r="O241" s="12" t="s">
        <v>33</v>
      </c>
      <c r="P241" s="12" t="s">
        <v>34</v>
      </c>
      <c r="Q241" s="9"/>
      <c r="R241" s="18"/>
      <c r="S241" s="18"/>
      <c r="T241" s="18"/>
      <c r="U241" s="18"/>
      <c r="V241" s="18"/>
      <c r="W241" s="15"/>
      <c r="X241" s="15"/>
    </row>
    <row r="242">
      <c r="A242" s="7">
        <v>241.0</v>
      </c>
      <c r="B242" s="8" t="s">
        <v>1159</v>
      </c>
      <c r="C242" s="9" t="s">
        <v>1160</v>
      </c>
      <c r="D242" s="10" t="str">
        <f>HYPERLINK("https://facebook.com/367089020688300_531079814289219", "367089020688300_531079814289219")</f>
        <v>367089020688300_531079814289219</v>
      </c>
      <c r="E242" s="11">
        <v>98.0</v>
      </c>
      <c r="F242" s="11">
        <v>2.0</v>
      </c>
      <c r="G242" s="11">
        <v>43.0</v>
      </c>
      <c r="H242" s="9" t="s">
        <v>26</v>
      </c>
      <c r="I242" s="9" t="s">
        <v>1161</v>
      </c>
      <c r="J242" s="16" t="s">
        <v>1162</v>
      </c>
      <c r="K242" s="9"/>
      <c r="L242" s="9" t="s">
        <v>30</v>
      </c>
      <c r="M242" s="9" t="s">
        <v>31</v>
      </c>
      <c r="N242" s="9" t="s">
        <v>32</v>
      </c>
      <c r="O242" s="12" t="s">
        <v>33</v>
      </c>
      <c r="P242" s="12" t="s">
        <v>34</v>
      </c>
      <c r="Q242" s="9"/>
      <c r="R242" s="18"/>
      <c r="S242" s="18"/>
      <c r="T242" s="18"/>
      <c r="U242" s="18"/>
      <c r="V242" s="18"/>
      <c r="W242" s="15"/>
      <c r="X242" s="15"/>
    </row>
    <row r="243">
      <c r="A243" s="7">
        <v>242.0</v>
      </c>
      <c r="B243" s="8" t="s">
        <v>1163</v>
      </c>
      <c r="C243" s="9" t="s">
        <v>1164</v>
      </c>
      <c r="D243" s="10" t="str">
        <f>HYPERLINK("https://facebook.com/367089020688300_544095256321008", "367089020688300_544095256321008")</f>
        <v>367089020688300_544095256321008</v>
      </c>
      <c r="E243" s="11">
        <v>27.0</v>
      </c>
      <c r="F243" s="11">
        <v>0.0</v>
      </c>
      <c r="G243" s="11">
        <v>20.0</v>
      </c>
      <c r="H243" s="9" t="s">
        <v>26</v>
      </c>
      <c r="I243" s="9" t="s">
        <v>1165</v>
      </c>
      <c r="J243" s="9" t="s">
        <v>1166</v>
      </c>
      <c r="K243" s="9" t="s">
        <v>219</v>
      </c>
      <c r="L243" s="9" t="s">
        <v>30</v>
      </c>
      <c r="M243" s="9" t="s">
        <v>31</v>
      </c>
      <c r="N243" s="9" t="s">
        <v>32</v>
      </c>
      <c r="O243" s="12" t="s">
        <v>33</v>
      </c>
      <c r="P243" s="12" t="s">
        <v>34</v>
      </c>
      <c r="Q243" s="9"/>
      <c r="R243" s="18"/>
      <c r="S243" s="18"/>
      <c r="T243" s="18"/>
      <c r="U243" s="18"/>
      <c r="V243" s="18"/>
      <c r="W243" s="15"/>
      <c r="X243" s="15"/>
    </row>
    <row r="244">
      <c r="A244" s="7">
        <v>243.0</v>
      </c>
      <c r="B244" s="8" t="s">
        <v>1167</v>
      </c>
      <c r="C244" s="9" t="s">
        <v>1168</v>
      </c>
      <c r="D244" s="10" t="str">
        <f>HYPERLINK("https://facebook.com/367089020688300_539103306820203", "367089020688300_539103306820203")</f>
        <v>367089020688300_539103306820203</v>
      </c>
      <c r="E244" s="11">
        <v>8.0</v>
      </c>
      <c r="F244" s="11">
        <v>0.0</v>
      </c>
      <c r="G244" s="11">
        <v>5.0</v>
      </c>
      <c r="H244" s="9" t="s">
        <v>26</v>
      </c>
      <c r="I244" s="9" t="s">
        <v>1169</v>
      </c>
      <c r="J244" s="16" t="s">
        <v>1170</v>
      </c>
      <c r="K244" s="9"/>
      <c r="L244" s="9" t="s">
        <v>30</v>
      </c>
      <c r="M244" s="9" t="s">
        <v>31</v>
      </c>
      <c r="N244" s="9" t="s">
        <v>32</v>
      </c>
      <c r="O244" s="12" t="s">
        <v>33</v>
      </c>
      <c r="P244" s="12" t="s">
        <v>34</v>
      </c>
      <c r="Q244" s="9"/>
      <c r="R244" s="18"/>
      <c r="S244" s="18"/>
      <c r="T244" s="18"/>
      <c r="U244" s="18"/>
      <c r="V244" s="18"/>
      <c r="W244" s="15"/>
      <c r="X244" s="15"/>
    </row>
    <row r="245">
      <c r="A245" s="7">
        <v>244.0</v>
      </c>
      <c r="B245" s="8" t="s">
        <v>1171</v>
      </c>
      <c r="C245" s="9" t="s">
        <v>1172</v>
      </c>
      <c r="D245" s="10" t="str">
        <f>HYPERLINK("https://facebook.com/367089020688300_542366366493897", "367089020688300_542366366493897")</f>
        <v>367089020688300_542366366493897</v>
      </c>
      <c r="E245" s="11">
        <v>17.0</v>
      </c>
      <c r="F245" s="11">
        <v>0.0</v>
      </c>
      <c r="G245" s="11">
        <v>11.0</v>
      </c>
      <c r="H245" s="9" t="s">
        <v>26</v>
      </c>
      <c r="I245" s="9" t="s">
        <v>1173</v>
      </c>
      <c r="J245" s="16" t="s">
        <v>1174</v>
      </c>
      <c r="K245" s="9"/>
      <c r="L245" s="9" t="s">
        <v>30</v>
      </c>
      <c r="M245" s="9" t="s">
        <v>31</v>
      </c>
      <c r="N245" s="9" t="s">
        <v>32</v>
      </c>
      <c r="O245" s="12" t="s">
        <v>33</v>
      </c>
      <c r="P245" s="12" t="s">
        <v>34</v>
      </c>
      <c r="Q245" s="9"/>
      <c r="R245" s="18"/>
      <c r="S245" s="18"/>
      <c r="T245" s="18"/>
      <c r="U245" s="18"/>
      <c r="V245" s="18"/>
      <c r="W245" s="15"/>
      <c r="X245" s="15"/>
    </row>
    <row r="246">
      <c r="A246" s="7">
        <v>245.0</v>
      </c>
      <c r="B246" s="8" t="s">
        <v>1175</v>
      </c>
      <c r="C246" s="9" t="s">
        <v>1176</v>
      </c>
      <c r="D246" s="10" t="str">
        <f>HYPERLINK("https://facebook.com/367089020688300_549490652448135", "367089020688300_549490652448135")</f>
        <v>367089020688300_549490652448135</v>
      </c>
      <c r="E246" s="11">
        <v>3681.0</v>
      </c>
      <c r="F246" s="11">
        <v>35.0</v>
      </c>
      <c r="G246" s="11">
        <v>947.0</v>
      </c>
      <c r="H246" s="9" t="s">
        <v>26</v>
      </c>
      <c r="I246" s="9" t="s">
        <v>1177</v>
      </c>
      <c r="J246" s="9" t="s">
        <v>1178</v>
      </c>
      <c r="K246" s="9" t="s">
        <v>1179</v>
      </c>
      <c r="L246" s="9" t="s">
        <v>30</v>
      </c>
      <c r="M246" s="9" t="s">
        <v>31</v>
      </c>
      <c r="N246" s="9" t="s">
        <v>32</v>
      </c>
      <c r="O246" s="12" t="s">
        <v>33</v>
      </c>
      <c r="P246" s="12" t="s">
        <v>34</v>
      </c>
      <c r="Q246" s="9"/>
      <c r="R246" s="18"/>
      <c r="S246" s="18"/>
      <c r="T246" s="18"/>
      <c r="U246" s="18"/>
      <c r="V246" s="18"/>
      <c r="W246" s="15"/>
      <c r="X246" s="15"/>
    </row>
    <row r="247">
      <c r="A247" s="7">
        <v>246.0</v>
      </c>
      <c r="B247" s="8" t="s">
        <v>1180</v>
      </c>
      <c r="C247" s="9" t="s">
        <v>1181</v>
      </c>
      <c r="D247" s="10" t="str">
        <f>HYPERLINK("https://facebook.com/367089020688300_555099128553954", "367089020688300_555099128553954")</f>
        <v>367089020688300_555099128553954</v>
      </c>
      <c r="E247" s="11">
        <v>56.0</v>
      </c>
      <c r="F247" s="11">
        <v>2.0</v>
      </c>
      <c r="G247" s="11">
        <v>36.0</v>
      </c>
      <c r="H247" s="9" t="s">
        <v>26</v>
      </c>
      <c r="I247" s="9" t="s">
        <v>1182</v>
      </c>
      <c r="J247" s="9" t="s">
        <v>1183</v>
      </c>
      <c r="K247" s="9" t="s">
        <v>1184</v>
      </c>
      <c r="L247" s="9" t="s">
        <v>30</v>
      </c>
      <c r="M247" s="9" t="s">
        <v>31</v>
      </c>
      <c r="N247" s="9" t="s">
        <v>32</v>
      </c>
      <c r="O247" s="12" t="s">
        <v>33</v>
      </c>
      <c r="P247" s="12" t="s">
        <v>34</v>
      </c>
      <c r="Q247" s="9"/>
      <c r="R247" s="18"/>
      <c r="S247" s="18"/>
      <c r="T247" s="18"/>
      <c r="U247" s="18"/>
      <c r="V247" s="18"/>
      <c r="W247" s="15"/>
      <c r="X247" s="15"/>
    </row>
    <row r="248">
      <c r="A248" s="7">
        <v>247.0</v>
      </c>
      <c r="B248" s="8" t="s">
        <v>1185</v>
      </c>
      <c r="C248" s="9" t="s">
        <v>1186</v>
      </c>
      <c r="D248" s="10" t="str">
        <f>HYPERLINK("https://facebook.com/367089020688300_515506765846524", "367089020688300_515506765846524")</f>
        <v>367089020688300_515506765846524</v>
      </c>
      <c r="E248" s="11">
        <v>56.0</v>
      </c>
      <c r="F248" s="11">
        <v>0.0</v>
      </c>
      <c r="G248" s="11">
        <v>62.0</v>
      </c>
      <c r="H248" s="9" t="s">
        <v>26</v>
      </c>
      <c r="I248" s="9" t="s">
        <v>1187</v>
      </c>
      <c r="J248" s="9" t="s">
        <v>1188</v>
      </c>
      <c r="K248" s="9" t="s">
        <v>1189</v>
      </c>
      <c r="L248" s="9" t="s">
        <v>30</v>
      </c>
      <c r="M248" s="9" t="s">
        <v>31</v>
      </c>
      <c r="N248" s="9" t="s">
        <v>32</v>
      </c>
      <c r="O248" s="12" t="s">
        <v>33</v>
      </c>
      <c r="P248" s="12" t="s">
        <v>34</v>
      </c>
      <c r="Q248" s="9"/>
      <c r="R248" s="18"/>
      <c r="S248" s="18"/>
      <c r="T248" s="18"/>
      <c r="U248" s="18"/>
      <c r="V248" s="18"/>
      <c r="W248" s="15"/>
      <c r="X248" s="15"/>
    </row>
    <row r="249">
      <c r="A249" s="7">
        <v>248.0</v>
      </c>
      <c r="B249" s="8" t="s">
        <v>1190</v>
      </c>
      <c r="C249" s="9" t="s">
        <v>1191</v>
      </c>
      <c r="D249" s="10" t="str">
        <f>HYPERLINK("https://facebook.com/367089020688300_424726161591252", "367089020688300_424726161591252")</f>
        <v>367089020688300_424726161591252</v>
      </c>
      <c r="E249" s="11">
        <v>724.0</v>
      </c>
      <c r="F249" s="11">
        <v>19.0</v>
      </c>
      <c r="G249" s="11">
        <v>617.0</v>
      </c>
      <c r="H249" s="9" t="s">
        <v>26</v>
      </c>
      <c r="I249" s="9" t="s">
        <v>1192</v>
      </c>
      <c r="J249" s="9" t="s">
        <v>1193</v>
      </c>
      <c r="K249" s="9" t="s">
        <v>1194</v>
      </c>
      <c r="L249" s="9" t="s">
        <v>30</v>
      </c>
      <c r="M249" s="9" t="s">
        <v>31</v>
      </c>
      <c r="N249" s="9" t="s">
        <v>32</v>
      </c>
      <c r="O249" s="12" t="s">
        <v>33</v>
      </c>
      <c r="P249" s="12" t="s">
        <v>34</v>
      </c>
      <c r="Q249" s="9"/>
      <c r="R249" s="18"/>
      <c r="S249" s="18"/>
      <c r="T249" s="18"/>
      <c r="U249" s="18"/>
      <c r="V249" s="18"/>
      <c r="W249" s="15"/>
      <c r="X249" s="15"/>
    </row>
    <row r="250">
      <c r="A250" s="7">
        <v>249.0</v>
      </c>
      <c r="B250" s="8" t="s">
        <v>1195</v>
      </c>
      <c r="C250" s="9" t="s">
        <v>1196</v>
      </c>
      <c r="D250" s="10" t="str">
        <f>HYPERLINK("https://facebook.com/367089020688300_541594339904433", "367089020688300_541594339904433")</f>
        <v>367089020688300_541594339904433</v>
      </c>
      <c r="E250" s="11">
        <v>14.0</v>
      </c>
      <c r="F250" s="11">
        <v>0.0</v>
      </c>
      <c r="G250" s="11">
        <v>4.0</v>
      </c>
      <c r="H250" s="9" t="s">
        <v>26</v>
      </c>
      <c r="I250" s="9" t="s">
        <v>1197</v>
      </c>
      <c r="J250" s="9" t="s">
        <v>1198</v>
      </c>
      <c r="K250" s="9" t="s">
        <v>476</v>
      </c>
      <c r="L250" s="9" t="s">
        <v>30</v>
      </c>
      <c r="M250" s="9" t="s">
        <v>31</v>
      </c>
      <c r="N250" s="9" t="s">
        <v>32</v>
      </c>
      <c r="O250" s="12" t="s">
        <v>33</v>
      </c>
      <c r="P250" s="12" t="s">
        <v>34</v>
      </c>
      <c r="Q250" s="9"/>
      <c r="R250" s="18"/>
      <c r="S250" s="18"/>
      <c r="T250" s="18"/>
      <c r="U250" s="18"/>
      <c r="V250" s="18"/>
      <c r="W250" s="15"/>
      <c r="X250" s="15"/>
    </row>
    <row r="251">
      <c r="A251" s="7">
        <v>250.0</v>
      </c>
      <c r="B251" s="8" t="s">
        <v>1199</v>
      </c>
      <c r="C251" s="9" t="s">
        <v>1200</v>
      </c>
      <c r="D251" s="10" t="str">
        <f>HYPERLINK("https://facebook.com/367089020688300_549661679097699", "367089020688300_549661679097699")</f>
        <v>367089020688300_549661679097699</v>
      </c>
      <c r="E251" s="11">
        <v>42.0</v>
      </c>
      <c r="F251" s="11">
        <v>0.0</v>
      </c>
      <c r="G251" s="11">
        <v>45.0</v>
      </c>
      <c r="H251" s="9" t="s">
        <v>26</v>
      </c>
      <c r="I251" s="9" t="s">
        <v>1201</v>
      </c>
      <c r="J251" s="16" t="s">
        <v>1202</v>
      </c>
      <c r="K251" s="9"/>
      <c r="L251" s="9" t="s">
        <v>30</v>
      </c>
      <c r="M251" s="9" t="s">
        <v>31</v>
      </c>
      <c r="N251" s="9" t="s">
        <v>32</v>
      </c>
      <c r="O251" s="12" t="s">
        <v>33</v>
      </c>
      <c r="P251" s="12" t="s">
        <v>34</v>
      </c>
      <c r="Q251" s="9"/>
      <c r="R251" s="18"/>
      <c r="S251" s="18"/>
      <c r="T251" s="18"/>
      <c r="U251" s="18"/>
      <c r="V251" s="18"/>
      <c r="W251" s="15"/>
      <c r="X251" s="15"/>
    </row>
    <row r="252">
      <c r="A252" s="7">
        <v>251.0</v>
      </c>
      <c r="B252" s="8" t="s">
        <v>1203</v>
      </c>
      <c r="C252" s="9" t="s">
        <v>1204</v>
      </c>
      <c r="D252" s="10" t="str">
        <f>HYPERLINK("https://facebook.com/367089020688300_485857218811479", "367089020688300_485857218811479")</f>
        <v>367089020688300_485857218811479</v>
      </c>
      <c r="E252" s="11">
        <v>150.0</v>
      </c>
      <c r="F252" s="11">
        <v>8.0</v>
      </c>
      <c r="G252" s="11">
        <v>166.0</v>
      </c>
      <c r="H252" s="9" t="s">
        <v>26</v>
      </c>
      <c r="I252" s="9" t="s">
        <v>1205</v>
      </c>
      <c r="J252" s="9" t="s">
        <v>1206</v>
      </c>
      <c r="K252" s="9" t="s">
        <v>1207</v>
      </c>
      <c r="L252" s="9" t="s">
        <v>30</v>
      </c>
      <c r="M252" s="9" t="s">
        <v>31</v>
      </c>
      <c r="N252" s="9" t="s">
        <v>32</v>
      </c>
      <c r="O252" s="12" t="s">
        <v>33</v>
      </c>
      <c r="P252" s="12" t="s">
        <v>34</v>
      </c>
      <c r="Q252" s="9"/>
      <c r="R252" s="18"/>
      <c r="S252" s="18"/>
      <c r="T252" s="18"/>
      <c r="U252" s="18"/>
      <c r="V252" s="18"/>
      <c r="W252" s="15"/>
      <c r="X252" s="15"/>
    </row>
    <row r="253">
      <c r="A253" s="7">
        <v>252.0</v>
      </c>
      <c r="B253" s="8" t="s">
        <v>1208</v>
      </c>
      <c r="C253" s="9" t="s">
        <v>1209</v>
      </c>
      <c r="D253" s="10" t="str">
        <f>HYPERLINK("https://facebook.com/367089020688300_528387757891758", "367089020688300_528387757891758")</f>
        <v>367089020688300_528387757891758</v>
      </c>
      <c r="E253" s="11">
        <v>1172.0</v>
      </c>
      <c r="F253" s="11">
        <v>14.0</v>
      </c>
      <c r="G253" s="11">
        <v>373.0</v>
      </c>
      <c r="H253" s="9" t="s">
        <v>26</v>
      </c>
      <c r="I253" s="9" t="s">
        <v>1210</v>
      </c>
      <c r="J253" s="16" t="s">
        <v>1211</v>
      </c>
      <c r="K253" s="9"/>
      <c r="L253" s="9" t="s">
        <v>30</v>
      </c>
      <c r="M253" s="9" t="s">
        <v>31</v>
      </c>
      <c r="N253" s="9" t="s">
        <v>32</v>
      </c>
      <c r="O253" s="12" t="s">
        <v>33</v>
      </c>
      <c r="P253" s="12" t="s">
        <v>34</v>
      </c>
      <c r="Q253" s="9"/>
      <c r="R253" s="18"/>
      <c r="S253" s="18"/>
      <c r="T253" s="18"/>
      <c r="U253" s="18"/>
      <c r="V253" s="18"/>
      <c r="W253" s="15"/>
      <c r="X253" s="15"/>
    </row>
    <row r="254">
      <c r="A254" s="7">
        <v>253.0</v>
      </c>
      <c r="B254" s="8" t="s">
        <v>1212</v>
      </c>
      <c r="C254" s="9" t="s">
        <v>1213</v>
      </c>
      <c r="D254" s="10" t="str">
        <f>HYPERLINK("https://facebook.com/367089020688300_543215009742366", "367089020688300_543215009742366")</f>
        <v>367089020688300_543215009742366</v>
      </c>
      <c r="E254" s="11">
        <v>628.0</v>
      </c>
      <c r="F254" s="11">
        <v>12.0</v>
      </c>
      <c r="G254" s="11">
        <v>19.0</v>
      </c>
      <c r="H254" s="9" t="s">
        <v>26</v>
      </c>
      <c r="I254" s="9" t="s">
        <v>993</v>
      </c>
      <c r="J254" s="9" t="s">
        <v>994</v>
      </c>
      <c r="K254" s="9" t="s">
        <v>1214</v>
      </c>
      <c r="L254" s="9" t="s">
        <v>30</v>
      </c>
      <c r="M254" s="9" t="s">
        <v>31</v>
      </c>
      <c r="N254" s="9" t="s">
        <v>32</v>
      </c>
      <c r="O254" s="12" t="s">
        <v>33</v>
      </c>
      <c r="P254" s="12" t="s">
        <v>34</v>
      </c>
      <c r="Q254" s="9"/>
      <c r="R254" s="18"/>
      <c r="S254" s="18"/>
      <c r="T254" s="18"/>
      <c r="U254" s="18"/>
      <c r="V254" s="18"/>
      <c r="W254" s="15"/>
      <c r="X254" s="15"/>
    </row>
    <row r="255">
      <c r="A255" s="7">
        <v>254.0</v>
      </c>
      <c r="B255" s="8" t="s">
        <v>1215</v>
      </c>
      <c r="C255" s="9" t="s">
        <v>1216</v>
      </c>
      <c r="D255" s="10" t="str">
        <f>HYPERLINK("https://facebook.com/367089020688300_540687993328401", "367089020688300_540687993328401")</f>
        <v>367089020688300_540687993328401</v>
      </c>
      <c r="E255" s="11">
        <v>645.0</v>
      </c>
      <c r="F255" s="11">
        <v>17.0</v>
      </c>
      <c r="G255" s="11">
        <v>322.0</v>
      </c>
      <c r="H255" s="9" t="s">
        <v>26</v>
      </c>
      <c r="I255" s="9" t="s">
        <v>1217</v>
      </c>
      <c r="J255" s="16" t="s">
        <v>1218</v>
      </c>
      <c r="K255" s="9"/>
      <c r="L255" s="9" t="s">
        <v>30</v>
      </c>
      <c r="M255" s="9" t="s">
        <v>31</v>
      </c>
      <c r="N255" s="9" t="s">
        <v>32</v>
      </c>
      <c r="O255" s="12" t="s">
        <v>33</v>
      </c>
      <c r="P255" s="12" t="s">
        <v>34</v>
      </c>
      <c r="Q255" s="9"/>
      <c r="R255" s="18"/>
      <c r="S255" s="18"/>
      <c r="T255" s="18"/>
      <c r="U255" s="18"/>
      <c r="V255" s="18"/>
      <c r="W255" s="15"/>
      <c r="X255" s="15"/>
    </row>
    <row r="256">
      <c r="A256" s="7">
        <v>255.0</v>
      </c>
      <c r="B256" s="8" t="s">
        <v>1219</v>
      </c>
      <c r="C256" s="9" t="s">
        <v>1220</v>
      </c>
      <c r="D256" s="10" t="str">
        <f>HYPERLINK("https://facebook.com/367089020688300_546968559367011", "367089020688300_546968559367011")</f>
        <v>367089020688300_546968559367011</v>
      </c>
      <c r="E256" s="11">
        <v>17.0</v>
      </c>
      <c r="F256" s="11">
        <v>0.0</v>
      </c>
      <c r="G256" s="11">
        <v>1.0</v>
      </c>
      <c r="H256" s="9" t="s">
        <v>26</v>
      </c>
      <c r="I256" s="9" t="s">
        <v>1221</v>
      </c>
      <c r="J256" s="16" t="s">
        <v>1222</v>
      </c>
      <c r="K256" s="9"/>
      <c r="L256" s="9" t="s">
        <v>30</v>
      </c>
      <c r="M256" s="9" t="s">
        <v>31</v>
      </c>
      <c r="N256" s="9" t="s">
        <v>32</v>
      </c>
      <c r="O256" s="12" t="s">
        <v>33</v>
      </c>
      <c r="P256" s="12" t="s">
        <v>34</v>
      </c>
      <c r="Q256" s="9"/>
      <c r="R256" s="18"/>
      <c r="S256" s="18"/>
      <c r="T256" s="18"/>
      <c r="U256" s="18"/>
      <c r="V256" s="18"/>
      <c r="W256" s="15"/>
      <c r="X256" s="15"/>
    </row>
    <row r="257">
      <c r="A257" s="7">
        <v>256.0</v>
      </c>
      <c r="B257" s="8" t="s">
        <v>1223</v>
      </c>
      <c r="C257" s="9" t="s">
        <v>1224</v>
      </c>
      <c r="D257" s="10" t="str">
        <f>HYPERLINK("https://facebook.com/367089020688300_534282720635595", "367089020688300_534282720635595")</f>
        <v>367089020688300_534282720635595</v>
      </c>
      <c r="E257" s="11">
        <v>374.0</v>
      </c>
      <c r="F257" s="11">
        <v>7.0</v>
      </c>
      <c r="G257" s="11">
        <v>488.0</v>
      </c>
      <c r="H257" s="9" t="s">
        <v>26</v>
      </c>
      <c r="I257" s="9" t="s">
        <v>1225</v>
      </c>
      <c r="J257" s="9" t="s">
        <v>1226</v>
      </c>
      <c r="K257" s="9" t="s">
        <v>1227</v>
      </c>
      <c r="L257" s="9" t="s">
        <v>30</v>
      </c>
      <c r="M257" s="9" t="s">
        <v>31</v>
      </c>
      <c r="N257" s="9" t="s">
        <v>32</v>
      </c>
      <c r="O257" s="12" t="s">
        <v>33</v>
      </c>
      <c r="P257" s="12" t="s">
        <v>34</v>
      </c>
      <c r="Q257" s="9"/>
      <c r="R257" s="18"/>
      <c r="S257" s="18"/>
      <c r="T257" s="18"/>
      <c r="U257" s="18"/>
      <c r="V257" s="18"/>
      <c r="W257" s="15"/>
      <c r="X257" s="15"/>
    </row>
    <row r="258">
      <c r="A258" s="7">
        <v>257.0</v>
      </c>
      <c r="B258" s="8" t="s">
        <v>1228</v>
      </c>
      <c r="C258" s="9" t="s">
        <v>1229</v>
      </c>
      <c r="D258" s="10" t="str">
        <f>HYPERLINK("https://facebook.com/367089020688300_508231063240761", "367089020688300_508231063240761")</f>
        <v>367089020688300_508231063240761</v>
      </c>
      <c r="E258" s="11">
        <v>122.0</v>
      </c>
      <c r="F258" s="11">
        <v>6.0</v>
      </c>
      <c r="G258" s="11">
        <v>300.0</v>
      </c>
      <c r="H258" s="9" t="s">
        <v>26</v>
      </c>
      <c r="I258" s="9" t="s">
        <v>1230</v>
      </c>
      <c r="J258" s="9" t="s">
        <v>1231</v>
      </c>
      <c r="K258" s="9" t="s">
        <v>1232</v>
      </c>
      <c r="L258" s="9" t="s">
        <v>30</v>
      </c>
      <c r="M258" s="9" t="s">
        <v>31</v>
      </c>
      <c r="N258" s="9" t="s">
        <v>32</v>
      </c>
      <c r="O258" s="12" t="s">
        <v>33</v>
      </c>
      <c r="P258" s="12" t="s">
        <v>34</v>
      </c>
      <c r="Q258" s="9"/>
      <c r="R258" s="18"/>
      <c r="S258" s="18"/>
      <c r="T258" s="18"/>
      <c r="U258" s="18"/>
      <c r="V258" s="18"/>
      <c r="W258" s="15"/>
      <c r="X258" s="15"/>
    </row>
    <row r="259">
      <c r="A259" s="7">
        <v>258.0</v>
      </c>
      <c r="B259" s="8" t="s">
        <v>1233</v>
      </c>
      <c r="C259" s="9" t="s">
        <v>1234</v>
      </c>
      <c r="D259" s="10" t="str">
        <f>HYPERLINK("https://facebook.com/367089020688300_533525104044690", "367089020688300_533525104044690")</f>
        <v>367089020688300_533525104044690</v>
      </c>
      <c r="E259" s="11">
        <v>450.0</v>
      </c>
      <c r="F259" s="11">
        <v>2.0</v>
      </c>
      <c r="G259" s="11">
        <v>419.0</v>
      </c>
      <c r="H259" s="9" t="s">
        <v>26</v>
      </c>
      <c r="I259" s="9" t="s">
        <v>1235</v>
      </c>
      <c r="J259" s="16" t="s">
        <v>1236</v>
      </c>
      <c r="K259" s="9"/>
      <c r="L259" s="9" t="s">
        <v>30</v>
      </c>
      <c r="M259" s="9" t="s">
        <v>31</v>
      </c>
      <c r="N259" s="9" t="s">
        <v>32</v>
      </c>
      <c r="O259" s="12" t="s">
        <v>33</v>
      </c>
      <c r="P259" s="12" t="s">
        <v>34</v>
      </c>
      <c r="Q259" s="9"/>
      <c r="R259" s="18"/>
      <c r="S259" s="18"/>
      <c r="T259" s="18"/>
      <c r="U259" s="18"/>
      <c r="V259" s="18"/>
      <c r="W259" s="15"/>
      <c r="X259" s="15"/>
    </row>
    <row r="260">
      <c r="A260" s="7">
        <v>259.0</v>
      </c>
      <c r="B260" s="8" t="s">
        <v>1237</v>
      </c>
      <c r="C260" s="9" t="s">
        <v>1238</v>
      </c>
      <c r="D260" s="10" t="str">
        <f>HYPERLINK("https://facebook.com/367089020688300_553049832092217", "367089020688300_553049832092217")</f>
        <v>367089020688300_553049832092217</v>
      </c>
      <c r="E260" s="11">
        <v>172.0</v>
      </c>
      <c r="F260" s="11">
        <v>0.0</v>
      </c>
      <c r="G260" s="11">
        <v>145.0</v>
      </c>
      <c r="H260" s="9" t="s">
        <v>26</v>
      </c>
      <c r="I260" s="9" t="s">
        <v>1239</v>
      </c>
      <c r="J260" s="9" t="s">
        <v>1240</v>
      </c>
      <c r="K260" s="9" t="s">
        <v>1241</v>
      </c>
      <c r="L260" s="9" t="s">
        <v>30</v>
      </c>
      <c r="M260" s="9" t="s">
        <v>31</v>
      </c>
      <c r="N260" s="9" t="s">
        <v>32</v>
      </c>
      <c r="O260" s="12" t="s">
        <v>33</v>
      </c>
      <c r="P260" s="12" t="s">
        <v>34</v>
      </c>
      <c r="Q260" s="9"/>
      <c r="R260" s="18"/>
      <c r="S260" s="18"/>
      <c r="T260" s="18"/>
      <c r="U260" s="18"/>
      <c r="V260" s="18"/>
      <c r="W260" s="15"/>
      <c r="X260" s="15"/>
    </row>
    <row r="261">
      <c r="A261" s="7">
        <v>260.0</v>
      </c>
      <c r="B261" s="8" t="s">
        <v>1242</v>
      </c>
      <c r="C261" s="9" t="s">
        <v>1243</v>
      </c>
      <c r="D261" s="10" t="str">
        <f>HYPERLINK("https://facebook.com/367089020688300_537830250280842", "367089020688300_537830250280842")</f>
        <v>367089020688300_537830250280842</v>
      </c>
      <c r="E261" s="11">
        <v>37.0</v>
      </c>
      <c r="F261" s="11">
        <v>0.0</v>
      </c>
      <c r="G261" s="11">
        <v>16.0</v>
      </c>
      <c r="H261" s="9" t="s">
        <v>26</v>
      </c>
      <c r="I261" s="9" t="s">
        <v>1244</v>
      </c>
      <c r="J261" s="9" t="s">
        <v>1245</v>
      </c>
      <c r="K261" s="9" t="s">
        <v>920</v>
      </c>
      <c r="L261" s="9" t="s">
        <v>30</v>
      </c>
      <c r="M261" s="9" t="s">
        <v>31</v>
      </c>
      <c r="N261" s="9" t="s">
        <v>32</v>
      </c>
      <c r="O261" s="12" t="s">
        <v>33</v>
      </c>
      <c r="P261" s="12" t="s">
        <v>34</v>
      </c>
      <c r="Q261" s="9"/>
      <c r="R261" s="18"/>
      <c r="S261" s="18"/>
      <c r="T261" s="18"/>
      <c r="U261" s="18"/>
      <c r="V261" s="18"/>
      <c r="W261" s="15"/>
      <c r="X261" s="15"/>
    </row>
    <row r="262">
      <c r="A262" s="7">
        <v>261.0</v>
      </c>
      <c r="B262" s="8" t="s">
        <v>1246</v>
      </c>
      <c r="C262" s="9" t="s">
        <v>1247</v>
      </c>
      <c r="D262" s="10" t="str">
        <f>HYPERLINK("https://facebook.com/367089020688300_372538676810001", "367089020688300_372538676810001")</f>
        <v>367089020688300_372538676810001</v>
      </c>
      <c r="E262" s="11">
        <v>78.0</v>
      </c>
      <c r="F262" s="11">
        <v>1.0</v>
      </c>
      <c r="G262" s="11">
        <v>97.0</v>
      </c>
      <c r="H262" s="9" t="s">
        <v>26</v>
      </c>
      <c r="I262" s="9" t="s">
        <v>1248</v>
      </c>
      <c r="J262" s="9" t="s">
        <v>1249</v>
      </c>
      <c r="K262" s="9" t="s">
        <v>1250</v>
      </c>
      <c r="L262" s="9" t="s">
        <v>30</v>
      </c>
      <c r="M262" s="9" t="s">
        <v>31</v>
      </c>
      <c r="N262" s="9" t="s">
        <v>32</v>
      </c>
      <c r="O262" s="12" t="s">
        <v>33</v>
      </c>
      <c r="P262" s="12" t="s">
        <v>34</v>
      </c>
      <c r="Q262" s="9"/>
      <c r="R262" s="18"/>
      <c r="S262" s="18"/>
      <c r="T262" s="18"/>
      <c r="U262" s="18"/>
      <c r="V262" s="18"/>
      <c r="W262" s="15"/>
      <c r="X262" s="15"/>
    </row>
    <row r="263">
      <c r="A263" s="7">
        <v>262.0</v>
      </c>
      <c r="B263" s="8" t="s">
        <v>1251</v>
      </c>
      <c r="C263" s="9" t="s">
        <v>1252</v>
      </c>
      <c r="D263" s="10" t="str">
        <f>HYPERLINK("https://facebook.com/367089020688300_546842476046286", "367089020688300_546842476046286")</f>
        <v>367089020688300_546842476046286</v>
      </c>
      <c r="E263" s="11">
        <v>332.0</v>
      </c>
      <c r="F263" s="11">
        <v>7.0</v>
      </c>
      <c r="G263" s="11">
        <v>157.0</v>
      </c>
      <c r="H263" s="9" t="s">
        <v>26</v>
      </c>
      <c r="I263" s="9" t="s">
        <v>1253</v>
      </c>
      <c r="J263" s="9" t="s">
        <v>1254</v>
      </c>
      <c r="K263" s="9" t="s">
        <v>1255</v>
      </c>
      <c r="L263" s="9" t="s">
        <v>30</v>
      </c>
      <c r="M263" s="9" t="s">
        <v>31</v>
      </c>
      <c r="N263" s="9" t="s">
        <v>32</v>
      </c>
      <c r="O263" s="12" t="s">
        <v>33</v>
      </c>
      <c r="P263" s="12" t="s">
        <v>34</v>
      </c>
      <c r="Q263" s="9"/>
      <c r="R263" s="18"/>
      <c r="S263" s="18"/>
      <c r="T263" s="18"/>
      <c r="U263" s="18"/>
      <c r="V263" s="18"/>
      <c r="W263" s="15"/>
      <c r="X263" s="15"/>
    </row>
    <row r="264">
      <c r="A264" s="7">
        <v>263.0</v>
      </c>
      <c r="B264" s="8" t="s">
        <v>1256</v>
      </c>
      <c r="C264" s="9" t="s">
        <v>1257</v>
      </c>
      <c r="D264" s="10" t="str">
        <f>HYPERLINK("https://facebook.com/367089020688300_530702667660267", "367089020688300_530702667660267")</f>
        <v>367089020688300_530702667660267</v>
      </c>
      <c r="E264" s="11">
        <v>127.0</v>
      </c>
      <c r="F264" s="11">
        <v>1.0</v>
      </c>
      <c r="G264" s="11">
        <v>73.0</v>
      </c>
      <c r="H264" s="9" t="s">
        <v>26</v>
      </c>
      <c r="I264" s="9" t="s">
        <v>1258</v>
      </c>
      <c r="J264" s="16" t="s">
        <v>1259</v>
      </c>
      <c r="K264" s="9"/>
      <c r="L264" s="9" t="s">
        <v>30</v>
      </c>
      <c r="M264" s="9" t="s">
        <v>31</v>
      </c>
      <c r="N264" s="9" t="s">
        <v>32</v>
      </c>
      <c r="O264" s="12" t="s">
        <v>33</v>
      </c>
      <c r="P264" s="12" t="s">
        <v>34</v>
      </c>
      <c r="Q264" s="9"/>
      <c r="R264" s="18"/>
      <c r="S264" s="18"/>
      <c r="T264" s="18"/>
      <c r="U264" s="18"/>
      <c r="V264" s="18"/>
      <c r="W264" s="15"/>
      <c r="X264" s="15"/>
    </row>
    <row r="265">
      <c r="A265" s="7">
        <v>264.0</v>
      </c>
      <c r="B265" s="8" t="s">
        <v>1260</v>
      </c>
      <c r="C265" s="9" t="s">
        <v>1261</v>
      </c>
      <c r="D265" s="10" t="str">
        <f>HYPERLINK("https://facebook.com/367089020688300_483461205717747", "367089020688300_483461205717747")</f>
        <v>367089020688300_483461205717747</v>
      </c>
      <c r="E265" s="11">
        <v>2364.0</v>
      </c>
      <c r="F265" s="11">
        <v>101.0</v>
      </c>
      <c r="G265" s="11">
        <v>1012.0</v>
      </c>
      <c r="H265" s="9" t="s">
        <v>26</v>
      </c>
      <c r="I265" s="9" t="s">
        <v>1262</v>
      </c>
      <c r="J265" s="9" t="s">
        <v>1263</v>
      </c>
      <c r="K265" s="9" t="s">
        <v>1264</v>
      </c>
      <c r="L265" s="9" t="s">
        <v>30</v>
      </c>
      <c r="M265" s="9" t="s">
        <v>31</v>
      </c>
      <c r="N265" s="9" t="s">
        <v>32</v>
      </c>
      <c r="O265" s="12" t="s">
        <v>33</v>
      </c>
      <c r="P265" s="12" t="s">
        <v>34</v>
      </c>
      <c r="Q265" s="9"/>
      <c r="R265" s="18"/>
      <c r="S265" s="18"/>
      <c r="T265" s="18"/>
      <c r="U265" s="18"/>
      <c r="V265" s="18"/>
      <c r="W265" s="15"/>
      <c r="X265" s="15"/>
    </row>
    <row r="266">
      <c r="A266" s="7">
        <v>265.0</v>
      </c>
      <c r="B266" s="8" t="s">
        <v>1265</v>
      </c>
      <c r="C266" s="9" t="s">
        <v>1266</v>
      </c>
      <c r="D266" s="10" t="str">
        <f>HYPERLINK("https://facebook.com/367089020688300_538831536847380", "367089020688300_538831536847380")</f>
        <v>367089020688300_538831536847380</v>
      </c>
      <c r="E266" s="11">
        <v>664.0</v>
      </c>
      <c r="F266" s="11">
        <v>66.0</v>
      </c>
      <c r="G266" s="11">
        <v>499.0</v>
      </c>
      <c r="H266" s="9" t="s">
        <v>26</v>
      </c>
      <c r="I266" s="9" t="s">
        <v>1267</v>
      </c>
      <c r="J266" s="16" t="s">
        <v>1268</v>
      </c>
      <c r="K266" s="9"/>
      <c r="L266" s="9" t="s">
        <v>30</v>
      </c>
      <c r="M266" s="9" t="s">
        <v>31</v>
      </c>
      <c r="N266" s="9" t="s">
        <v>32</v>
      </c>
      <c r="O266" s="12" t="s">
        <v>33</v>
      </c>
      <c r="P266" s="12" t="s">
        <v>34</v>
      </c>
      <c r="Q266" s="9"/>
      <c r="R266" s="18"/>
      <c r="S266" s="18"/>
      <c r="T266" s="18"/>
      <c r="U266" s="18"/>
      <c r="V266" s="18"/>
      <c r="W266" s="15"/>
      <c r="X266" s="15"/>
    </row>
    <row r="267">
      <c r="A267" s="7">
        <v>266.0</v>
      </c>
      <c r="B267" s="8" t="s">
        <v>1269</v>
      </c>
      <c r="C267" s="9" t="s">
        <v>1270</v>
      </c>
      <c r="D267" s="10" t="str">
        <f>HYPERLINK("https://facebook.com/367089020688300_535624667168067", "367089020688300_535624667168067")</f>
        <v>367089020688300_535624667168067</v>
      </c>
      <c r="E267" s="11">
        <v>2.0</v>
      </c>
      <c r="F267" s="11">
        <v>0.0</v>
      </c>
      <c r="G267" s="11">
        <v>5.0</v>
      </c>
      <c r="H267" s="9" t="s">
        <v>26</v>
      </c>
      <c r="I267" s="9" t="s">
        <v>1271</v>
      </c>
      <c r="J267" s="16" t="s">
        <v>1272</v>
      </c>
      <c r="K267" s="9"/>
      <c r="L267" s="9" t="s">
        <v>30</v>
      </c>
      <c r="M267" s="9" t="s">
        <v>31</v>
      </c>
      <c r="N267" s="9" t="s">
        <v>32</v>
      </c>
      <c r="O267" s="12" t="s">
        <v>33</v>
      </c>
      <c r="P267" s="12" t="s">
        <v>34</v>
      </c>
      <c r="Q267" s="9"/>
      <c r="R267" s="18"/>
      <c r="S267" s="18"/>
      <c r="T267" s="18"/>
      <c r="U267" s="18"/>
      <c r="V267" s="18"/>
      <c r="W267" s="15"/>
      <c r="X267" s="15"/>
    </row>
    <row r="268">
      <c r="A268" s="7">
        <v>267.0</v>
      </c>
      <c r="B268" s="8" t="s">
        <v>1273</v>
      </c>
      <c r="C268" s="9" t="s">
        <v>1274</v>
      </c>
      <c r="D268" s="10" t="str">
        <f>HYPERLINK("https://facebook.com/367089020688300_537177457012788", "367089020688300_537177457012788")</f>
        <v>367089020688300_537177457012788</v>
      </c>
      <c r="E268" s="11">
        <v>55.0</v>
      </c>
      <c r="F268" s="11">
        <v>2.0</v>
      </c>
      <c r="G268" s="11">
        <v>57.0</v>
      </c>
      <c r="H268" s="9" t="s">
        <v>26</v>
      </c>
      <c r="I268" s="9" t="s">
        <v>1275</v>
      </c>
      <c r="J268" s="9" t="s">
        <v>1276</v>
      </c>
      <c r="K268" s="9" t="s">
        <v>1277</v>
      </c>
      <c r="L268" s="9" t="s">
        <v>30</v>
      </c>
      <c r="M268" s="9" t="s">
        <v>31</v>
      </c>
      <c r="N268" s="9" t="s">
        <v>32</v>
      </c>
      <c r="O268" s="12" t="s">
        <v>33</v>
      </c>
      <c r="P268" s="12" t="s">
        <v>34</v>
      </c>
      <c r="Q268" s="9"/>
      <c r="R268" s="18"/>
      <c r="S268" s="18"/>
      <c r="T268" s="18"/>
      <c r="U268" s="18"/>
      <c r="V268" s="18"/>
      <c r="W268" s="15"/>
      <c r="X268" s="15"/>
    </row>
    <row r="269">
      <c r="A269" s="7">
        <v>268.0</v>
      </c>
      <c r="B269" s="8" t="s">
        <v>1278</v>
      </c>
      <c r="C269" s="9" t="s">
        <v>1279</v>
      </c>
      <c r="D269" s="10" t="str">
        <f>HYPERLINK("https://facebook.com/367089020688300_509716293092238", "367089020688300_509716293092238")</f>
        <v>367089020688300_509716293092238</v>
      </c>
      <c r="E269" s="11">
        <v>17.0</v>
      </c>
      <c r="F269" s="11">
        <v>0.0</v>
      </c>
      <c r="G269" s="11">
        <v>47.0</v>
      </c>
      <c r="H269" s="9" t="s">
        <v>26</v>
      </c>
      <c r="I269" s="9" t="s">
        <v>1280</v>
      </c>
      <c r="J269" s="16" t="s">
        <v>1281</v>
      </c>
      <c r="K269" s="9"/>
      <c r="L269" s="9" t="s">
        <v>30</v>
      </c>
      <c r="M269" s="9" t="s">
        <v>31</v>
      </c>
      <c r="N269" s="9" t="s">
        <v>32</v>
      </c>
      <c r="O269" s="12" t="s">
        <v>33</v>
      </c>
      <c r="P269" s="12" t="s">
        <v>34</v>
      </c>
      <c r="Q269" s="9"/>
      <c r="R269" s="18"/>
      <c r="S269" s="18"/>
      <c r="T269" s="18"/>
      <c r="U269" s="18"/>
      <c r="V269" s="18"/>
      <c r="W269" s="15"/>
      <c r="X269" s="15"/>
    </row>
    <row r="270">
      <c r="A270" s="7">
        <v>269.0</v>
      </c>
      <c r="B270" s="8" t="s">
        <v>1282</v>
      </c>
      <c r="C270" s="9" t="s">
        <v>1283</v>
      </c>
      <c r="D270" s="10" t="str">
        <f>HYPERLINK("https://facebook.com/367089020688300_528403401223527", "367089020688300_528403401223527")</f>
        <v>367089020688300_528403401223527</v>
      </c>
      <c r="E270" s="11">
        <v>52.0</v>
      </c>
      <c r="F270" s="11">
        <v>0.0</v>
      </c>
      <c r="G270" s="11">
        <v>45.0</v>
      </c>
      <c r="H270" s="9" t="s">
        <v>26</v>
      </c>
      <c r="I270" s="9" t="s">
        <v>1284</v>
      </c>
      <c r="J270" s="9" t="s">
        <v>1285</v>
      </c>
      <c r="K270" s="9" t="s">
        <v>1286</v>
      </c>
      <c r="L270" s="9" t="s">
        <v>30</v>
      </c>
      <c r="M270" s="9" t="s">
        <v>31</v>
      </c>
      <c r="N270" s="9" t="s">
        <v>32</v>
      </c>
      <c r="O270" s="12" t="s">
        <v>33</v>
      </c>
      <c r="P270" s="12" t="s">
        <v>34</v>
      </c>
      <c r="Q270" s="9"/>
      <c r="R270" s="18"/>
      <c r="S270" s="18"/>
      <c r="T270" s="18"/>
      <c r="U270" s="18"/>
      <c r="V270" s="18"/>
      <c r="W270" s="15"/>
      <c r="X270" s="15"/>
    </row>
    <row r="271">
      <c r="A271" s="7">
        <v>270.0</v>
      </c>
      <c r="B271" s="8" t="s">
        <v>1287</v>
      </c>
      <c r="C271" s="9" t="s">
        <v>1288</v>
      </c>
      <c r="D271" s="10" t="str">
        <f>HYPERLINK("https://facebook.com/367089020688300_547607872636413", "367089020688300_547607872636413")</f>
        <v>367089020688300_547607872636413</v>
      </c>
      <c r="E271" s="11">
        <v>188.0</v>
      </c>
      <c r="F271" s="11">
        <v>1.0</v>
      </c>
      <c r="G271" s="11">
        <v>97.0</v>
      </c>
      <c r="H271" s="9" t="s">
        <v>26</v>
      </c>
      <c r="I271" s="9" t="s">
        <v>1289</v>
      </c>
      <c r="J271" s="9" t="s">
        <v>1290</v>
      </c>
      <c r="K271" s="9" t="s">
        <v>249</v>
      </c>
      <c r="L271" s="9" t="s">
        <v>30</v>
      </c>
      <c r="M271" s="9" t="s">
        <v>31</v>
      </c>
      <c r="N271" s="9" t="s">
        <v>32</v>
      </c>
      <c r="O271" s="12" t="s">
        <v>33</v>
      </c>
      <c r="P271" s="12" t="s">
        <v>34</v>
      </c>
      <c r="Q271" s="9"/>
      <c r="R271" s="18"/>
      <c r="S271" s="18"/>
      <c r="T271" s="18"/>
      <c r="U271" s="18"/>
      <c r="V271" s="18"/>
      <c r="W271" s="15"/>
      <c r="X271" s="15"/>
    </row>
    <row r="272">
      <c r="A272" s="7">
        <v>271.0</v>
      </c>
      <c r="B272" s="8" t="s">
        <v>1291</v>
      </c>
      <c r="C272" s="9" t="s">
        <v>1292</v>
      </c>
      <c r="D272" s="10" t="str">
        <f>HYPERLINK("https://facebook.com/367089020688300_476955556368312", "367089020688300_476955556368312")</f>
        <v>367089020688300_476955556368312</v>
      </c>
      <c r="E272" s="11">
        <v>307.0</v>
      </c>
      <c r="F272" s="11">
        <v>7.0</v>
      </c>
      <c r="G272" s="11">
        <v>553.0</v>
      </c>
      <c r="H272" s="9" t="s">
        <v>26</v>
      </c>
      <c r="I272" s="9" t="s">
        <v>1293</v>
      </c>
      <c r="J272" s="9" t="s">
        <v>1294</v>
      </c>
      <c r="K272" s="9" t="s">
        <v>1295</v>
      </c>
      <c r="L272" s="9" t="s">
        <v>30</v>
      </c>
      <c r="M272" s="9" t="s">
        <v>31</v>
      </c>
      <c r="N272" s="9" t="s">
        <v>32</v>
      </c>
      <c r="O272" s="12" t="s">
        <v>33</v>
      </c>
      <c r="P272" s="12" t="s">
        <v>34</v>
      </c>
      <c r="Q272" s="9"/>
      <c r="R272" s="18"/>
      <c r="S272" s="18"/>
      <c r="T272" s="18"/>
      <c r="U272" s="18"/>
      <c r="V272" s="18"/>
      <c r="W272" s="15"/>
      <c r="X272" s="15"/>
    </row>
    <row r="273">
      <c r="A273" s="7">
        <v>272.0</v>
      </c>
      <c r="B273" s="8" t="s">
        <v>1296</v>
      </c>
      <c r="C273" s="9" t="s">
        <v>1297</v>
      </c>
      <c r="D273" s="10" t="str">
        <f>HYPERLINK("https://facebook.com/367089020688300_558364481560752", "367089020688300_558364481560752")</f>
        <v>367089020688300_558364481560752</v>
      </c>
      <c r="E273" s="11">
        <v>182.0</v>
      </c>
      <c r="F273" s="11">
        <v>2.0</v>
      </c>
      <c r="G273" s="11">
        <v>152.0</v>
      </c>
      <c r="H273" s="9" t="s">
        <v>26</v>
      </c>
      <c r="I273" s="9" t="s">
        <v>1298</v>
      </c>
      <c r="J273" s="9" t="s">
        <v>1299</v>
      </c>
      <c r="K273" s="9" t="s">
        <v>1300</v>
      </c>
      <c r="L273" s="9" t="s">
        <v>30</v>
      </c>
      <c r="M273" s="9" t="s">
        <v>31</v>
      </c>
      <c r="N273" s="9" t="s">
        <v>32</v>
      </c>
      <c r="O273" s="12" t="s">
        <v>33</v>
      </c>
      <c r="P273" s="12" t="s">
        <v>34</v>
      </c>
      <c r="Q273" s="9"/>
      <c r="R273" s="18"/>
      <c r="S273" s="18"/>
      <c r="T273" s="18"/>
      <c r="U273" s="18"/>
      <c r="V273" s="18"/>
      <c r="W273" s="15"/>
      <c r="X273" s="15"/>
    </row>
    <row r="274">
      <c r="A274" s="7">
        <v>273.0</v>
      </c>
      <c r="B274" s="8" t="s">
        <v>1301</v>
      </c>
      <c r="C274" s="9" t="s">
        <v>1302</v>
      </c>
      <c r="D274" s="10" t="str">
        <f>HYPERLINK("https://facebook.com/367089020688300_551313028932564", "367089020688300_551313028932564")</f>
        <v>367089020688300_551313028932564</v>
      </c>
      <c r="E274" s="11">
        <v>255.0</v>
      </c>
      <c r="F274" s="11">
        <v>14.0</v>
      </c>
      <c r="G274" s="11">
        <v>168.0</v>
      </c>
      <c r="H274" s="9" t="s">
        <v>26</v>
      </c>
      <c r="I274" s="9" t="s">
        <v>1303</v>
      </c>
      <c r="J274" s="9" t="s">
        <v>1304</v>
      </c>
      <c r="K274" s="9" t="s">
        <v>1305</v>
      </c>
      <c r="L274" s="9" t="s">
        <v>30</v>
      </c>
      <c r="M274" s="9" t="s">
        <v>31</v>
      </c>
      <c r="N274" s="9" t="s">
        <v>32</v>
      </c>
      <c r="O274" s="12" t="s">
        <v>33</v>
      </c>
      <c r="P274" s="12" t="s">
        <v>34</v>
      </c>
      <c r="Q274" s="9"/>
      <c r="R274" s="18"/>
      <c r="S274" s="18"/>
      <c r="T274" s="18"/>
      <c r="U274" s="18"/>
      <c r="V274" s="18"/>
      <c r="W274" s="15"/>
      <c r="X274" s="15"/>
    </row>
    <row r="275">
      <c r="A275" s="7">
        <v>274.0</v>
      </c>
      <c r="B275" s="8" t="s">
        <v>1306</v>
      </c>
      <c r="C275" s="9" t="s">
        <v>1307</v>
      </c>
      <c r="D275" s="10" t="str">
        <f>HYPERLINK("https://facebook.com/367089020688300_547780162619184", "367089020688300_547780162619184")</f>
        <v>367089020688300_547780162619184</v>
      </c>
      <c r="E275" s="11">
        <v>10.0</v>
      </c>
      <c r="F275" s="11">
        <v>0.0</v>
      </c>
      <c r="G275" s="11">
        <v>15.0</v>
      </c>
      <c r="H275" s="9" t="s">
        <v>26</v>
      </c>
      <c r="I275" s="9" t="s">
        <v>1308</v>
      </c>
      <c r="J275" s="16" t="s">
        <v>1309</v>
      </c>
      <c r="K275" s="9"/>
      <c r="L275" s="9" t="s">
        <v>30</v>
      </c>
      <c r="M275" s="9" t="s">
        <v>31</v>
      </c>
      <c r="N275" s="9" t="s">
        <v>32</v>
      </c>
      <c r="O275" s="12" t="s">
        <v>33</v>
      </c>
      <c r="P275" s="12" t="s">
        <v>34</v>
      </c>
      <c r="Q275" s="9"/>
      <c r="R275" s="18"/>
      <c r="S275" s="18"/>
      <c r="T275" s="18"/>
      <c r="U275" s="18"/>
      <c r="V275" s="18"/>
      <c r="W275" s="15"/>
      <c r="X275" s="15"/>
    </row>
    <row r="276">
      <c r="A276" s="7">
        <v>275.0</v>
      </c>
      <c r="B276" s="8" t="s">
        <v>1310</v>
      </c>
      <c r="C276" s="9" t="s">
        <v>1311</v>
      </c>
      <c r="D276" s="10" t="str">
        <f>HYPERLINK("https://facebook.com/367089020688300_389195538477648", "367089020688300_389195538477648")</f>
        <v>367089020688300_389195538477648</v>
      </c>
      <c r="E276" s="11">
        <v>391.0</v>
      </c>
      <c r="F276" s="11">
        <v>29.0</v>
      </c>
      <c r="G276" s="11">
        <v>102.0</v>
      </c>
      <c r="H276" s="9" t="s">
        <v>26</v>
      </c>
      <c r="I276" s="9" t="s">
        <v>1312</v>
      </c>
      <c r="J276" s="16" t="s">
        <v>1313</v>
      </c>
      <c r="K276" s="9"/>
      <c r="L276" s="9" t="s">
        <v>30</v>
      </c>
      <c r="M276" s="9" t="s">
        <v>31</v>
      </c>
      <c r="N276" s="9" t="s">
        <v>32</v>
      </c>
      <c r="O276" s="12" t="s">
        <v>33</v>
      </c>
      <c r="P276" s="12" t="s">
        <v>34</v>
      </c>
      <c r="Q276" s="9"/>
      <c r="R276" s="18"/>
      <c r="S276" s="18"/>
      <c r="T276" s="18"/>
      <c r="U276" s="18"/>
      <c r="V276" s="18"/>
      <c r="W276" s="15"/>
      <c r="X276" s="15"/>
    </row>
    <row r="277">
      <c r="A277" s="7">
        <v>276.0</v>
      </c>
      <c r="B277" s="8" t="s">
        <v>1314</v>
      </c>
      <c r="C277" s="9" t="s">
        <v>1315</v>
      </c>
      <c r="D277" s="10" t="str">
        <f>HYPERLINK("https://facebook.com/367089020688300_466981870699014", "367089020688300_466981870699014")</f>
        <v>367089020688300_466981870699014</v>
      </c>
      <c r="E277" s="11">
        <v>276.0</v>
      </c>
      <c r="F277" s="11">
        <v>20.0</v>
      </c>
      <c r="G277" s="11">
        <v>56.0</v>
      </c>
      <c r="H277" s="9" t="s">
        <v>26</v>
      </c>
      <c r="I277" s="9" t="s">
        <v>1316</v>
      </c>
      <c r="J277" s="9" t="s">
        <v>1317</v>
      </c>
      <c r="K277" s="9" t="s">
        <v>1318</v>
      </c>
      <c r="L277" s="9" t="s">
        <v>30</v>
      </c>
      <c r="M277" s="9" t="s">
        <v>31</v>
      </c>
      <c r="N277" s="9" t="s">
        <v>32</v>
      </c>
      <c r="O277" s="12" t="s">
        <v>33</v>
      </c>
      <c r="P277" s="12" t="s">
        <v>34</v>
      </c>
      <c r="Q277" s="9"/>
      <c r="R277" s="18"/>
      <c r="S277" s="18"/>
      <c r="T277" s="18"/>
      <c r="U277" s="18"/>
      <c r="V277" s="18"/>
      <c r="W277" s="15"/>
      <c r="X277" s="15"/>
    </row>
    <row r="278">
      <c r="A278" s="7">
        <v>277.0</v>
      </c>
      <c r="B278" s="8" t="s">
        <v>1319</v>
      </c>
      <c r="C278" s="9" t="s">
        <v>1320</v>
      </c>
      <c r="D278" s="10" t="str">
        <f>HYPERLINK("https://facebook.com/367089020688300_549054825825051", "367089020688300_549054825825051")</f>
        <v>367089020688300_549054825825051</v>
      </c>
      <c r="E278" s="11">
        <v>133.0</v>
      </c>
      <c r="F278" s="11">
        <v>0.0</v>
      </c>
      <c r="G278" s="11">
        <v>51.0</v>
      </c>
      <c r="H278" s="9" t="s">
        <v>26</v>
      </c>
      <c r="I278" s="9" t="s">
        <v>1321</v>
      </c>
      <c r="J278" s="16" t="s">
        <v>1322</v>
      </c>
      <c r="K278" s="9"/>
      <c r="L278" s="9" t="s">
        <v>30</v>
      </c>
      <c r="M278" s="9" t="s">
        <v>31</v>
      </c>
      <c r="N278" s="9" t="s">
        <v>32</v>
      </c>
      <c r="O278" s="12" t="s">
        <v>33</v>
      </c>
      <c r="P278" s="12" t="s">
        <v>34</v>
      </c>
      <c r="Q278" s="9"/>
      <c r="R278" s="18"/>
      <c r="S278" s="18"/>
      <c r="T278" s="18"/>
      <c r="U278" s="18"/>
      <c r="V278" s="18"/>
      <c r="W278" s="15"/>
      <c r="X278" s="15"/>
    </row>
    <row r="279">
      <c r="A279" s="7">
        <v>278.0</v>
      </c>
      <c r="B279" s="8" t="s">
        <v>1323</v>
      </c>
      <c r="C279" s="9" t="s">
        <v>1324</v>
      </c>
      <c r="D279" s="10" t="str">
        <f>HYPERLINK("https://facebook.com/367089020688300_460032008060667", "367089020688300_460032008060667")</f>
        <v>367089020688300_460032008060667</v>
      </c>
      <c r="E279" s="11">
        <v>139.0</v>
      </c>
      <c r="F279" s="11">
        <v>4.0</v>
      </c>
      <c r="G279" s="11">
        <v>298.0</v>
      </c>
      <c r="H279" s="9" t="s">
        <v>26</v>
      </c>
      <c r="I279" s="9" t="s">
        <v>1325</v>
      </c>
      <c r="J279" s="9" t="s">
        <v>1326</v>
      </c>
      <c r="K279" s="9" t="s">
        <v>1327</v>
      </c>
      <c r="L279" s="9" t="s">
        <v>30</v>
      </c>
      <c r="M279" s="9" t="s">
        <v>31</v>
      </c>
      <c r="N279" s="9" t="s">
        <v>32</v>
      </c>
      <c r="O279" s="12" t="s">
        <v>33</v>
      </c>
      <c r="P279" s="12" t="s">
        <v>34</v>
      </c>
      <c r="Q279" s="9"/>
      <c r="R279" s="18"/>
      <c r="S279" s="18"/>
      <c r="T279" s="18"/>
      <c r="U279" s="18"/>
      <c r="V279" s="18"/>
      <c r="W279" s="15"/>
      <c r="X279" s="15"/>
    </row>
    <row r="280">
      <c r="A280" s="7">
        <v>279.0</v>
      </c>
      <c r="B280" s="8" t="s">
        <v>1328</v>
      </c>
      <c r="C280" s="9" t="s">
        <v>1329</v>
      </c>
      <c r="D280" s="10" t="str">
        <f>HYPERLINK("https://facebook.com/367089020688300_518810382182829", "367089020688300_518810382182829")</f>
        <v>367089020688300_518810382182829</v>
      </c>
      <c r="E280" s="11">
        <v>231.0</v>
      </c>
      <c r="F280" s="11">
        <v>9.0</v>
      </c>
      <c r="G280" s="11">
        <v>279.0</v>
      </c>
      <c r="H280" s="9" t="s">
        <v>26</v>
      </c>
      <c r="I280" s="9" t="s">
        <v>1330</v>
      </c>
      <c r="J280" s="9" t="s">
        <v>1331</v>
      </c>
      <c r="K280" s="9" t="s">
        <v>1332</v>
      </c>
      <c r="L280" s="9" t="s">
        <v>30</v>
      </c>
      <c r="M280" s="9" t="s">
        <v>31</v>
      </c>
      <c r="N280" s="9" t="s">
        <v>32</v>
      </c>
      <c r="O280" s="12" t="s">
        <v>33</v>
      </c>
      <c r="P280" s="12" t="s">
        <v>34</v>
      </c>
      <c r="Q280" s="9"/>
      <c r="R280" s="18"/>
      <c r="S280" s="18"/>
      <c r="T280" s="18"/>
      <c r="U280" s="18"/>
      <c r="V280" s="18"/>
      <c r="W280" s="15"/>
      <c r="X280" s="15"/>
    </row>
    <row r="281">
      <c r="A281" s="7">
        <v>280.0</v>
      </c>
      <c r="B281" s="8" t="s">
        <v>1333</v>
      </c>
      <c r="C281" s="9" t="s">
        <v>1334</v>
      </c>
      <c r="D281" s="10" t="str">
        <f>HYPERLINK("https://facebook.com/367089020688300_558558384874695", "367089020688300_558558384874695")</f>
        <v>367089020688300_558558384874695</v>
      </c>
      <c r="E281" s="11">
        <v>23.0</v>
      </c>
      <c r="F281" s="11">
        <v>0.0</v>
      </c>
      <c r="G281" s="11">
        <v>20.0</v>
      </c>
      <c r="H281" s="9" t="s">
        <v>26</v>
      </c>
      <c r="I281" s="9" t="s">
        <v>1335</v>
      </c>
      <c r="J281" s="16" t="s">
        <v>1336</v>
      </c>
      <c r="K281" s="9"/>
      <c r="L281" s="9" t="s">
        <v>30</v>
      </c>
      <c r="M281" s="9" t="s">
        <v>31</v>
      </c>
      <c r="N281" s="9" t="s">
        <v>32</v>
      </c>
      <c r="O281" s="12" t="s">
        <v>33</v>
      </c>
      <c r="P281" s="12" t="s">
        <v>34</v>
      </c>
      <c r="Q281" s="9"/>
      <c r="R281" s="18"/>
      <c r="S281" s="18"/>
      <c r="T281" s="18"/>
      <c r="U281" s="18"/>
      <c r="V281" s="18"/>
      <c r="W281" s="15"/>
      <c r="X281" s="15"/>
    </row>
    <row r="282">
      <c r="A282" s="7">
        <v>281.0</v>
      </c>
      <c r="B282" s="8" t="s">
        <v>1337</v>
      </c>
      <c r="C282" s="9" t="s">
        <v>1338</v>
      </c>
      <c r="D282" s="10" t="str">
        <f>HYPERLINK("https://facebook.com/367089020688300_524355174961683", "367089020688300_524355174961683")</f>
        <v>367089020688300_524355174961683</v>
      </c>
      <c r="E282" s="11">
        <v>757.0</v>
      </c>
      <c r="F282" s="11">
        <v>23.0</v>
      </c>
      <c r="G282" s="11">
        <v>223.0</v>
      </c>
      <c r="H282" s="9" t="s">
        <v>26</v>
      </c>
      <c r="I282" s="9" t="s">
        <v>1339</v>
      </c>
      <c r="J282" s="9" t="s">
        <v>1340</v>
      </c>
      <c r="K282" s="9" t="s">
        <v>493</v>
      </c>
      <c r="L282" s="9" t="s">
        <v>30</v>
      </c>
      <c r="M282" s="9" t="s">
        <v>31</v>
      </c>
      <c r="N282" s="9" t="s">
        <v>32</v>
      </c>
      <c r="O282" s="12" t="s">
        <v>33</v>
      </c>
      <c r="P282" s="12" t="s">
        <v>34</v>
      </c>
      <c r="Q282" s="9"/>
      <c r="R282" s="18"/>
      <c r="S282" s="18"/>
      <c r="T282" s="18"/>
      <c r="U282" s="18"/>
      <c r="V282" s="18"/>
      <c r="W282" s="15"/>
      <c r="X282" s="15"/>
    </row>
    <row r="283">
      <c r="A283" s="7">
        <v>282.0</v>
      </c>
      <c r="B283" s="8" t="s">
        <v>1341</v>
      </c>
      <c r="C283" s="9" t="s">
        <v>1342</v>
      </c>
      <c r="D283" s="10" t="str">
        <f>HYPERLINK("https://facebook.com/367089020688300_534247363972464", "367089020688300_534247363972464")</f>
        <v>367089020688300_534247363972464</v>
      </c>
      <c r="E283" s="11">
        <v>176.0</v>
      </c>
      <c r="F283" s="11">
        <v>0.0</v>
      </c>
      <c r="G283" s="11">
        <v>123.0</v>
      </c>
      <c r="H283" s="9" t="s">
        <v>26</v>
      </c>
      <c r="I283" s="9" t="s">
        <v>1343</v>
      </c>
      <c r="J283" s="9" t="s">
        <v>1344</v>
      </c>
      <c r="K283" s="9" t="s">
        <v>1345</v>
      </c>
      <c r="L283" s="9" t="s">
        <v>30</v>
      </c>
      <c r="M283" s="9" t="s">
        <v>31</v>
      </c>
      <c r="N283" s="9" t="s">
        <v>32</v>
      </c>
      <c r="O283" s="12" t="s">
        <v>33</v>
      </c>
      <c r="P283" s="12" t="s">
        <v>34</v>
      </c>
      <c r="Q283" s="9"/>
      <c r="R283" s="18"/>
      <c r="S283" s="18"/>
      <c r="T283" s="18"/>
      <c r="U283" s="18"/>
      <c r="V283" s="18"/>
      <c r="W283" s="15"/>
      <c r="X283" s="15"/>
    </row>
    <row r="284">
      <c r="A284" s="7">
        <v>283.0</v>
      </c>
      <c r="B284" s="8" t="s">
        <v>1346</v>
      </c>
      <c r="C284" s="9" t="s">
        <v>1347</v>
      </c>
      <c r="D284" s="10" t="str">
        <f>HYPERLINK("https://facebook.com/367089020688300_472316720165529", "367089020688300_472316720165529")</f>
        <v>367089020688300_472316720165529</v>
      </c>
      <c r="E284" s="11">
        <v>92.0</v>
      </c>
      <c r="F284" s="11">
        <v>4.0</v>
      </c>
      <c r="G284" s="11">
        <v>269.0</v>
      </c>
      <c r="H284" s="9" t="s">
        <v>26</v>
      </c>
      <c r="I284" s="9" t="s">
        <v>1348</v>
      </c>
      <c r="J284" s="9" t="s">
        <v>1349</v>
      </c>
      <c r="K284" s="9" t="s">
        <v>1350</v>
      </c>
      <c r="L284" s="9" t="s">
        <v>30</v>
      </c>
      <c r="M284" s="9" t="s">
        <v>31</v>
      </c>
      <c r="N284" s="9" t="s">
        <v>32</v>
      </c>
      <c r="O284" s="12" t="s">
        <v>33</v>
      </c>
      <c r="P284" s="12" t="s">
        <v>34</v>
      </c>
      <c r="Q284" s="9"/>
      <c r="R284" s="18"/>
      <c r="S284" s="18"/>
      <c r="T284" s="18"/>
      <c r="U284" s="18"/>
      <c r="V284" s="18"/>
      <c r="W284" s="15"/>
      <c r="X284" s="15"/>
    </row>
    <row r="285">
      <c r="A285" s="7">
        <v>284.0</v>
      </c>
      <c r="B285" s="8" t="s">
        <v>1351</v>
      </c>
      <c r="C285" s="9" t="s">
        <v>1352</v>
      </c>
      <c r="D285" s="10" t="str">
        <f>HYPERLINK("https://facebook.com/367089020688300_538895570174310", "367089020688300_538895570174310")</f>
        <v>367089020688300_538895570174310</v>
      </c>
      <c r="E285" s="11">
        <v>518.0</v>
      </c>
      <c r="F285" s="11">
        <v>29.0</v>
      </c>
      <c r="G285" s="11">
        <v>874.0</v>
      </c>
      <c r="H285" s="9" t="s">
        <v>26</v>
      </c>
      <c r="I285" s="9" t="s">
        <v>1353</v>
      </c>
      <c r="J285" s="9" t="s">
        <v>1354</v>
      </c>
      <c r="K285" s="9" t="s">
        <v>1355</v>
      </c>
      <c r="L285" s="9" t="s">
        <v>30</v>
      </c>
      <c r="M285" s="9" t="s">
        <v>31</v>
      </c>
      <c r="N285" s="9" t="s">
        <v>32</v>
      </c>
      <c r="O285" s="12" t="s">
        <v>33</v>
      </c>
      <c r="P285" s="12" t="s">
        <v>34</v>
      </c>
      <c r="Q285" s="9"/>
      <c r="R285" s="18"/>
      <c r="S285" s="18"/>
      <c r="T285" s="18"/>
      <c r="U285" s="18"/>
      <c r="V285" s="18"/>
      <c r="W285" s="15"/>
      <c r="X285" s="15"/>
    </row>
    <row r="286">
      <c r="A286" s="7">
        <v>285.0</v>
      </c>
      <c r="B286" s="8" t="s">
        <v>1356</v>
      </c>
      <c r="C286" s="9" t="s">
        <v>1357</v>
      </c>
      <c r="D286" s="10" t="str">
        <f>HYPERLINK("https://facebook.com/367089020688300_517236439006890", "367089020688300_517236439006890")</f>
        <v>367089020688300_517236439006890</v>
      </c>
      <c r="E286" s="11">
        <v>3611.0</v>
      </c>
      <c r="F286" s="11">
        <v>625.0</v>
      </c>
      <c r="G286" s="11">
        <v>1328.0</v>
      </c>
      <c r="H286" s="9" t="s">
        <v>26</v>
      </c>
      <c r="I286" s="9" t="s">
        <v>1358</v>
      </c>
      <c r="J286" s="16" t="s">
        <v>1359</v>
      </c>
      <c r="K286" s="9"/>
      <c r="L286" s="9" t="s">
        <v>30</v>
      </c>
      <c r="M286" s="9" t="s">
        <v>31</v>
      </c>
      <c r="N286" s="9" t="s">
        <v>32</v>
      </c>
      <c r="O286" s="12" t="s">
        <v>33</v>
      </c>
      <c r="P286" s="12" t="s">
        <v>34</v>
      </c>
      <c r="Q286" s="9"/>
      <c r="R286" s="18"/>
      <c r="S286" s="18"/>
      <c r="T286" s="18"/>
      <c r="U286" s="18"/>
      <c r="V286" s="18"/>
      <c r="W286" s="15"/>
      <c r="X286" s="15"/>
    </row>
    <row r="287">
      <c r="A287" s="7">
        <v>286.0</v>
      </c>
      <c r="B287" s="8" t="s">
        <v>1360</v>
      </c>
      <c r="C287" s="9" t="s">
        <v>1361</v>
      </c>
      <c r="D287" s="10" t="str">
        <f>HYPERLINK("https://facebook.com/367089020688300_510621246335076", "367089020688300_510621246335076")</f>
        <v>367089020688300_510621246335076</v>
      </c>
      <c r="E287" s="11">
        <v>928.0</v>
      </c>
      <c r="F287" s="11">
        <v>45.0</v>
      </c>
      <c r="G287" s="11">
        <v>465.0</v>
      </c>
      <c r="H287" s="9" t="s">
        <v>26</v>
      </c>
      <c r="I287" s="9" t="s">
        <v>1362</v>
      </c>
      <c r="J287" s="9" t="s">
        <v>1363</v>
      </c>
      <c r="K287" s="9" t="s">
        <v>1364</v>
      </c>
      <c r="L287" s="9" t="s">
        <v>30</v>
      </c>
      <c r="M287" s="9" t="s">
        <v>31</v>
      </c>
      <c r="N287" s="9" t="s">
        <v>32</v>
      </c>
      <c r="O287" s="12" t="s">
        <v>33</v>
      </c>
      <c r="P287" s="12" t="s">
        <v>34</v>
      </c>
      <c r="Q287" s="9"/>
      <c r="R287" s="18"/>
      <c r="S287" s="18"/>
      <c r="T287" s="18"/>
      <c r="U287" s="18"/>
      <c r="V287" s="18"/>
      <c r="W287" s="15"/>
      <c r="X287" s="15"/>
    </row>
    <row r="288">
      <c r="A288" s="7">
        <v>287.0</v>
      </c>
      <c r="B288" s="8" t="s">
        <v>1365</v>
      </c>
      <c r="C288" s="9" t="s">
        <v>1366</v>
      </c>
      <c r="D288" s="10" t="str">
        <f>HYPERLINK("https://facebook.com/367089020688300_556684805062053", "367089020688300_556684805062053")</f>
        <v>367089020688300_556684805062053</v>
      </c>
      <c r="E288" s="11">
        <v>26.0</v>
      </c>
      <c r="F288" s="11">
        <v>0.0</v>
      </c>
      <c r="G288" s="11">
        <v>3.0</v>
      </c>
      <c r="H288" s="9" t="s">
        <v>26</v>
      </c>
      <c r="I288" s="9" t="s">
        <v>1367</v>
      </c>
      <c r="J288" s="16" t="s">
        <v>1368</v>
      </c>
      <c r="K288" s="9"/>
      <c r="L288" s="9" t="s">
        <v>30</v>
      </c>
      <c r="M288" s="9" t="s">
        <v>31</v>
      </c>
      <c r="N288" s="9" t="s">
        <v>32</v>
      </c>
      <c r="O288" s="12" t="s">
        <v>33</v>
      </c>
      <c r="P288" s="12" t="s">
        <v>34</v>
      </c>
      <c r="Q288" s="9"/>
      <c r="R288" s="18"/>
      <c r="S288" s="18"/>
      <c r="T288" s="18"/>
      <c r="U288" s="18"/>
      <c r="V288" s="18"/>
      <c r="W288" s="15"/>
      <c r="X288" s="15"/>
    </row>
    <row r="289">
      <c r="A289" s="7">
        <v>288.0</v>
      </c>
      <c r="B289" s="8" t="s">
        <v>1369</v>
      </c>
      <c r="C289" s="9" t="s">
        <v>1370</v>
      </c>
      <c r="D289" s="10" t="str">
        <f>HYPERLINK("https://facebook.com/367089020688300_562237684506765", "367089020688300_562237684506765")</f>
        <v>367089020688300_562237684506765</v>
      </c>
      <c r="E289" s="11">
        <v>432.0</v>
      </c>
      <c r="F289" s="11">
        <v>1.0</v>
      </c>
      <c r="G289" s="11">
        <v>9.0</v>
      </c>
      <c r="H289" s="9" t="s">
        <v>26</v>
      </c>
      <c r="I289" s="9" t="s">
        <v>1371</v>
      </c>
      <c r="J289" s="16" t="s">
        <v>1372</v>
      </c>
      <c r="K289" s="9"/>
      <c r="L289" s="9" t="s">
        <v>30</v>
      </c>
      <c r="M289" s="9" t="s">
        <v>31</v>
      </c>
      <c r="N289" s="9" t="s">
        <v>32</v>
      </c>
      <c r="O289" s="12" t="s">
        <v>33</v>
      </c>
      <c r="P289" s="12" t="s">
        <v>34</v>
      </c>
      <c r="Q289" s="9"/>
      <c r="R289" s="18"/>
      <c r="S289" s="18"/>
      <c r="T289" s="18"/>
      <c r="U289" s="18"/>
      <c r="V289" s="18"/>
      <c r="W289" s="15"/>
      <c r="X289" s="15"/>
    </row>
    <row r="290">
      <c r="A290" s="7">
        <v>289.0</v>
      </c>
      <c r="B290" s="8" t="s">
        <v>1373</v>
      </c>
      <c r="C290" s="9" t="s">
        <v>1374</v>
      </c>
      <c r="D290" s="10" t="str">
        <f>HYPERLINK("https://facebook.com/367089020688300_466035527460315", "367089020688300_466035527460315")</f>
        <v>367089020688300_466035527460315</v>
      </c>
      <c r="E290" s="11">
        <v>339.0</v>
      </c>
      <c r="F290" s="11">
        <v>43.0</v>
      </c>
      <c r="G290" s="11">
        <v>678.0</v>
      </c>
      <c r="H290" s="9" t="s">
        <v>26</v>
      </c>
      <c r="I290" s="9" t="s">
        <v>1375</v>
      </c>
      <c r="J290" s="9" t="s">
        <v>1376</v>
      </c>
      <c r="K290" s="9" t="s">
        <v>1377</v>
      </c>
      <c r="L290" s="9" t="s">
        <v>30</v>
      </c>
      <c r="M290" s="9" t="s">
        <v>31</v>
      </c>
      <c r="N290" s="9" t="s">
        <v>32</v>
      </c>
      <c r="O290" s="12" t="s">
        <v>33</v>
      </c>
      <c r="P290" s="12" t="s">
        <v>34</v>
      </c>
      <c r="Q290" s="9"/>
      <c r="R290" s="18"/>
      <c r="S290" s="18"/>
      <c r="T290" s="18"/>
      <c r="U290" s="18"/>
      <c r="V290" s="18"/>
      <c r="W290" s="15"/>
      <c r="X290" s="15"/>
    </row>
    <row r="291">
      <c r="A291" s="7">
        <v>290.0</v>
      </c>
      <c r="B291" s="8" t="s">
        <v>1378</v>
      </c>
      <c r="C291" s="9" t="s">
        <v>1379</v>
      </c>
      <c r="D291" s="10" t="str">
        <f>HYPERLINK("https://facebook.com/367089020688300_484161612314373", "367089020688300_484161612314373")</f>
        <v>367089020688300_484161612314373</v>
      </c>
      <c r="E291" s="11">
        <v>28.0</v>
      </c>
      <c r="F291" s="11">
        <v>0.0</v>
      </c>
      <c r="G291" s="11">
        <v>19.0</v>
      </c>
      <c r="H291" s="9" t="s">
        <v>26</v>
      </c>
      <c r="I291" s="9" t="s">
        <v>1380</v>
      </c>
      <c r="J291" s="16" t="s">
        <v>1381</v>
      </c>
      <c r="K291" s="9"/>
      <c r="L291" s="9" t="s">
        <v>30</v>
      </c>
      <c r="M291" s="9" t="s">
        <v>31</v>
      </c>
      <c r="N291" s="9" t="s">
        <v>32</v>
      </c>
      <c r="O291" s="12" t="s">
        <v>33</v>
      </c>
      <c r="P291" s="12" t="s">
        <v>34</v>
      </c>
      <c r="Q291" s="9"/>
      <c r="R291" s="18"/>
      <c r="S291" s="18"/>
      <c r="T291" s="18"/>
      <c r="U291" s="18"/>
      <c r="V291" s="18"/>
      <c r="W291" s="15"/>
      <c r="X291" s="15"/>
    </row>
    <row r="292">
      <c r="A292" s="7">
        <v>291.0</v>
      </c>
      <c r="B292" s="8" t="s">
        <v>1382</v>
      </c>
      <c r="C292" s="9" t="s">
        <v>1383</v>
      </c>
      <c r="D292" s="10" t="str">
        <f>HYPERLINK("https://facebook.com/367089020688300_543180446412489", "367089020688300_543180446412489")</f>
        <v>367089020688300_543180446412489</v>
      </c>
      <c r="E292" s="11">
        <v>134.0</v>
      </c>
      <c r="F292" s="11">
        <v>1.0</v>
      </c>
      <c r="G292" s="11">
        <v>113.0</v>
      </c>
      <c r="H292" s="9" t="s">
        <v>26</v>
      </c>
      <c r="I292" s="9" t="s">
        <v>1384</v>
      </c>
      <c r="J292" s="9" t="s">
        <v>1385</v>
      </c>
      <c r="K292" s="9" t="s">
        <v>1386</v>
      </c>
      <c r="L292" s="9" t="s">
        <v>30</v>
      </c>
      <c r="M292" s="9" t="s">
        <v>31</v>
      </c>
      <c r="N292" s="9" t="s">
        <v>32</v>
      </c>
      <c r="O292" s="12" t="s">
        <v>33</v>
      </c>
      <c r="P292" s="12" t="s">
        <v>34</v>
      </c>
      <c r="Q292" s="9"/>
      <c r="R292" s="18"/>
      <c r="S292" s="18"/>
      <c r="T292" s="18"/>
      <c r="U292" s="18"/>
      <c r="V292" s="18"/>
      <c r="W292" s="15"/>
      <c r="X292" s="15"/>
    </row>
    <row r="293">
      <c r="A293" s="7">
        <v>292.0</v>
      </c>
      <c r="B293" s="8" t="s">
        <v>1387</v>
      </c>
      <c r="C293" s="9" t="s">
        <v>1388</v>
      </c>
      <c r="D293" s="10" t="str">
        <f>HYPERLINK("https://facebook.com/367089020688300_447522712644930", "367089020688300_447522712644930")</f>
        <v>367089020688300_447522712644930</v>
      </c>
      <c r="E293" s="11">
        <v>160.0</v>
      </c>
      <c r="F293" s="11">
        <v>8.0</v>
      </c>
      <c r="G293" s="11">
        <v>338.0</v>
      </c>
      <c r="H293" s="9" t="s">
        <v>26</v>
      </c>
      <c r="I293" s="9" t="s">
        <v>1389</v>
      </c>
      <c r="J293" s="9" t="s">
        <v>1390</v>
      </c>
      <c r="K293" s="9" t="s">
        <v>1391</v>
      </c>
      <c r="L293" s="9" t="s">
        <v>30</v>
      </c>
      <c r="M293" s="9" t="s">
        <v>31</v>
      </c>
      <c r="N293" s="9" t="s">
        <v>32</v>
      </c>
      <c r="O293" s="12" t="s">
        <v>33</v>
      </c>
      <c r="P293" s="12" t="s">
        <v>34</v>
      </c>
      <c r="Q293" s="9"/>
      <c r="R293" s="18"/>
      <c r="S293" s="18"/>
      <c r="T293" s="18"/>
      <c r="U293" s="18"/>
      <c r="V293" s="18"/>
      <c r="W293" s="15"/>
      <c r="X293" s="15"/>
    </row>
    <row r="294">
      <c r="A294" s="7">
        <v>293.0</v>
      </c>
      <c r="B294" s="8" t="s">
        <v>1392</v>
      </c>
      <c r="C294" s="9" t="s">
        <v>1393</v>
      </c>
      <c r="D294" s="10" t="str">
        <f>HYPERLINK("https://facebook.com/367089020688300_541613356569198", "367089020688300_541613356569198")</f>
        <v>367089020688300_541613356569198</v>
      </c>
      <c r="E294" s="11">
        <v>13.0</v>
      </c>
      <c r="F294" s="11">
        <v>2.0</v>
      </c>
      <c r="G294" s="11">
        <v>1.0</v>
      </c>
      <c r="H294" s="9" t="s">
        <v>26</v>
      </c>
      <c r="I294" s="9" t="s">
        <v>1394</v>
      </c>
      <c r="J294" s="16" t="s">
        <v>1395</v>
      </c>
      <c r="K294" s="9"/>
      <c r="L294" s="9" t="s">
        <v>30</v>
      </c>
      <c r="M294" s="9" t="s">
        <v>31</v>
      </c>
      <c r="N294" s="9" t="s">
        <v>32</v>
      </c>
      <c r="O294" s="12" t="s">
        <v>33</v>
      </c>
      <c r="P294" s="12" t="s">
        <v>34</v>
      </c>
      <c r="Q294" s="9"/>
      <c r="R294" s="18"/>
      <c r="S294" s="18"/>
      <c r="T294" s="18"/>
      <c r="U294" s="18"/>
      <c r="V294" s="18"/>
      <c r="W294" s="15"/>
      <c r="X294" s="15"/>
    </row>
    <row r="295">
      <c r="A295" s="7">
        <v>294.0</v>
      </c>
      <c r="B295" s="8" t="s">
        <v>1396</v>
      </c>
      <c r="C295" s="9" t="s">
        <v>1397</v>
      </c>
      <c r="D295" s="10" t="str">
        <f>HYPERLINK("https://facebook.com/367089020688300_521195458610988", "367089020688300_521195458610988")</f>
        <v>367089020688300_521195458610988</v>
      </c>
      <c r="E295" s="11">
        <v>74.0</v>
      </c>
      <c r="F295" s="11">
        <v>1.0</v>
      </c>
      <c r="G295" s="11">
        <v>90.0</v>
      </c>
      <c r="H295" s="9" t="s">
        <v>26</v>
      </c>
      <c r="I295" s="9" t="s">
        <v>1398</v>
      </c>
      <c r="J295" s="9" t="s">
        <v>1399</v>
      </c>
      <c r="K295" s="9" t="s">
        <v>1400</v>
      </c>
      <c r="L295" s="9" t="s">
        <v>30</v>
      </c>
      <c r="M295" s="9" t="s">
        <v>31</v>
      </c>
      <c r="N295" s="9" t="s">
        <v>32</v>
      </c>
      <c r="O295" s="12" t="s">
        <v>33</v>
      </c>
      <c r="P295" s="12" t="s">
        <v>34</v>
      </c>
      <c r="Q295" s="9"/>
      <c r="R295" s="18"/>
      <c r="S295" s="18"/>
      <c r="T295" s="18"/>
      <c r="U295" s="18"/>
      <c r="V295" s="18"/>
      <c r="W295" s="15"/>
      <c r="X295" s="15"/>
    </row>
    <row r="296">
      <c r="A296" s="7">
        <v>295.0</v>
      </c>
      <c r="B296" s="8" t="s">
        <v>1401</v>
      </c>
      <c r="C296" s="9" t="s">
        <v>1402</v>
      </c>
      <c r="D296" s="10" t="str">
        <f>HYPERLINK("https://facebook.com/367089020688300_493231264740741", "367089020688300_493231264740741")</f>
        <v>367089020688300_493231264740741</v>
      </c>
      <c r="E296" s="11">
        <v>1247.0</v>
      </c>
      <c r="F296" s="11">
        <v>48.0</v>
      </c>
      <c r="G296" s="11">
        <v>842.0</v>
      </c>
      <c r="H296" s="9" t="s">
        <v>26</v>
      </c>
      <c r="I296" s="9" t="s">
        <v>1403</v>
      </c>
      <c r="J296" s="16" t="s">
        <v>1404</v>
      </c>
      <c r="K296" s="9"/>
      <c r="L296" s="9" t="s">
        <v>30</v>
      </c>
      <c r="M296" s="9" t="s">
        <v>31</v>
      </c>
      <c r="N296" s="9" t="s">
        <v>32</v>
      </c>
      <c r="O296" s="12" t="s">
        <v>33</v>
      </c>
      <c r="P296" s="12" t="s">
        <v>34</v>
      </c>
      <c r="Q296" s="9"/>
      <c r="R296" s="18"/>
      <c r="S296" s="18"/>
      <c r="T296" s="18"/>
      <c r="U296" s="18"/>
      <c r="V296" s="18"/>
      <c r="W296" s="15"/>
      <c r="X296" s="15"/>
    </row>
    <row r="297">
      <c r="A297" s="7">
        <v>296.0</v>
      </c>
      <c r="B297" s="8" t="s">
        <v>1405</v>
      </c>
      <c r="C297" s="9" t="s">
        <v>1406</v>
      </c>
      <c r="D297" s="10" t="str">
        <f>HYPERLINK("https://facebook.com/367089020688300_561523054578228", "367089020688300_561523054578228")</f>
        <v>367089020688300_561523054578228</v>
      </c>
      <c r="E297" s="11">
        <v>34.0</v>
      </c>
      <c r="F297" s="11">
        <v>0.0</v>
      </c>
      <c r="G297" s="11">
        <v>25.0</v>
      </c>
      <c r="H297" s="9" t="s">
        <v>26</v>
      </c>
      <c r="I297" s="9" t="s">
        <v>1407</v>
      </c>
      <c r="J297" s="9" t="s">
        <v>1408</v>
      </c>
      <c r="K297" s="9" t="s">
        <v>1409</v>
      </c>
      <c r="L297" s="9" t="s">
        <v>30</v>
      </c>
      <c r="M297" s="9" t="s">
        <v>31</v>
      </c>
      <c r="N297" s="9" t="s">
        <v>32</v>
      </c>
      <c r="O297" s="12" t="s">
        <v>33</v>
      </c>
      <c r="P297" s="12" t="s">
        <v>34</v>
      </c>
      <c r="Q297" s="9"/>
      <c r="R297" s="18"/>
      <c r="S297" s="18"/>
      <c r="T297" s="18"/>
      <c r="U297" s="18"/>
      <c r="V297" s="18"/>
      <c r="W297" s="15"/>
      <c r="X297" s="15"/>
    </row>
    <row r="298">
      <c r="A298" s="7">
        <v>297.0</v>
      </c>
      <c r="B298" s="8" t="s">
        <v>1410</v>
      </c>
      <c r="C298" s="9" t="s">
        <v>1411</v>
      </c>
      <c r="D298" s="10" t="str">
        <f>HYPERLINK("https://facebook.com/367089020688300_482322805831587", "367089020688300_482322805831587")</f>
        <v>367089020688300_482322805831587</v>
      </c>
      <c r="E298" s="11">
        <v>1607.0</v>
      </c>
      <c r="F298" s="11">
        <v>138.0</v>
      </c>
      <c r="G298" s="11">
        <v>600.0</v>
      </c>
      <c r="H298" s="9" t="s">
        <v>26</v>
      </c>
      <c r="I298" s="9" t="s">
        <v>1412</v>
      </c>
      <c r="J298" s="9" t="s">
        <v>1413</v>
      </c>
      <c r="K298" s="9" t="s">
        <v>1414</v>
      </c>
      <c r="L298" s="9" t="s">
        <v>30</v>
      </c>
      <c r="M298" s="9" t="s">
        <v>31</v>
      </c>
      <c r="N298" s="9" t="s">
        <v>32</v>
      </c>
      <c r="O298" s="12" t="s">
        <v>33</v>
      </c>
      <c r="P298" s="12" t="s">
        <v>34</v>
      </c>
      <c r="Q298" s="9"/>
      <c r="R298" s="18"/>
      <c r="S298" s="18"/>
      <c r="T298" s="18"/>
      <c r="U298" s="18"/>
      <c r="V298" s="18"/>
      <c r="W298" s="15"/>
      <c r="X298" s="15"/>
    </row>
    <row r="299">
      <c r="A299" s="7">
        <v>298.0</v>
      </c>
      <c r="B299" s="8" t="s">
        <v>1415</v>
      </c>
      <c r="C299" s="9" t="s">
        <v>1416</v>
      </c>
      <c r="D299" s="10" t="str">
        <f>HYPERLINK("https://facebook.com/367089020688300_525111758219358", "367089020688300_525111758219358")</f>
        <v>367089020688300_525111758219358</v>
      </c>
      <c r="E299" s="11">
        <v>22.0</v>
      </c>
      <c r="F299" s="11">
        <v>0.0</v>
      </c>
      <c r="G299" s="11">
        <v>21.0</v>
      </c>
      <c r="H299" s="9" t="s">
        <v>26</v>
      </c>
      <c r="I299" s="9" t="s">
        <v>1417</v>
      </c>
      <c r="J299" s="9" t="s">
        <v>1418</v>
      </c>
      <c r="K299" s="9" t="s">
        <v>1419</v>
      </c>
      <c r="L299" s="9" t="s">
        <v>30</v>
      </c>
      <c r="M299" s="9" t="s">
        <v>31</v>
      </c>
      <c r="N299" s="9" t="s">
        <v>32</v>
      </c>
      <c r="O299" s="12" t="s">
        <v>33</v>
      </c>
      <c r="P299" s="12" t="s">
        <v>34</v>
      </c>
      <c r="Q299" s="9"/>
      <c r="R299" s="18"/>
      <c r="S299" s="18"/>
      <c r="T299" s="18"/>
      <c r="U299" s="18"/>
      <c r="V299" s="18"/>
      <c r="W299" s="15"/>
      <c r="X299" s="15"/>
    </row>
    <row r="300">
      <c r="A300" s="7">
        <v>299.0</v>
      </c>
      <c r="B300" s="8" t="s">
        <v>1420</v>
      </c>
      <c r="C300" s="9" t="s">
        <v>1421</v>
      </c>
      <c r="D300" s="10" t="str">
        <f>HYPERLINK("https://facebook.com/367089020688300_552668592130341", "367089020688300_552668592130341")</f>
        <v>367089020688300_552668592130341</v>
      </c>
      <c r="E300" s="11">
        <v>47.0</v>
      </c>
      <c r="F300" s="11">
        <v>1.0</v>
      </c>
      <c r="G300" s="11">
        <v>43.0</v>
      </c>
      <c r="H300" s="9" t="s">
        <v>26</v>
      </c>
      <c r="I300" s="9" t="s">
        <v>1422</v>
      </c>
      <c r="J300" s="16" t="s">
        <v>1423</v>
      </c>
      <c r="K300" s="9"/>
      <c r="L300" s="9" t="s">
        <v>30</v>
      </c>
      <c r="M300" s="9" t="s">
        <v>31</v>
      </c>
      <c r="N300" s="9" t="s">
        <v>32</v>
      </c>
      <c r="O300" s="12" t="s">
        <v>33</v>
      </c>
      <c r="P300" s="12" t="s">
        <v>34</v>
      </c>
      <c r="Q300" s="9"/>
      <c r="R300" s="18"/>
      <c r="S300" s="18"/>
      <c r="T300" s="18"/>
      <c r="U300" s="18"/>
      <c r="V300" s="18"/>
      <c r="W300" s="15"/>
      <c r="X300" s="15"/>
    </row>
    <row r="301">
      <c r="A301" s="7">
        <v>300.0</v>
      </c>
      <c r="B301" s="8" t="s">
        <v>1424</v>
      </c>
      <c r="C301" s="9" t="s">
        <v>1425</v>
      </c>
      <c r="D301" s="10" t="str">
        <f>HYPERLINK("https://facebook.com/367089020688300_528771904520010", "367089020688300_528771904520010")</f>
        <v>367089020688300_528771904520010</v>
      </c>
      <c r="E301" s="11">
        <v>23.0</v>
      </c>
      <c r="F301" s="11">
        <v>0.0</v>
      </c>
      <c r="G301" s="11">
        <v>7.0</v>
      </c>
      <c r="H301" s="9" t="s">
        <v>26</v>
      </c>
      <c r="I301" s="9" t="s">
        <v>1426</v>
      </c>
      <c r="J301" s="9" t="s">
        <v>1427</v>
      </c>
      <c r="K301" s="9" t="s">
        <v>1428</v>
      </c>
      <c r="L301" s="9" t="s">
        <v>30</v>
      </c>
      <c r="M301" s="9" t="s">
        <v>31</v>
      </c>
      <c r="N301" s="9" t="s">
        <v>32</v>
      </c>
      <c r="O301" s="12" t="s">
        <v>33</v>
      </c>
      <c r="P301" s="12" t="s">
        <v>34</v>
      </c>
      <c r="Q301" s="9"/>
      <c r="R301" s="18"/>
      <c r="S301" s="18"/>
      <c r="T301" s="18"/>
      <c r="U301" s="18"/>
      <c r="V301" s="18"/>
      <c r="W301" s="15"/>
      <c r="X301" s="15"/>
    </row>
    <row r="302">
      <c r="A302" s="7">
        <v>301.0</v>
      </c>
      <c r="B302" s="8" t="s">
        <v>1429</v>
      </c>
      <c r="C302" s="9" t="s">
        <v>1430</v>
      </c>
      <c r="D302" s="10" t="str">
        <f>HYPERLINK("https://facebook.com/367089020688300_487537858643415", "367089020688300_487537858643415")</f>
        <v>367089020688300_487537858643415</v>
      </c>
      <c r="E302" s="11">
        <v>335.0</v>
      </c>
      <c r="F302" s="11">
        <v>3.0</v>
      </c>
      <c r="G302" s="11">
        <v>206.0</v>
      </c>
      <c r="H302" s="9" t="s">
        <v>26</v>
      </c>
      <c r="I302" s="9" t="s">
        <v>1431</v>
      </c>
      <c r="J302" s="9" t="s">
        <v>1432</v>
      </c>
      <c r="K302" s="9" t="s">
        <v>1433</v>
      </c>
      <c r="L302" s="9" t="s">
        <v>30</v>
      </c>
      <c r="M302" s="9" t="s">
        <v>31</v>
      </c>
      <c r="N302" s="9" t="s">
        <v>32</v>
      </c>
      <c r="O302" s="12" t="s">
        <v>33</v>
      </c>
      <c r="P302" s="12" t="s">
        <v>34</v>
      </c>
      <c r="Q302" s="9"/>
      <c r="R302" s="18"/>
      <c r="S302" s="18"/>
      <c r="T302" s="18"/>
      <c r="U302" s="18"/>
      <c r="V302" s="18"/>
      <c r="W302" s="15"/>
      <c r="X302" s="15"/>
    </row>
    <row r="303">
      <c r="A303" s="7">
        <v>302.0</v>
      </c>
      <c r="B303" s="8" t="s">
        <v>1434</v>
      </c>
      <c r="C303" s="9" t="s">
        <v>1435</v>
      </c>
      <c r="D303" s="10" t="str">
        <f>HYPERLINK("https://facebook.com/367089020688300_425434708187064", "367089020688300_425434708187064")</f>
        <v>367089020688300_425434708187064</v>
      </c>
      <c r="E303" s="11">
        <v>33.0</v>
      </c>
      <c r="F303" s="11">
        <v>2.0</v>
      </c>
      <c r="G303" s="11">
        <v>43.0</v>
      </c>
      <c r="H303" s="9" t="s">
        <v>26</v>
      </c>
      <c r="I303" s="9" t="s">
        <v>1436</v>
      </c>
      <c r="J303" s="9" t="s">
        <v>1437</v>
      </c>
      <c r="K303" s="9" t="s">
        <v>1438</v>
      </c>
      <c r="L303" s="9" t="s">
        <v>30</v>
      </c>
      <c r="M303" s="9" t="s">
        <v>31</v>
      </c>
      <c r="N303" s="9" t="s">
        <v>32</v>
      </c>
      <c r="O303" s="12" t="s">
        <v>33</v>
      </c>
      <c r="P303" s="12" t="s">
        <v>34</v>
      </c>
      <c r="Q303" s="9"/>
      <c r="R303" s="18"/>
      <c r="S303" s="18"/>
      <c r="T303" s="18"/>
      <c r="U303" s="18"/>
      <c r="V303" s="18"/>
      <c r="W303" s="15"/>
      <c r="X303" s="15"/>
    </row>
    <row r="304">
      <c r="A304" s="7">
        <v>303.0</v>
      </c>
      <c r="B304" s="8" t="s">
        <v>1439</v>
      </c>
      <c r="C304" s="9" t="s">
        <v>1440</v>
      </c>
      <c r="D304" s="10" t="str">
        <f>HYPERLINK("https://facebook.com/367089020688300_558767244853809", "367089020688300_558767244853809")</f>
        <v>367089020688300_558767244853809</v>
      </c>
      <c r="E304" s="11">
        <v>723.0</v>
      </c>
      <c r="F304" s="11">
        <v>19.0</v>
      </c>
      <c r="G304" s="11">
        <v>378.0</v>
      </c>
      <c r="H304" s="9" t="s">
        <v>26</v>
      </c>
      <c r="I304" s="9" t="s">
        <v>1441</v>
      </c>
      <c r="J304" s="16" t="s">
        <v>1442</v>
      </c>
      <c r="K304" s="9"/>
      <c r="L304" s="9" t="s">
        <v>30</v>
      </c>
      <c r="M304" s="9" t="s">
        <v>31</v>
      </c>
      <c r="N304" s="9" t="s">
        <v>32</v>
      </c>
      <c r="O304" s="12" t="s">
        <v>33</v>
      </c>
      <c r="P304" s="12" t="s">
        <v>34</v>
      </c>
      <c r="Q304" s="9"/>
      <c r="R304" s="18"/>
      <c r="S304" s="18"/>
      <c r="T304" s="18"/>
      <c r="U304" s="18"/>
      <c r="V304" s="18"/>
      <c r="W304" s="15"/>
      <c r="X304" s="15"/>
    </row>
    <row r="305">
      <c r="A305" s="7">
        <v>304.0</v>
      </c>
      <c r="B305" s="8" t="s">
        <v>1443</v>
      </c>
      <c r="C305" s="9" t="s">
        <v>1444</v>
      </c>
      <c r="D305" s="10" t="str">
        <f>HYPERLINK("https://facebook.com/367089020688300_546977269366140", "367089020688300_546977269366140")</f>
        <v>367089020688300_546977269366140</v>
      </c>
      <c r="E305" s="11">
        <v>1.0</v>
      </c>
      <c r="F305" s="11">
        <v>0.0</v>
      </c>
      <c r="G305" s="11">
        <v>0.0</v>
      </c>
      <c r="H305" s="9" t="s">
        <v>26</v>
      </c>
      <c r="I305" s="9" t="s">
        <v>1445</v>
      </c>
      <c r="J305" s="9" t="s">
        <v>1446</v>
      </c>
      <c r="K305" s="9" t="s">
        <v>920</v>
      </c>
      <c r="L305" s="9" t="s">
        <v>30</v>
      </c>
      <c r="M305" s="9" t="s">
        <v>31</v>
      </c>
      <c r="N305" s="9" t="s">
        <v>32</v>
      </c>
      <c r="O305" s="12" t="s">
        <v>33</v>
      </c>
      <c r="P305" s="12" t="s">
        <v>34</v>
      </c>
      <c r="Q305" s="9"/>
      <c r="R305" s="18"/>
      <c r="S305" s="18"/>
      <c r="T305" s="18"/>
      <c r="U305" s="18"/>
      <c r="V305" s="18"/>
      <c r="W305" s="15"/>
      <c r="X305" s="15"/>
    </row>
    <row r="306">
      <c r="A306" s="7">
        <v>305.0</v>
      </c>
      <c r="B306" s="8" t="s">
        <v>1447</v>
      </c>
      <c r="C306" s="9" t="s">
        <v>1448</v>
      </c>
      <c r="D306" s="10" t="str">
        <f>HYPERLINK("https://facebook.com/367089020688300_537842216946312", "367089020688300_537842216946312")</f>
        <v>367089020688300_537842216946312</v>
      </c>
      <c r="E306" s="11">
        <v>100.0</v>
      </c>
      <c r="F306" s="11">
        <v>2.0</v>
      </c>
      <c r="G306" s="11">
        <v>111.0</v>
      </c>
      <c r="H306" s="9" t="s">
        <v>26</v>
      </c>
      <c r="I306" s="9" t="s">
        <v>1449</v>
      </c>
      <c r="J306" s="16" t="s">
        <v>1450</v>
      </c>
      <c r="K306" s="9"/>
      <c r="L306" s="9" t="s">
        <v>30</v>
      </c>
      <c r="M306" s="9" t="s">
        <v>31</v>
      </c>
      <c r="N306" s="9" t="s">
        <v>32</v>
      </c>
      <c r="O306" s="12" t="s">
        <v>33</v>
      </c>
      <c r="P306" s="12" t="s">
        <v>34</v>
      </c>
      <c r="Q306" s="9"/>
      <c r="R306" s="18"/>
      <c r="S306" s="18"/>
      <c r="T306" s="18"/>
      <c r="U306" s="18"/>
      <c r="V306" s="18"/>
      <c r="W306" s="15"/>
      <c r="X306" s="15"/>
    </row>
    <row r="307">
      <c r="A307" s="7">
        <v>306.0</v>
      </c>
      <c r="B307" s="8" t="s">
        <v>1451</v>
      </c>
      <c r="C307" s="9" t="s">
        <v>1452</v>
      </c>
      <c r="D307" s="10" t="str">
        <f>HYPERLINK("https://facebook.com/367089020688300_560183741378826", "367089020688300_560183741378826")</f>
        <v>367089020688300_560183741378826</v>
      </c>
      <c r="E307" s="11">
        <v>1173.0</v>
      </c>
      <c r="F307" s="11">
        <v>9.0</v>
      </c>
      <c r="G307" s="11">
        <v>215.0</v>
      </c>
      <c r="H307" s="9" t="s">
        <v>26</v>
      </c>
      <c r="I307" s="9" t="s">
        <v>1453</v>
      </c>
      <c r="J307" s="16" t="s">
        <v>1454</v>
      </c>
      <c r="K307" s="9"/>
      <c r="L307" s="9" t="s">
        <v>30</v>
      </c>
      <c r="M307" s="9" t="s">
        <v>31</v>
      </c>
      <c r="N307" s="9" t="s">
        <v>32</v>
      </c>
      <c r="O307" s="12" t="s">
        <v>33</v>
      </c>
      <c r="P307" s="12" t="s">
        <v>34</v>
      </c>
      <c r="Q307" s="9"/>
      <c r="R307" s="18"/>
      <c r="S307" s="18"/>
      <c r="T307" s="18"/>
      <c r="U307" s="18"/>
      <c r="V307" s="18"/>
      <c r="W307" s="15"/>
      <c r="X307" s="15"/>
    </row>
    <row r="308">
      <c r="A308" s="7">
        <v>307.0</v>
      </c>
      <c r="B308" s="8" t="s">
        <v>1455</v>
      </c>
      <c r="C308" s="9" t="s">
        <v>1456</v>
      </c>
      <c r="D308" s="10" t="str">
        <f>HYPERLINK("https://facebook.com/367089020688300_544986709565196", "367089020688300_544986709565196")</f>
        <v>367089020688300_544986709565196</v>
      </c>
      <c r="E308" s="11">
        <v>34.0</v>
      </c>
      <c r="F308" s="11">
        <v>0.0</v>
      </c>
      <c r="G308" s="11">
        <v>24.0</v>
      </c>
      <c r="H308" s="9" t="s">
        <v>26</v>
      </c>
      <c r="I308" s="9" t="s">
        <v>1457</v>
      </c>
      <c r="J308" s="16" t="s">
        <v>1458</v>
      </c>
      <c r="K308" s="9"/>
      <c r="L308" s="9" t="s">
        <v>30</v>
      </c>
      <c r="M308" s="9" t="s">
        <v>31</v>
      </c>
      <c r="N308" s="9" t="s">
        <v>32</v>
      </c>
      <c r="O308" s="12" t="s">
        <v>33</v>
      </c>
      <c r="P308" s="12" t="s">
        <v>34</v>
      </c>
      <c r="Q308" s="9"/>
      <c r="R308" s="18"/>
      <c r="S308" s="18"/>
      <c r="T308" s="18"/>
      <c r="U308" s="18"/>
      <c r="V308" s="18"/>
      <c r="W308" s="15"/>
      <c r="X308" s="15"/>
    </row>
    <row r="309">
      <c r="A309" s="7">
        <v>308.0</v>
      </c>
      <c r="B309" s="8" t="s">
        <v>1459</v>
      </c>
      <c r="C309" s="9" t="s">
        <v>1460</v>
      </c>
      <c r="D309" s="10" t="str">
        <f>HYPERLINK("https://facebook.com/367089020688300_551831868880680", "367089020688300_551831868880680")</f>
        <v>367089020688300_551831868880680</v>
      </c>
      <c r="E309" s="11">
        <v>21.0</v>
      </c>
      <c r="F309" s="11">
        <v>0.0</v>
      </c>
      <c r="G309" s="11">
        <v>15.0</v>
      </c>
      <c r="H309" s="9" t="s">
        <v>26</v>
      </c>
      <c r="I309" s="9" t="s">
        <v>1461</v>
      </c>
      <c r="J309" s="9" t="s">
        <v>1462</v>
      </c>
      <c r="K309" s="9" t="s">
        <v>1463</v>
      </c>
      <c r="L309" s="9" t="s">
        <v>30</v>
      </c>
      <c r="M309" s="9" t="s">
        <v>31</v>
      </c>
      <c r="N309" s="9" t="s">
        <v>32</v>
      </c>
      <c r="O309" s="12" t="s">
        <v>33</v>
      </c>
      <c r="P309" s="12" t="s">
        <v>34</v>
      </c>
      <c r="Q309" s="9"/>
      <c r="R309" s="18"/>
      <c r="S309" s="18"/>
      <c r="T309" s="18"/>
      <c r="U309" s="18"/>
      <c r="V309" s="18"/>
      <c r="W309" s="15"/>
      <c r="X309" s="15"/>
    </row>
    <row r="310">
      <c r="A310" s="7">
        <v>309.0</v>
      </c>
      <c r="B310" s="8" t="s">
        <v>1464</v>
      </c>
      <c r="C310" s="9" t="s">
        <v>1465</v>
      </c>
      <c r="D310" s="10" t="str">
        <f>HYPERLINK("https://facebook.com/367089020688300_523896991674168", "367089020688300_523896991674168")</f>
        <v>367089020688300_523896991674168</v>
      </c>
      <c r="E310" s="11">
        <v>643.0</v>
      </c>
      <c r="F310" s="11">
        <v>16.0</v>
      </c>
      <c r="G310" s="11">
        <v>256.0</v>
      </c>
      <c r="H310" s="9" t="s">
        <v>26</v>
      </c>
      <c r="I310" s="9" t="s">
        <v>1466</v>
      </c>
      <c r="J310" s="9" t="s">
        <v>1467</v>
      </c>
      <c r="K310" s="9" t="s">
        <v>1468</v>
      </c>
      <c r="L310" s="9" t="s">
        <v>30</v>
      </c>
      <c r="M310" s="9" t="s">
        <v>31</v>
      </c>
      <c r="N310" s="9" t="s">
        <v>32</v>
      </c>
      <c r="O310" s="12" t="s">
        <v>33</v>
      </c>
      <c r="P310" s="12" t="s">
        <v>34</v>
      </c>
      <c r="Q310" s="9"/>
      <c r="R310" s="18"/>
      <c r="S310" s="18"/>
      <c r="T310" s="18"/>
      <c r="U310" s="18"/>
      <c r="V310" s="18"/>
      <c r="W310" s="15"/>
      <c r="X310" s="15"/>
    </row>
    <row r="311">
      <c r="A311" s="7">
        <v>310.0</v>
      </c>
      <c r="B311" s="8" t="s">
        <v>1469</v>
      </c>
      <c r="C311" s="9" t="s">
        <v>1470</v>
      </c>
      <c r="D311" s="10" t="str">
        <f>HYPERLINK("https://facebook.com/367089020688300_536632670400600", "367089020688300_536632670400600")</f>
        <v>367089020688300_536632670400600</v>
      </c>
      <c r="E311" s="11">
        <v>17.0</v>
      </c>
      <c r="F311" s="11">
        <v>0.0</v>
      </c>
      <c r="G311" s="11">
        <v>13.0</v>
      </c>
      <c r="H311" s="9" t="s">
        <v>26</v>
      </c>
      <c r="I311" s="9" t="s">
        <v>1173</v>
      </c>
      <c r="J311" s="9" t="s">
        <v>1471</v>
      </c>
      <c r="K311" s="9" t="s">
        <v>1472</v>
      </c>
      <c r="L311" s="9" t="s">
        <v>30</v>
      </c>
      <c r="M311" s="9" t="s">
        <v>31</v>
      </c>
      <c r="N311" s="9" t="s">
        <v>32</v>
      </c>
      <c r="O311" s="12" t="s">
        <v>33</v>
      </c>
      <c r="P311" s="12" t="s">
        <v>34</v>
      </c>
      <c r="Q311" s="9"/>
      <c r="R311" s="18"/>
      <c r="S311" s="18"/>
      <c r="T311" s="18"/>
      <c r="U311" s="18"/>
      <c r="V311" s="18"/>
      <c r="W311" s="15"/>
      <c r="X311" s="15"/>
    </row>
    <row r="312">
      <c r="A312" s="7">
        <v>311.0</v>
      </c>
      <c r="B312" s="8" t="s">
        <v>1473</v>
      </c>
      <c r="C312" s="9" t="s">
        <v>1474</v>
      </c>
      <c r="D312" s="10" t="str">
        <f>HYPERLINK("https://facebook.com/367089020688300_456223891774812", "367089020688300_456223891774812")</f>
        <v>367089020688300_456223891774812</v>
      </c>
      <c r="E312" s="11">
        <v>558.0</v>
      </c>
      <c r="F312" s="11">
        <v>22.0</v>
      </c>
      <c r="G312" s="11">
        <v>690.0</v>
      </c>
      <c r="H312" s="9" t="s">
        <v>26</v>
      </c>
      <c r="I312" s="9" t="s">
        <v>1475</v>
      </c>
      <c r="J312" s="9" t="s">
        <v>1476</v>
      </c>
      <c r="K312" s="9" t="s">
        <v>1477</v>
      </c>
      <c r="L312" s="9" t="s">
        <v>30</v>
      </c>
      <c r="M312" s="9" t="s">
        <v>31</v>
      </c>
      <c r="N312" s="9" t="s">
        <v>32</v>
      </c>
      <c r="O312" s="12" t="s">
        <v>33</v>
      </c>
      <c r="P312" s="12" t="s">
        <v>34</v>
      </c>
      <c r="Q312" s="9"/>
      <c r="R312" s="18"/>
      <c r="S312" s="18"/>
      <c r="T312" s="18"/>
      <c r="U312" s="18"/>
      <c r="V312" s="18"/>
      <c r="W312" s="15"/>
      <c r="X312" s="15"/>
    </row>
    <row r="313">
      <c r="A313" s="7">
        <v>312.0</v>
      </c>
      <c r="B313" s="8" t="s">
        <v>1478</v>
      </c>
      <c r="C313" s="9" t="s">
        <v>1479</v>
      </c>
      <c r="D313" s="10" t="str">
        <f>HYPERLINK("https://facebook.com/367089020688300_538923193504881", "367089020688300_538923193504881")</f>
        <v>367089020688300_538923193504881</v>
      </c>
      <c r="E313" s="11">
        <v>8.0</v>
      </c>
      <c r="F313" s="11">
        <v>0.0</v>
      </c>
      <c r="G313" s="11">
        <v>5.0</v>
      </c>
      <c r="H313" s="9" t="s">
        <v>26</v>
      </c>
      <c r="I313" s="9" t="s">
        <v>1480</v>
      </c>
      <c r="J313" s="16" t="s">
        <v>1481</v>
      </c>
      <c r="K313" s="9"/>
      <c r="L313" s="9" t="s">
        <v>30</v>
      </c>
      <c r="M313" s="9" t="s">
        <v>31</v>
      </c>
      <c r="N313" s="9" t="s">
        <v>32</v>
      </c>
      <c r="O313" s="12" t="s">
        <v>33</v>
      </c>
      <c r="P313" s="12" t="s">
        <v>34</v>
      </c>
      <c r="Q313" s="9"/>
      <c r="R313" s="18"/>
      <c r="S313" s="18"/>
      <c r="T313" s="18"/>
      <c r="U313" s="18"/>
      <c r="V313" s="18"/>
      <c r="W313" s="15"/>
      <c r="X313" s="15"/>
    </row>
    <row r="314">
      <c r="A314" s="7">
        <v>313.0</v>
      </c>
      <c r="B314" s="8" t="s">
        <v>1482</v>
      </c>
      <c r="C314" s="9" t="s">
        <v>1483</v>
      </c>
      <c r="D314" s="10" t="str">
        <f>HYPERLINK("https://facebook.com/367089020688300_563320014398532", "367089020688300_563320014398532")</f>
        <v>367089020688300_563320014398532</v>
      </c>
      <c r="E314" s="11">
        <v>11.0</v>
      </c>
      <c r="F314" s="11">
        <v>0.0</v>
      </c>
      <c r="G314" s="11">
        <v>14.0</v>
      </c>
      <c r="H314" s="9" t="s">
        <v>26</v>
      </c>
      <c r="I314" s="9" t="s">
        <v>1484</v>
      </c>
      <c r="J314" s="9" t="s">
        <v>1485</v>
      </c>
      <c r="K314" s="9" t="s">
        <v>1486</v>
      </c>
      <c r="L314" s="9" t="s">
        <v>30</v>
      </c>
      <c r="M314" s="9" t="s">
        <v>31</v>
      </c>
      <c r="N314" s="9" t="s">
        <v>32</v>
      </c>
      <c r="O314" s="12" t="s">
        <v>33</v>
      </c>
      <c r="P314" s="12" t="s">
        <v>34</v>
      </c>
      <c r="Q314" s="9"/>
      <c r="R314" s="18"/>
      <c r="S314" s="18"/>
      <c r="T314" s="18"/>
      <c r="U314" s="18"/>
      <c r="V314" s="18"/>
      <c r="W314" s="15"/>
      <c r="X314" s="15"/>
    </row>
    <row r="315">
      <c r="A315" s="7">
        <v>314.0</v>
      </c>
      <c r="B315" s="8" t="s">
        <v>1487</v>
      </c>
      <c r="C315" s="9" t="s">
        <v>1488</v>
      </c>
      <c r="D315" s="10" t="str">
        <f>HYPERLINK("https://facebook.com/367089020688300_552163182180882", "367089020688300_552163182180882")</f>
        <v>367089020688300_552163182180882</v>
      </c>
      <c r="E315" s="11">
        <v>341.0</v>
      </c>
      <c r="F315" s="11">
        <v>12.0</v>
      </c>
      <c r="G315" s="11">
        <v>339.0</v>
      </c>
      <c r="H315" s="9" t="s">
        <v>26</v>
      </c>
      <c r="I315" s="9" t="s">
        <v>1007</v>
      </c>
      <c r="J315" s="9" t="s">
        <v>1489</v>
      </c>
      <c r="K315" s="9" t="s">
        <v>51</v>
      </c>
      <c r="L315" s="9" t="s">
        <v>30</v>
      </c>
      <c r="M315" s="9" t="s">
        <v>31</v>
      </c>
      <c r="N315" s="9" t="s">
        <v>32</v>
      </c>
      <c r="O315" s="12" t="s">
        <v>33</v>
      </c>
      <c r="P315" s="12" t="s">
        <v>34</v>
      </c>
      <c r="Q315" s="9"/>
      <c r="R315" s="18"/>
      <c r="S315" s="18"/>
      <c r="T315" s="18"/>
      <c r="U315" s="18"/>
      <c r="V315" s="18"/>
      <c r="W315" s="15"/>
      <c r="X315" s="15"/>
    </row>
    <row r="316">
      <c r="A316" s="7">
        <v>315.0</v>
      </c>
      <c r="B316" s="8" t="s">
        <v>1490</v>
      </c>
      <c r="C316" s="9" t="s">
        <v>1491</v>
      </c>
      <c r="D316" s="10" t="str">
        <f>HYPERLINK("https://facebook.com/367089020688300_546421306088403", "367089020688300_546421306088403")</f>
        <v>367089020688300_546421306088403</v>
      </c>
      <c r="E316" s="11">
        <v>19.0</v>
      </c>
      <c r="F316" s="11">
        <v>0.0</v>
      </c>
      <c r="G316" s="11">
        <v>14.0</v>
      </c>
      <c r="H316" s="9" t="s">
        <v>26</v>
      </c>
      <c r="I316" s="9" t="s">
        <v>1492</v>
      </c>
      <c r="J316" s="9" t="s">
        <v>1493</v>
      </c>
      <c r="K316" s="9" t="s">
        <v>219</v>
      </c>
      <c r="L316" s="9" t="s">
        <v>30</v>
      </c>
      <c r="M316" s="9" t="s">
        <v>31</v>
      </c>
      <c r="N316" s="9" t="s">
        <v>32</v>
      </c>
      <c r="O316" s="12" t="s">
        <v>33</v>
      </c>
      <c r="P316" s="12" t="s">
        <v>34</v>
      </c>
      <c r="Q316" s="9"/>
      <c r="R316" s="18"/>
      <c r="S316" s="18"/>
      <c r="T316" s="18"/>
      <c r="U316" s="18"/>
      <c r="V316" s="18"/>
      <c r="W316" s="15"/>
      <c r="X316" s="15"/>
    </row>
    <row r="317">
      <c r="A317" s="7">
        <v>316.0</v>
      </c>
      <c r="B317" s="8" t="s">
        <v>1494</v>
      </c>
      <c r="C317" s="9" t="s">
        <v>1495</v>
      </c>
      <c r="D317" s="10" t="str">
        <f>HYPERLINK("https://facebook.com/367089020688300_523188358411698", "367089020688300_523188358411698")</f>
        <v>367089020688300_523188358411698</v>
      </c>
      <c r="E317" s="11">
        <v>76.0</v>
      </c>
      <c r="F317" s="11">
        <v>1.0</v>
      </c>
      <c r="G317" s="11">
        <v>59.0</v>
      </c>
      <c r="H317" s="9" t="s">
        <v>26</v>
      </c>
      <c r="I317" s="9" t="s">
        <v>1496</v>
      </c>
      <c r="J317" s="9" t="s">
        <v>1497</v>
      </c>
      <c r="K317" s="9" t="s">
        <v>1498</v>
      </c>
      <c r="L317" s="9" t="s">
        <v>30</v>
      </c>
      <c r="M317" s="9" t="s">
        <v>31</v>
      </c>
      <c r="N317" s="9" t="s">
        <v>32</v>
      </c>
      <c r="O317" s="12" t="s">
        <v>33</v>
      </c>
      <c r="P317" s="12" t="s">
        <v>34</v>
      </c>
      <c r="Q317" s="9"/>
      <c r="R317" s="18"/>
      <c r="S317" s="18"/>
      <c r="T317" s="18"/>
      <c r="U317" s="18"/>
      <c r="V317" s="18"/>
      <c r="W317" s="15"/>
      <c r="X317" s="15"/>
    </row>
    <row r="318">
      <c r="A318" s="7">
        <v>317.0</v>
      </c>
      <c r="B318" s="8" t="s">
        <v>1499</v>
      </c>
      <c r="C318" s="9" t="s">
        <v>1500</v>
      </c>
      <c r="D318" s="10" t="str">
        <f>HYPERLINK("https://facebook.com/367089020688300_500276910702843", "367089020688300_500276910702843")</f>
        <v>367089020688300_500276910702843</v>
      </c>
      <c r="E318" s="11">
        <v>1345.0</v>
      </c>
      <c r="F318" s="11">
        <v>71.0</v>
      </c>
      <c r="G318" s="11">
        <v>446.0</v>
      </c>
      <c r="H318" s="9" t="s">
        <v>26</v>
      </c>
      <c r="I318" s="9" t="s">
        <v>1501</v>
      </c>
      <c r="J318" s="9" t="s">
        <v>1502</v>
      </c>
      <c r="K318" s="9" t="s">
        <v>1503</v>
      </c>
      <c r="L318" s="9" t="s">
        <v>30</v>
      </c>
      <c r="M318" s="9" t="s">
        <v>31</v>
      </c>
      <c r="N318" s="9" t="s">
        <v>32</v>
      </c>
      <c r="O318" s="12" t="s">
        <v>33</v>
      </c>
      <c r="P318" s="12" t="s">
        <v>34</v>
      </c>
      <c r="Q318" s="9"/>
      <c r="R318" s="18"/>
      <c r="S318" s="18"/>
      <c r="T318" s="18"/>
      <c r="U318" s="18"/>
      <c r="V318" s="18"/>
      <c r="W318" s="15"/>
      <c r="X318" s="15"/>
    </row>
    <row r="319">
      <c r="A319" s="7">
        <v>318.0</v>
      </c>
      <c r="B319" s="8" t="s">
        <v>1504</v>
      </c>
      <c r="C319" s="9" t="s">
        <v>1505</v>
      </c>
      <c r="D319" s="10" t="str">
        <f>HYPERLINK("https://facebook.com/367089020688300_553486555381878", "367089020688300_553486555381878")</f>
        <v>367089020688300_553486555381878</v>
      </c>
      <c r="E319" s="11">
        <v>12.0</v>
      </c>
      <c r="F319" s="11">
        <v>0.0</v>
      </c>
      <c r="G319" s="11">
        <v>7.0</v>
      </c>
      <c r="H319" s="9" t="s">
        <v>26</v>
      </c>
      <c r="I319" s="9" t="s">
        <v>1506</v>
      </c>
      <c r="J319" s="16" t="s">
        <v>1507</v>
      </c>
      <c r="K319" s="9"/>
      <c r="L319" s="9" t="s">
        <v>30</v>
      </c>
      <c r="M319" s="9" t="s">
        <v>31</v>
      </c>
      <c r="N319" s="9" t="s">
        <v>32</v>
      </c>
      <c r="O319" s="12" t="s">
        <v>33</v>
      </c>
      <c r="P319" s="12" t="s">
        <v>34</v>
      </c>
      <c r="Q319" s="9"/>
      <c r="R319" s="18"/>
      <c r="S319" s="18"/>
      <c r="T319" s="18"/>
      <c r="U319" s="18"/>
      <c r="V319" s="18"/>
      <c r="W319" s="15"/>
      <c r="X319" s="15"/>
    </row>
    <row r="320">
      <c r="A320" s="7">
        <v>319.0</v>
      </c>
      <c r="B320" s="8" t="s">
        <v>1508</v>
      </c>
      <c r="C320" s="9" t="s">
        <v>1509</v>
      </c>
      <c r="D320" s="10" t="str">
        <f>HYPERLINK("https://facebook.com/367089020688300_496118017785399", "367089020688300_496118017785399")</f>
        <v>367089020688300_496118017785399</v>
      </c>
      <c r="E320" s="11">
        <v>3409.0</v>
      </c>
      <c r="F320" s="11">
        <v>81.0</v>
      </c>
      <c r="G320" s="11">
        <v>1646.0</v>
      </c>
      <c r="H320" s="9" t="s">
        <v>26</v>
      </c>
      <c r="I320" s="9" t="s">
        <v>1510</v>
      </c>
      <c r="J320" s="9" t="s">
        <v>1511</v>
      </c>
      <c r="K320" s="9" t="s">
        <v>1512</v>
      </c>
      <c r="L320" s="9" t="s">
        <v>30</v>
      </c>
      <c r="M320" s="9" t="s">
        <v>31</v>
      </c>
      <c r="N320" s="9" t="s">
        <v>32</v>
      </c>
      <c r="O320" s="12" t="s">
        <v>33</v>
      </c>
      <c r="P320" s="12" t="s">
        <v>34</v>
      </c>
      <c r="Q320" s="9"/>
      <c r="R320" s="18"/>
      <c r="S320" s="18"/>
      <c r="T320" s="18"/>
      <c r="U320" s="18"/>
      <c r="V320" s="18"/>
      <c r="W320" s="15"/>
      <c r="X320" s="15"/>
    </row>
    <row r="321">
      <c r="A321" s="7">
        <v>320.0</v>
      </c>
      <c r="B321" s="8" t="s">
        <v>1513</v>
      </c>
      <c r="C321" s="9" t="s">
        <v>1514</v>
      </c>
      <c r="D321" s="10" t="str">
        <f>HYPERLINK("https://facebook.com/367089020688300_460631158000752", "367089020688300_460631158000752")</f>
        <v>367089020688300_460631158000752</v>
      </c>
      <c r="E321" s="11">
        <v>189.0</v>
      </c>
      <c r="F321" s="11">
        <v>0.0</v>
      </c>
      <c r="G321" s="11">
        <v>105.0</v>
      </c>
      <c r="H321" s="9" t="s">
        <v>26</v>
      </c>
      <c r="I321" s="9" t="s">
        <v>1515</v>
      </c>
      <c r="J321" s="9" t="s">
        <v>1516</v>
      </c>
      <c r="K321" s="9" t="s">
        <v>1517</v>
      </c>
      <c r="L321" s="9" t="s">
        <v>30</v>
      </c>
      <c r="M321" s="9" t="s">
        <v>31</v>
      </c>
      <c r="N321" s="9" t="s">
        <v>32</v>
      </c>
      <c r="O321" s="12" t="s">
        <v>33</v>
      </c>
      <c r="P321" s="12" t="s">
        <v>34</v>
      </c>
      <c r="Q321" s="9"/>
      <c r="R321" s="18"/>
      <c r="S321" s="18"/>
      <c r="T321" s="18"/>
      <c r="U321" s="18"/>
      <c r="V321" s="18"/>
      <c r="W321" s="15"/>
      <c r="X321" s="15"/>
    </row>
    <row r="322">
      <c r="A322" s="7">
        <v>321.0</v>
      </c>
      <c r="B322" s="8" t="s">
        <v>1518</v>
      </c>
      <c r="C322" s="9" t="s">
        <v>1519</v>
      </c>
      <c r="D322" s="10" t="str">
        <f>HYPERLINK("https://facebook.com/367089020688300_531982574198943", "367089020688300_531982574198943")</f>
        <v>367089020688300_531982574198943</v>
      </c>
      <c r="E322" s="11">
        <v>163.0</v>
      </c>
      <c r="F322" s="11">
        <v>5.0</v>
      </c>
      <c r="G322" s="11">
        <v>203.0</v>
      </c>
      <c r="H322" s="9" t="s">
        <v>26</v>
      </c>
      <c r="I322" s="9" t="s">
        <v>1520</v>
      </c>
      <c r="J322" s="16" t="s">
        <v>1521</v>
      </c>
      <c r="K322" s="9"/>
      <c r="L322" s="9" t="s">
        <v>30</v>
      </c>
      <c r="M322" s="9" t="s">
        <v>31</v>
      </c>
      <c r="N322" s="9" t="s">
        <v>32</v>
      </c>
      <c r="O322" s="12" t="s">
        <v>33</v>
      </c>
      <c r="P322" s="12" t="s">
        <v>34</v>
      </c>
      <c r="Q322" s="9"/>
      <c r="R322" s="18"/>
      <c r="S322" s="18"/>
      <c r="T322" s="18"/>
      <c r="U322" s="18"/>
      <c r="V322" s="18"/>
      <c r="W322" s="15"/>
      <c r="X322" s="15"/>
    </row>
    <row r="323">
      <c r="A323" s="7">
        <v>322.0</v>
      </c>
      <c r="B323" s="8" t="s">
        <v>1522</v>
      </c>
      <c r="C323" s="9" t="s">
        <v>1523</v>
      </c>
      <c r="D323" s="10" t="str">
        <f>HYPERLINK("https://facebook.com/367089020688300_552612812135919", "367089020688300_552612812135919")</f>
        <v>367089020688300_552612812135919</v>
      </c>
      <c r="E323" s="11">
        <v>21.0</v>
      </c>
      <c r="F323" s="11">
        <v>0.0</v>
      </c>
      <c r="G323" s="11">
        <v>22.0</v>
      </c>
      <c r="H323" s="9" t="s">
        <v>26</v>
      </c>
      <c r="I323" s="9" t="s">
        <v>1524</v>
      </c>
      <c r="J323" s="9" t="s">
        <v>1525</v>
      </c>
      <c r="K323" s="9" t="s">
        <v>249</v>
      </c>
      <c r="L323" s="9" t="s">
        <v>30</v>
      </c>
      <c r="M323" s="9" t="s">
        <v>31</v>
      </c>
      <c r="N323" s="9" t="s">
        <v>32</v>
      </c>
      <c r="O323" s="12" t="s">
        <v>33</v>
      </c>
      <c r="P323" s="12" t="s">
        <v>34</v>
      </c>
      <c r="Q323" s="9"/>
      <c r="R323" s="18"/>
      <c r="S323" s="18"/>
      <c r="T323" s="18"/>
      <c r="U323" s="18"/>
      <c r="V323" s="18"/>
      <c r="W323" s="15"/>
      <c r="X323" s="15"/>
    </row>
    <row r="324">
      <c r="A324" s="7">
        <v>323.0</v>
      </c>
      <c r="B324" s="8" t="s">
        <v>1526</v>
      </c>
      <c r="C324" s="9" t="s">
        <v>1527</v>
      </c>
      <c r="D324" s="10" t="str">
        <f>HYPERLINK("https://facebook.com/367089020688300_499679014095966", "367089020688300_499679014095966")</f>
        <v>367089020688300_499679014095966</v>
      </c>
      <c r="E324" s="11">
        <v>233.0</v>
      </c>
      <c r="F324" s="11">
        <v>0.0</v>
      </c>
      <c r="G324" s="11">
        <v>228.0</v>
      </c>
      <c r="H324" s="9" t="s">
        <v>26</v>
      </c>
      <c r="I324" s="9" t="s">
        <v>1528</v>
      </c>
      <c r="J324" s="9" t="s">
        <v>1529</v>
      </c>
      <c r="K324" s="9" t="s">
        <v>1530</v>
      </c>
      <c r="L324" s="9" t="s">
        <v>30</v>
      </c>
      <c r="M324" s="9" t="s">
        <v>31</v>
      </c>
      <c r="N324" s="9" t="s">
        <v>32</v>
      </c>
      <c r="O324" s="12" t="s">
        <v>33</v>
      </c>
      <c r="P324" s="12" t="s">
        <v>34</v>
      </c>
      <c r="Q324" s="9"/>
      <c r="R324" s="18"/>
      <c r="S324" s="18"/>
      <c r="T324" s="18"/>
      <c r="U324" s="18"/>
      <c r="V324" s="18"/>
      <c r="W324" s="15"/>
      <c r="X324" s="15"/>
    </row>
    <row r="325">
      <c r="A325" s="7">
        <v>324.0</v>
      </c>
      <c r="B325" s="8" t="s">
        <v>1531</v>
      </c>
      <c r="C325" s="9" t="s">
        <v>1532</v>
      </c>
      <c r="D325" s="10" t="str">
        <f>HYPERLINK("https://facebook.com/367089020688300_534766543920546", "367089020688300_534766543920546")</f>
        <v>367089020688300_534766543920546</v>
      </c>
      <c r="E325" s="11">
        <v>48.0</v>
      </c>
      <c r="F325" s="11">
        <v>1.0</v>
      </c>
      <c r="G325" s="11">
        <v>60.0</v>
      </c>
      <c r="H325" s="9" t="s">
        <v>26</v>
      </c>
      <c r="I325" s="9" t="s">
        <v>460</v>
      </c>
      <c r="J325" s="16" t="s">
        <v>1533</v>
      </c>
      <c r="K325" s="9"/>
      <c r="L325" s="9" t="s">
        <v>30</v>
      </c>
      <c r="M325" s="9" t="s">
        <v>31</v>
      </c>
      <c r="N325" s="9" t="s">
        <v>32</v>
      </c>
      <c r="O325" s="12" t="s">
        <v>33</v>
      </c>
      <c r="P325" s="12" t="s">
        <v>34</v>
      </c>
      <c r="Q325" s="9"/>
      <c r="R325" s="18"/>
      <c r="S325" s="18"/>
      <c r="T325" s="18"/>
      <c r="U325" s="18"/>
      <c r="V325" s="18"/>
      <c r="W325" s="15"/>
      <c r="X325" s="15"/>
    </row>
    <row r="326">
      <c r="A326" s="7">
        <v>325.0</v>
      </c>
      <c r="B326" s="8" t="s">
        <v>1534</v>
      </c>
      <c r="C326" s="9" t="s">
        <v>1535</v>
      </c>
      <c r="D326" s="10" t="str">
        <f>HYPERLINK("https://facebook.com/367089020688300_560161918047675", "367089020688300_560161918047675")</f>
        <v>367089020688300_560161918047675</v>
      </c>
      <c r="E326" s="11">
        <v>122.0</v>
      </c>
      <c r="F326" s="11">
        <v>12.0</v>
      </c>
      <c r="G326" s="11">
        <v>223.0</v>
      </c>
      <c r="H326" s="9" t="s">
        <v>26</v>
      </c>
      <c r="I326" s="9" t="s">
        <v>1536</v>
      </c>
      <c r="J326" s="16" t="s">
        <v>1537</v>
      </c>
      <c r="K326" s="9"/>
      <c r="L326" s="9" t="s">
        <v>30</v>
      </c>
      <c r="M326" s="9" t="s">
        <v>31</v>
      </c>
      <c r="N326" s="9" t="s">
        <v>32</v>
      </c>
      <c r="O326" s="12" t="s">
        <v>33</v>
      </c>
      <c r="P326" s="12" t="s">
        <v>34</v>
      </c>
      <c r="Q326" s="9"/>
      <c r="R326" s="18"/>
      <c r="S326" s="18"/>
      <c r="T326" s="18"/>
      <c r="U326" s="18"/>
      <c r="V326" s="18"/>
      <c r="W326" s="15"/>
      <c r="X326" s="15"/>
    </row>
    <row r="327">
      <c r="A327" s="7">
        <v>326.0</v>
      </c>
      <c r="B327" s="8" t="s">
        <v>1538</v>
      </c>
      <c r="C327" s="9" t="s">
        <v>1539</v>
      </c>
      <c r="D327" s="10" t="str">
        <f>HYPERLINK("https://facebook.com/367089020688300_557348594995674", "367089020688300_557348594995674")</f>
        <v>367089020688300_557348594995674</v>
      </c>
      <c r="E327" s="11">
        <v>64.0</v>
      </c>
      <c r="F327" s="11">
        <v>1.0</v>
      </c>
      <c r="G327" s="11">
        <v>65.0</v>
      </c>
      <c r="H327" s="9" t="s">
        <v>26</v>
      </c>
      <c r="I327" s="9" t="s">
        <v>1540</v>
      </c>
      <c r="J327" s="16" t="s">
        <v>1541</v>
      </c>
      <c r="K327" s="9"/>
      <c r="L327" s="9" t="s">
        <v>30</v>
      </c>
      <c r="M327" s="9" t="s">
        <v>31</v>
      </c>
      <c r="N327" s="9" t="s">
        <v>32</v>
      </c>
      <c r="O327" s="12" t="s">
        <v>1542</v>
      </c>
      <c r="P327" s="12" t="s">
        <v>34</v>
      </c>
      <c r="Q327" s="9"/>
      <c r="R327" s="18"/>
      <c r="S327" s="18"/>
      <c r="T327" s="18"/>
      <c r="U327" s="18"/>
      <c r="V327" s="18"/>
      <c r="W327" s="15"/>
      <c r="X327" s="15"/>
    </row>
    <row r="328">
      <c r="A328" s="7">
        <v>327.0</v>
      </c>
      <c r="B328" s="8" t="s">
        <v>1543</v>
      </c>
      <c r="C328" s="9" t="s">
        <v>1544</v>
      </c>
      <c r="D328" s="10" t="str">
        <f>HYPERLINK("https://facebook.com/367089020688300_516296625767538", "367089020688300_516296625767538")</f>
        <v>367089020688300_516296625767538</v>
      </c>
      <c r="E328" s="11">
        <v>16.0</v>
      </c>
      <c r="F328" s="11">
        <v>1.0</v>
      </c>
      <c r="G328" s="11">
        <v>30.0</v>
      </c>
      <c r="H328" s="9" t="s">
        <v>26</v>
      </c>
      <c r="I328" s="9" t="s">
        <v>1545</v>
      </c>
      <c r="J328" s="9" t="s">
        <v>1546</v>
      </c>
      <c r="K328" s="9" t="s">
        <v>1547</v>
      </c>
      <c r="L328" s="9" t="s">
        <v>30</v>
      </c>
      <c r="M328" s="9" t="s">
        <v>31</v>
      </c>
      <c r="N328" s="9" t="s">
        <v>32</v>
      </c>
      <c r="O328" s="12" t="s">
        <v>33</v>
      </c>
      <c r="P328" s="12" t="s">
        <v>34</v>
      </c>
      <c r="Q328" s="9"/>
      <c r="R328" s="18"/>
      <c r="S328" s="18"/>
      <c r="T328" s="18"/>
      <c r="U328" s="18"/>
      <c r="V328" s="18"/>
      <c r="W328" s="15"/>
      <c r="X328" s="15"/>
    </row>
    <row r="329">
      <c r="A329" s="7">
        <v>328.0</v>
      </c>
      <c r="B329" s="8" t="s">
        <v>1548</v>
      </c>
      <c r="C329" s="9" t="s">
        <v>1549</v>
      </c>
      <c r="D329" s="10" t="str">
        <f>HYPERLINK("https://facebook.com/367089020688300_526938864703314", "367089020688300_526938864703314")</f>
        <v>367089020688300_526938864703314</v>
      </c>
      <c r="E329" s="11">
        <v>8.0</v>
      </c>
      <c r="F329" s="11">
        <v>1.0</v>
      </c>
      <c r="G329" s="11">
        <v>3.0</v>
      </c>
      <c r="H329" s="9" t="s">
        <v>26</v>
      </c>
      <c r="I329" s="9" t="s">
        <v>1550</v>
      </c>
      <c r="J329" s="9" t="s">
        <v>1551</v>
      </c>
      <c r="K329" s="9" t="s">
        <v>1552</v>
      </c>
      <c r="L329" s="9" t="s">
        <v>30</v>
      </c>
      <c r="M329" s="9" t="s">
        <v>31</v>
      </c>
      <c r="N329" s="9" t="s">
        <v>32</v>
      </c>
      <c r="O329" s="12" t="s">
        <v>33</v>
      </c>
      <c r="P329" s="12" t="s">
        <v>34</v>
      </c>
      <c r="Q329" s="9"/>
      <c r="R329" s="18"/>
      <c r="S329" s="18"/>
      <c r="T329" s="18"/>
      <c r="U329" s="18"/>
      <c r="V329" s="18"/>
      <c r="W329" s="15"/>
      <c r="X329" s="15"/>
    </row>
    <row r="330">
      <c r="A330" s="7">
        <v>329.0</v>
      </c>
      <c r="B330" s="8" t="s">
        <v>1553</v>
      </c>
      <c r="C330" s="9" t="s">
        <v>1554</v>
      </c>
      <c r="D330" s="10" t="str">
        <f>HYPERLINK("https://facebook.com/367089020688300_540708859992981", "367089020688300_540708859992981")</f>
        <v>367089020688300_540708859992981</v>
      </c>
      <c r="E330" s="11">
        <v>253.0</v>
      </c>
      <c r="F330" s="11">
        <v>2.0</v>
      </c>
      <c r="G330" s="11">
        <v>180.0</v>
      </c>
      <c r="H330" s="9" t="s">
        <v>26</v>
      </c>
      <c r="I330" s="9" t="s">
        <v>1555</v>
      </c>
      <c r="J330" s="9" t="s">
        <v>1556</v>
      </c>
      <c r="K330" s="9" t="s">
        <v>1557</v>
      </c>
      <c r="L330" s="9" t="s">
        <v>30</v>
      </c>
      <c r="M330" s="9" t="s">
        <v>31</v>
      </c>
      <c r="N330" s="9" t="s">
        <v>32</v>
      </c>
      <c r="O330" s="12" t="s">
        <v>33</v>
      </c>
      <c r="P330" s="12" t="s">
        <v>34</v>
      </c>
      <c r="Q330" s="9"/>
      <c r="R330" s="18"/>
      <c r="S330" s="18"/>
      <c r="T330" s="18"/>
      <c r="U330" s="18"/>
      <c r="V330" s="18"/>
      <c r="W330" s="15"/>
      <c r="X330" s="15"/>
    </row>
    <row r="331">
      <c r="A331" s="7">
        <v>330.0</v>
      </c>
      <c r="B331" s="8" t="s">
        <v>1558</v>
      </c>
      <c r="C331" s="9" t="s">
        <v>1559</v>
      </c>
      <c r="D331" s="10" t="str">
        <f>HYPERLINK("https://facebook.com/367089020688300_485656462164888", "367089020688300_485656462164888")</f>
        <v>367089020688300_485656462164888</v>
      </c>
      <c r="E331" s="11">
        <v>992.0</v>
      </c>
      <c r="F331" s="11">
        <v>91.0</v>
      </c>
      <c r="G331" s="11">
        <v>804.0</v>
      </c>
      <c r="H331" s="9" t="s">
        <v>26</v>
      </c>
      <c r="I331" s="9" t="s">
        <v>1560</v>
      </c>
      <c r="J331" s="9" t="s">
        <v>1561</v>
      </c>
      <c r="K331" s="9" t="s">
        <v>1562</v>
      </c>
      <c r="L331" s="9" t="s">
        <v>30</v>
      </c>
      <c r="M331" s="9" t="s">
        <v>31</v>
      </c>
      <c r="N331" s="9" t="s">
        <v>32</v>
      </c>
      <c r="O331" s="12" t="s">
        <v>33</v>
      </c>
      <c r="P331" s="12" t="s">
        <v>34</v>
      </c>
      <c r="Q331" s="9"/>
      <c r="R331" s="18"/>
      <c r="S331" s="18"/>
      <c r="T331" s="18"/>
      <c r="U331" s="18"/>
      <c r="V331" s="18"/>
      <c r="W331" s="15"/>
      <c r="X331" s="15"/>
    </row>
    <row r="332">
      <c r="A332" s="7">
        <v>331.0</v>
      </c>
      <c r="B332" s="8" t="s">
        <v>1563</v>
      </c>
      <c r="C332" s="9" t="s">
        <v>1564</v>
      </c>
      <c r="D332" s="10" t="str">
        <f>HYPERLINK("https://facebook.com/367089020688300_512029846194216", "367089020688300_512029846194216")</f>
        <v>367089020688300_512029846194216</v>
      </c>
      <c r="E332" s="11">
        <v>11.0</v>
      </c>
      <c r="F332" s="11">
        <v>0.0</v>
      </c>
      <c r="G332" s="11">
        <v>23.0</v>
      </c>
      <c r="H332" s="9" t="s">
        <v>26</v>
      </c>
      <c r="I332" s="9" t="s">
        <v>1565</v>
      </c>
      <c r="J332" s="16" t="s">
        <v>1566</v>
      </c>
      <c r="K332" s="9"/>
      <c r="L332" s="9" t="s">
        <v>30</v>
      </c>
      <c r="M332" s="9" t="s">
        <v>31</v>
      </c>
      <c r="N332" s="9" t="s">
        <v>32</v>
      </c>
      <c r="O332" s="12" t="s">
        <v>33</v>
      </c>
      <c r="P332" s="12" t="s">
        <v>34</v>
      </c>
      <c r="Q332" s="9"/>
      <c r="R332" s="18"/>
      <c r="S332" s="18"/>
      <c r="T332" s="18"/>
      <c r="U332" s="18"/>
      <c r="V332" s="18"/>
      <c r="W332" s="15"/>
      <c r="X332" s="15"/>
    </row>
    <row r="333">
      <c r="A333" s="7">
        <v>332.0</v>
      </c>
      <c r="B333" s="8" t="s">
        <v>1567</v>
      </c>
      <c r="C333" s="9" t="s">
        <v>1568</v>
      </c>
      <c r="D333" s="10" t="str">
        <f>HYPERLINK("https://facebook.com/367089020688300_544895006241033", "367089020688300_544895006241033")</f>
        <v>367089020688300_544895006241033</v>
      </c>
      <c r="E333" s="11">
        <v>2.0</v>
      </c>
      <c r="F333" s="11">
        <v>0.0</v>
      </c>
      <c r="G333" s="11">
        <v>7.0</v>
      </c>
      <c r="H333" s="9" t="s">
        <v>26</v>
      </c>
      <c r="I333" s="9" t="s">
        <v>1569</v>
      </c>
      <c r="J333" s="16" t="s">
        <v>1570</v>
      </c>
      <c r="K333" s="9"/>
      <c r="L333" s="9" t="s">
        <v>30</v>
      </c>
      <c r="M333" s="9" t="s">
        <v>31</v>
      </c>
      <c r="N333" s="9" t="s">
        <v>32</v>
      </c>
      <c r="O333" s="12" t="s">
        <v>33</v>
      </c>
      <c r="P333" s="12" t="s">
        <v>34</v>
      </c>
      <c r="Q333" s="9"/>
      <c r="R333" s="18"/>
      <c r="S333" s="18"/>
      <c r="T333" s="18"/>
      <c r="U333" s="18"/>
      <c r="V333" s="18"/>
      <c r="W333" s="15"/>
      <c r="X333" s="15"/>
    </row>
    <row r="334">
      <c r="A334" s="7">
        <v>333.0</v>
      </c>
      <c r="B334" s="8" t="s">
        <v>1571</v>
      </c>
      <c r="C334" s="9" t="s">
        <v>1572</v>
      </c>
      <c r="D334" s="10" t="str">
        <f>HYPERLINK("https://facebook.com/367089020688300_562934887770378", "367089020688300_562934887770378")</f>
        <v>367089020688300_562934887770378</v>
      </c>
      <c r="E334" s="11">
        <v>69.0</v>
      </c>
      <c r="F334" s="11">
        <v>3.0</v>
      </c>
      <c r="G334" s="11">
        <v>102.0</v>
      </c>
      <c r="H334" s="9" t="s">
        <v>26</v>
      </c>
      <c r="I334" s="9" t="s">
        <v>1573</v>
      </c>
      <c r="J334" s="9" t="s">
        <v>1574</v>
      </c>
      <c r="K334" s="9" t="s">
        <v>1575</v>
      </c>
      <c r="L334" s="9" t="s">
        <v>30</v>
      </c>
      <c r="M334" s="9" t="s">
        <v>31</v>
      </c>
      <c r="N334" s="9" t="s">
        <v>32</v>
      </c>
      <c r="O334" s="12" t="s">
        <v>33</v>
      </c>
      <c r="P334" s="12" t="s">
        <v>34</v>
      </c>
      <c r="Q334" s="9"/>
      <c r="R334" s="18"/>
      <c r="S334" s="18"/>
      <c r="T334" s="18"/>
      <c r="U334" s="18"/>
      <c r="V334" s="18"/>
      <c r="W334" s="15"/>
      <c r="X334" s="15"/>
    </row>
    <row r="335">
      <c r="A335" s="7">
        <v>334.0</v>
      </c>
      <c r="B335" s="8" t="s">
        <v>1576</v>
      </c>
      <c r="C335" s="9" t="s">
        <v>1577</v>
      </c>
      <c r="D335" s="10" t="str">
        <f>HYPERLINK("https://facebook.com/367089020688300_515578495839351", "367089020688300_515578495839351")</f>
        <v>367089020688300_515578495839351</v>
      </c>
      <c r="E335" s="11">
        <v>778.0</v>
      </c>
      <c r="F335" s="11">
        <v>25.0</v>
      </c>
      <c r="G335" s="11">
        <v>514.0</v>
      </c>
      <c r="H335" s="9" t="s">
        <v>26</v>
      </c>
      <c r="I335" s="9" t="s">
        <v>1578</v>
      </c>
      <c r="J335" s="9" t="s">
        <v>1579</v>
      </c>
      <c r="K335" s="9" t="s">
        <v>1355</v>
      </c>
      <c r="L335" s="9" t="s">
        <v>30</v>
      </c>
      <c r="M335" s="9" t="s">
        <v>31</v>
      </c>
      <c r="N335" s="9" t="s">
        <v>32</v>
      </c>
      <c r="O335" s="12" t="s">
        <v>33</v>
      </c>
      <c r="P335" s="12" t="s">
        <v>34</v>
      </c>
      <c r="Q335" s="9"/>
      <c r="R335" s="18"/>
      <c r="S335" s="18"/>
      <c r="T335" s="18"/>
      <c r="U335" s="18"/>
      <c r="V335" s="18"/>
      <c r="W335" s="15"/>
      <c r="X335" s="15"/>
    </row>
    <row r="336">
      <c r="A336" s="7">
        <v>335.0</v>
      </c>
      <c r="B336" s="8" t="s">
        <v>1580</v>
      </c>
      <c r="C336" s="9" t="s">
        <v>1581</v>
      </c>
      <c r="D336" s="10" t="str">
        <f>HYPERLINK("https://facebook.com/367089020688300_431354397595095", "367089020688300_431354397595095")</f>
        <v>367089020688300_431354397595095</v>
      </c>
      <c r="E336" s="11">
        <v>266.0</v>
      </c>
      <c r="F336" s="11">
        <v>2.0</v>
      </c>
      <c r="G336" s="11">
        <v>124.0</v>
      </c>
      <c r="H336" s="9" t="s">
        <v>26</v>
      </c>
      <c r="I336" s="9" t="s">
        <v>1582</v>
      </c>
      <c r="J336" s="9" t="s">
        <v>1583</v>
      </c>
      <c r="K336" s="9" t="s">
        <v>1584</v>
      </c>
      <c r="L336" s="9" t="s">
        <v>30</v>
      </c>
      <c r="M336" s="9" t="s">
        <v>31</v>
      </c>
      <c r="N336" s="9" t="s">
        <v>32</v>
      </c>
      <c r="O336" s="12" t="s">
        <v>33</v>
      </c>
      <c r="P336" s="12" t="s">
        <v>34</v>
      </c>
      <c r="Q336" s="9"/>
      <c r="R336" s="18"/>
      <c r="S336" s="18"/>
      <c r="T336" s="18"/>
      <c r="U336" s="18"/>
      <c r="V336" s="18"/>
      <c r="W336" s="15"/>
      <c r="X336" s="15"/>
    </row>
    <row r="337">
      <c r="A337" s="7">
        <v>336.0</v>
      </c>
      <c r="B337" s="8" t="s">
        <v>1585</v>
      </c>
      <c r="C337" s="9" t="s">
        <v>1586</v>
      </c>
      <c r="D337" s="10" t="str">
        <f>HYPERLINK("https://facebook.com/367089020688300_545961586134375", "367089020688300_545961586134375")</f>
        <v>367089020688300_545961586134375</v>
      </c>
      <c r="E337" s="11">
        <v>194.0</v>
      </c>
      <c r="F337" s="11">
        <v>2.0</v>
      </c>
      <c r="G337" s="11">
        <v>40.0</v>
      </c>
      <c r="H337" s="9" t="s">
        <v>26</v>
      </c>
      <c r="I337" s="9" t="s">
        <v>1587</v>
      </c>
      <c r="J337" s="16" t="s">
        <v>1588</v>
      </c>
      <c r="K337" s="9"/>
      <c r="L337" s="9" t="s">
        <v>30</v>
      </c>
      <c r="M337" s="9" t="s">
        <v>31</v>
      </c>
      <c r="N337" s="9" t="s">
        <v>32</v>
      </c>
      <c r="O337" s="12" t="s">
        <v>33</v>
      </c>
      <c r="P337" s="12" t="s">
        <v>34</v>
      </c>
      <c r="Q337" s="9"/>
      <c r="R337" s="18"/>
      <c r="S337" s="18"/>
      <c r="T337" s="18"/>
      <c r="U337" s="18"/>
      <c r="V337" s="18"/>
      <c r="W337" s="15"/>
      <c r="X337" s="15"/>
    </row>
    <row r="338">
      <c r="A338" s="7">
        <v>337.0</v>
      </c>
      <c r="B338" s="8" t="s">
        <v>1589</v>
      </c>
      <c r="C338" s="9" t="s">
        <v>1590</v>
      </c>
      <c r="D338" s="10" t="str">
        <f>HYPERLINK("https://facebook.com/367089020688300_554702615260272", "367089020688300_554702615260272")</f>
        <v>367089020688300_554702615260272</v>
      </c>
      <c r="E338" s="11">
        <v>74.0</v>
      </c>
      <c r="F338" s="11">
        <v>0.0</v>
      </c>
      <c r="G338" s="11">
        <v>79.0</v>
      </c>
      <c r="H338" s="9" t="s">
        <v>26</v>
      </c>
      <c r="I338" s="9" t="s">
        <v>1591</v>
      </c>
      <c r="J338" s="9" t="s">
        <v>1592</v>
      </c>
      <c r="K338" s="9" t="s">
        <v>1593</v>
      </c>
      <c r="L338" s="9" t="s">
        <v>30</v>
      </c>
      <c r="M338" s="9" t="s">
        <v>31</v>
      </c>
      <c r="N338" s="9" t="s">
        <v>32</v>
      </c>
      <c r="O338" s="12" t="s">
        <v>33</v>
      </c>
      <c r="P338" s="12" t="s">
        <v>34</v>
      </c>
      <c r="Q338" s="9"/>
      <c r="R338" s="18"/>
      <c r="S338" s="18"/>
      <c r="T338" s="18"/>
      <c r="U338" s="18"/>
      <c r="V338" s="18"/>
      <c r="W338" s="15"/>
      <c r="X338" s="15"/>
    </row>
    <row r="339">
      <c r="A339" s="7">
        <v>338.0</v>
      </c>
      <c r="B339" s="8" t="s">
        <v>1594</v>
      </c>
      <c r="C339" s="9" t="s">
        <v>1595</v>
      </c>
      <c r="D339" s="10" t="str">
        <f>HYPERLINK("https://facebook.com/367089020688300_546347159429151", "367089020688300_546347159429151")</f>
        <v>367089020688300_546347159429151</v>
      </c>
      <c r="E339" s="11">
        <v>4.0</v>
      </c>
      <c r="F339" s="11">
        <v>0.0</v>
      </c>
      <c r="G339" s="11">
        <v>7.0</v>
      </c>
      <c r="H339" s="9" t="s">
        <v>26</v>
      </c>
      <c r="I339" s="9" t="s">
        <v>1596</v>
      </c>
      <c r="J339" s="16" t="s">
        <v>1597</v>
      </c>
      <c r="K339" s="9"/>
      <c r="L339" s="9" t="s">
        <v>30</v>
      </c>
      <c r="M339" s="9" t="s">
        <v>31</v>
      </c>
      <c r="N339" s="9" t="s">
        <v>32</v>
      </c>
      <c r="O339" s="12" t="s">
        <v>33</v>
      </c>
      <c r="P339" s="12" t="s">
        <v>34</v>
      </c>
      <c r="Q339" s="9"/>
      <c r="R339" s="18"/>
      <c r="S339" s="18"/>
      <c r="T339" s="18"/>
      <c r="U339" s="18"/>
      <c r="V339" s="18"/>
      <c r="W339" s="15"/>
      <c r="X339" s="15"/>
    </row>
    <row r="340">
      <c r="A340" s="7">
        <v>339.0</v>
      </c>
      <c r="B340" s="8" t="s">
        <v>1598</v>
      </c>
      <c r="C340" s="9" t="s">
        <v>1599</v>
      </c>
      <c r="D340" s="10" t="str">
        <f>HYPERLINK("https://facebook.com/367089020688300_478143559582845", "367089020688300_478143559582845")</f>
        <v>367089020688300_478143559582845</v>
      </c>
      <c r="E340" s="11">
        <v>254.0</v>
      </c>
      <c r="F340" s="11">
        <v>4.0</v>
      </c>
      <c r="G340" s="11">
        <v>280.0</v>
      </c>
      <c r="H340" s="9" t="s">
        <v>26</v>
      </c>
      <c r="I340" s="9" t="s">
        <v>1600</v>
      </c>
      <c r="J340" s="9" t="s">
        <v>1601</v>
      </c>
      <c r="K340" s="9" t="s">
        <v>219</v>
      </c>
      <c r="L340" s="9" t="s">
        <v>30</v>
      </c>
      <c r="M340" s="9" t="s">
        <v>31</v>
      </c>
      <c r="N340" s="9" t="s">
        <v>32</v>
      </c>
      <c r="O340" s="12" t="s">
        <v>33</v>
      </c>
      <c r="P340" s="12" t="s">
        <v>34</v>
      </c>
      <c r="Q340" s="9"/>
      <c r="R340" s="18"/>
      <c r="S340" s="18"/>
      <c r="T340" s="18"/>
      <c r="U340" s="18"/>
      <c r="V340" s="18"/>
      <c r="W340" s="15"/>
      <c r="X340" s="15"/>
    </row>
    <row r="341">
      <c r="A341" s="7">
        <v>340.0</v>
      </c>
      <c r="B341" s="8" t="s">
        <v>1602</v>
      </c>
      <c r="C341" s="9" t="s">
        <v>1603</v>
      </c>
      <c r="D341" s="10" t="str">
        <f>HYPERLINK("https://facebook.com/367089020688300_533381604059040", "367089020688300_533381604059040")</f>
        <v>367089020688300_533381604059040</v>
      </c>
      <c r="E341" s="11">
        <v>234.0</v>
      </c>
      <c r="F341" s="11">
        <v>7.0</v>
      </c>
      <c r="G341" s="11">
        <v>223.0</v>
      </c>
      <c r="H341" s="9" t="s">
        <v>26</v>
      </c>
      <c r="I341" s="9" t="s">
        <v>1604</v>
      </c>
      <c r="J341" s="16" t="s">
        <v>1605</v>
      </c>
      <c r="K341" s="9"/>
      <c r="L341" s="9" t="s">
        <v>30</v>
      </c>
      <c r="M341" s="9" t="s">
        <v>31</v>
      </c>
      <c r="N341" s="9" t="s">
        <v>32</v>
      </c>
      <c r="O341" s="12" t="s">
        <v>33</v>
      </c>
      <c r="P341" s="12" t="s">
        <v>34</v>
      </c>
      <c r="Q341" s="9"/>
      <c r="R341" s="18"/>
      <c r="S341" s="18"/>
      <c r="T341" s="18"/>
      <c r="U341" s="18"/>
      <c r="V341" s="18"/>
      <c r="W341" s="15"/>
      <c r="X341" s="15"/>
    </row>
    <row r="342">
      <c r="A342" s="7">
        <v>341.0</v>
      </c>
      <c r="B342" s="8" t="s">
        <v>1606</v>
      </c>
      <c r="C342" s="9" t="s">
        <v>1607</v>
      </c>
      <c r="D342" s="10" t="str">
        <f>HYPERLINK("https://facebook.com/367089020688300_561291827934684", "367089020688300_561291827934684")</f>
        <v>367089020688300_561291827934684</v>
      </c>
      <c r="E342" s="11">
        <v>142.0</v>
      </c>
      <c r="F342" s="11">
        <v>2.0</v>
      </c>
      <c r="G342" s="11">
        <v>188.0</v>
      </c>
      <c r="H342" s="9" t="s">
        <v>26</v>
      </c>
      <c r="I342" s="9" t="s">
        <v>1608</v>
      </c>
      <c r="J342" s="16" t="s">
        <v>1609</v>
      </c>
      <c r="K342" s="9"/>
      <c r="L342" s="9" t="s">
        <v>30</v>
      </c>
      <c r="M342" s="9" t="s">
        <v>31</v>
      </c>
      <c r="N342" s="9" t="s">
        <v>32</v>
      </c>
      <c r="O342" s="12" t="s">
        <v>33</v>
      </c>
      <c r="P342" s="12" t="s">
        <v>34</v>
      </c>
      <c r="Q342" s="9"/>
      <c r="R342" s="18"/>
      <c r="S342" s="18"/>
      <c r="T342" s="18"/>
      <c r="U342" s="18"/>
      <c r="V342" s="18"/>
      <c r="W342" s="15"/>
      <c r="X342" s="15"/>
    </row>
    <row r="343">
      <c r="A343" s="7">
        <v>342.0</v>
      </c>
      <c r="B343" s="8" t="s">
        <v>1610</v>
      </c>
      <c r="C343" s="9" t="s">
        <v>1611</v>
      </c>
      <c r="D343" s="10" t="str">
        <f>HYPERLINK("https://facebook.com/367089020688300_493168498080351", "367089020688300_493168498080351")</f>
        <v>367089020688300_493168498080351</v>
      </c>
      <c r="E343" s="11">
        <v>18.0</v>
      </c>
      <c r="F343" s="11">
        <v>0.0</v>
      </c>
      <c r="G343" s="11">
        <v>25.0</v>
      </c>
      <c r="H343" s="9" t="s">
        <v>26</v>
      </c>
      <c r="I343" s="9" t="s">
        <v>1612</v>
      </c>
      <c r="J343" s="9" t="s">
        <v>1613</v>
      </c>
      <c r="K343" s="9" t="s">
        <v>1614</v>
      </c>
      <c r="L343" s="9" t="s">
        <v>30</v>
      </c>
      <c r="M343" s="9" t="s">
        <v>31</v>
      </c>
      <c r="N343" s="9" t="s">
        <v>32</v>
      </c>
      <c r="O343" s="12" t="s">
        <v>33</v>
      </c>
      <c r="P343" s="12" t="s">
        <v>34</v>
      </c>
      <c r="Q343" s="9"/>
      <c r="R343" s="18"/>
      <c r="S343" s="18"/>
      <c r="T343" s="18"/>
      <c r="U343" s="18"/>
      <c r="V343" s="18"/>
      <c r="W343" s="15"/>
      <c r="X343" s="15"/>
    </row>
    <row r="344">
      <c r="A344" s="7">
        <v>343.0</v>
      </c>
      <c r="B344" s="8" t="s">
        <v>1615</v>
      </c>
      <c r="C344" s="9" t="s">
        <v>1616</v>
      </c>
      <c r="D344" s="10" t="str">
        <f>HYPERLINK("https://facebook.com/367089020688300_557746561622544", "367089020688300_557746561622544")</f>
        <v>367089020688300_557746561622544</v>
      </c>
      <c r="E344" s="11">
        <v>45.0</v>
      </c>
      <c r="F344" s="11">
        <v>1.0</v>
      </c>
      <c r="G344" s="11">
        <v>101.0</v>
      </c>
      <c r="H344" s="9" t="s">
        <v>26</v>
      </c>
      <c r="I344" s="9" t="s">
        <v>1617</v>
      </c>
      <c r="J344" s="9" t="s">
        <v>1618</v>
      </c>
      <c r="K344" s="9" t="s">
        <v>476</v>
      </c>
      <c r="L344" s="9" t="s">
        <v>30</v>
      </c>
      <c r="M344" s="9" t="s">
        <v>31</v>
      </c>
      <c r="N344" s="9" t="s">
        <v>32</v>
      </c>
      <c r="O344" s="12" t="s">
        <v>33</v>
      </c>
      <c r="P344" s="12" t="s">
        <v>34</v>
      </c>
      <c r="Q344" s="9"/>
      <c r="R344" s="18"/>
      <c r="S344" s="18"/>
      <c r="T344" s="18"/>
      <c r="U344" s="18"/>
      <c r="V344" s="18"/>
      <c r="W344" s="15"/>
      <c r="X344" s="15"/>
    </row>
    <row r="345">
      <c r="A345" s="7">
        <v>344.0</v>
      </c>
      <c r="B345" s="8" t="s">
        <v>1619</v>
      </c>
      <c r="C345" s="9" t="s">
        <v>1620</v>
      </c>
      <c r="D345" s="10" t="str">
        <f>HYPERLINK("https://facebook.com/367089020688300_495551061175428", "367089020688300_495551061175428")</f>
        <v>367089020688300_495551061175428</v>
      </c>
      <c r="E345" s="11">
        <v>6084.0</v>
      </c>
      <c r="F345" s="11">
        <v>151.0</v>
      </c>
      <c r="G345" s="11">
        <v>792.0</v>
      </c>
      <c r="H345" s="9" t="s">
        <v>26</v>
      </c>
      <c r="I345" s="9" t="s">
        <v>1621</v>
      </c>
      <c r="J345" s="9" t="s">
        <v>1622</v>
      </c>
      <c r="K345" s="9" t="s">
        <v>1623</v>
      </c>
      <c r="L345" s="9" t="s">
        <v>30</v>
      </c>
      <c r="M345" s="9" t="s">
        <v>31</v>
      </c>
      <c r="N345" s="9" t="s">
        <v>32</v>
      </c>
      <c r="O345" s="12" t="s">
        <v>33</v>
      </c>
      <c r="P345" s="12" t="s">
        <v>34</v>
      </c>
      <c r="Q345" s="9"/>
      <c r="R345" s="18"/>
      <c r="S345" s="18"/>
      <c r="T345" s="18"/>
      <c r="U345" s="18"/>
      <c r="V345" s="18"/>
      <c r="W345" s="15"/>
      <c r="X345" s="15"/>
    </row>
    <row r="346">
      <c r="A346" s="7">
        <v>345.0</v>
      </c>
      <c r="B346" s="8" t="s">
        <v>1624</v>
      </c>
      <c r="C346" s="9" t="s">
        <v>1625</v>
      </c>
      <c r="D346" s="10" t="str">
        <f>HYPERLINK("https://facebook.com/367089020688300_395693637827838", "367089020688300_395693637827838")</f>
        <v>367089020688300_395693637827838</v>
      </c>
      <c r="E346" s="11">
        <v>1393.0</v>
      </c>
      <c r="F346" s="11">
        <v>51.0</v>
      </c>
      <c r="G346" s="11">
        <v>573.0</v>
      </c>
      <c r="H346" s="9" t="s">
        <v>26</v>
      </c>
      <c r="I346" s="9" t="s">
        <v>1626</v>
      </c>
      <c r="J346" s="9" t="s">
        <v>1627</v>
      </c>
      <c r="K346" s="9" t="s">
        <v>1628</v>
      </c>
      <c r="L346" s="9" t="s">
        <v>30</v>
      </c>
      <c r="M346" s="9" t="s">
        <v>31</v>
      </c>
      <c r="N346" s="9" t="s">
        <v>32</v>
      </c>
      <c r="O346" s="12" t="s">
        <v>33</v>
      </c>
      <c r="P346" s="12" t="s">
        <v>34</v>
      </c>
      <c r="Q346" s="9"/>
      <c r="R346" s="18"/>
      <c r="S346" s="18"/>
      <c r="T346" s="18"/>
      <c r="U346" s="18"/>
      <c r="V346" s="18"/>
      <c r="W346" s="15"/>
      <c r="X346" s="15"/>
    </row>
    <row r="347">
      <c r="A347" s="7">
        <v>346.0</v>
      </c>
      <c r="B347" s="8" t="s">
        <v>1629</v>
      </c>
      <c r="C347" s="9" t="s">
        <v>1630</v>
      </c>
      <c r="D347" s="10" t="str">
        <f>HYPERLINK("https://facebook.com/367089020688300_508189946578206", "367089020688300_508189946578206")</f>
        <v>367089020688300_508189946578206</v>
      </c>
      <c r="E347" s="11">
        <v>13.0</v>
      </c>
      <c r="F347" s="11">
        <v>1.0</v>
      </c>
      <c r="G347" s="11">
        <v>48.0</v>
      </c>
      <c r="H347" s="9" t="s">
        <v>26</v>
      </c>
      <c r="I347" s="9" t="s">
        <v>1631</v>
      </c>
      <c r="J347" s="16" t="s">
        <v>1632</v>
      </c>
      <c r="K347" s="9"/>
      <c r="L347" s="9" t="s">
        <v>30</v>
      </c>
      <c r="M347" s="9" t="s">
        <v>31</v>
      </c>
      <c r="N347" s="9" t="s">
        <v>32</v>
      </c>
      <c r="O347" s="12" t="s">
        <v>33</v>
      </c>
      <c r="P347" s="12" t="s">
        <v>34</v>
      </c>
      <c r="Q347" s="9"/>
      <c r="R347" s="18"/>
      <c r="S347" s="18"/>
      <c r="T347" s="18"/>
      <c r="U347" s="18"/>
      <c r="V347" s="18"/>
      <c r="W347" s="15"/>
      <c r="X347" s="15"/>
    </row>
    <row r="348">
      <c r="A348" s="7">
        <v>347.0</v>
      </c>
      <c r="B348" s="8" t="s">
        <v>1633</v>
      </c>
      <c r="C348" s="9" t="s">
        <v>1634</v>
      </c>
      <c r="D348" s="10" t="str">
        <f>HYPERLINK("https://facebook.com/367089020688300_531333527597181", "367089020688300_531333527597181")</f>
        <v>367089020688300_531333527597181</v>
      </c>
      <c r="E348" s="11">
        <v>124.0</v>
      </c>
      <c r="F348" s="11">
        <v>0.0</v>
      </c>
      <c r="G348" s="11">
        <v>51.0</v>
      </c>
      <c r="H348" s="9" t="s">
        <v>26</v>
      </c>
      <c r="I348" s="9" t="s">
        <v>1635</v>
      </c>
      <c r="J348" s="16" t="s">
        <v>1636</v>
      </c>
      <c r="K348" s="9"/>
      <c r="L348" s="9" t="s">
        <v>30</v>
      </c>
      <c r="M348" s="9" t="s">
        <v>31</v>
      </c>
      <c r="N348" s="9" t="s">
        <v>32</v>
      </c>
      <c r="O348" s="12" t="s">
        <v>33</v>
      </c>
      <c r="P348" s="12" t="s">
        <v>34</v>
      </c>
      <c r="Q348" s="9"/>
      <c r="R348" s="18"/>
      <c r="S348" s="18"/>
      <c r="T348" s="18"/>
      <c r="U348" s="18"/>
      <c r="V348" s="18"/>
      <c r="W348" s="15"/>
      <c r="X348" s="15"/>
    </row>
    <row r="349">
      <c r="A349" s="7">
        <v>348.0</v>
      </c>
      <c r="B349" s="8" t="s">
        <v>1637</v>
      </c>
      <c r="C349" s="9" t="s">
        <v>1638</v>
      </c>
      <c r="D349" s="10" t="str">
        <f>HYPERLINK("https://facebook.com/367089020688300_396847331045802", "367089020688300_396847331045802")</f>
        <v>367089020688300_396847331045802</v>
      </c>
      <c r="E349" s="11">
        <v>618.0</v>
      </c>
      <c r="F349" s="11">
        <v>2.0</v>
      </c>
      <c r="G349" s="11">
        <v>227.0</v>
      </c>
      <c r="H349" s="9" t="s">
        <v>26</v>
      </c>
      <c r="I349" s="9" t="s">
        <v>1639</v>
      </c>
      <c r="J349" s="9" t="s">
        <v>1640</v>
      </c>
      <c r="K349" s="9" t="s">
        <v>254</v>
      </c>
      <c r="L349" s="9" t="s">
        <v>30</v>
      </c>
      <c r="M349" s="9" t="s">
        <v>31</v>
      </c>
      <c r="N349" s="9" t="s">
        <v>32</v>
      </c>
      <c r="O349" s="12" t="s">
        <v>33</v>
      </c>
      <c r="P349" s="12" t="s">
        <v>34</v>
      </c>
      <c r="Q349" s="9"/>
      <c r="R349" s="18"/>
      <c r="S349" s="18"/>
      <c r="T349" s="18"/>
      <c r="U349" s="18"/>
      <c r="V349" s="18"/>
      <c r="W349" s="15"/>
      <c r="X349" s="15"/>
    </row>
    <row r="350">
      <c r="A350" s="7">
        <v>349.0</v>
      </c>
      <c r="B350" s="8" t="s">
        <v>1641</v>
      </c>
      <c r="C350" s="9" t="s">
        <v>1642</v>
      </c>
      <c r="D350" s="10" t="str">
        <f>HYPERLINK("https://facebook.com/367089020688300_556655228398344", "367089020688300_556655228398344")</f>
        <v>367089020688300_556655228398344</v>
      </c>
      <c r="E350" s="11">
        <v>39.0</v>
      </c>
      <c r="F350" s="11">
        <v>0.0</v>
      </c>
      <c r="G350" s="11">
        <v>34.0</v>
      </c>
      <c r="H350" s="9" t="s">
        <v>26</v>
      </c>
      <c r="I350" s="9" t="s">
        <v>1643</v>
      </c>
      <c r="J350" s="16" t="s">
        <v>1644</v>
      </c>
      <c r="K350" s="9"/>
      <c r="L350" s="9" t="s">
        <v>30</v>
      </c>
      <c r="M350" s="9" t="s">
        <v>31</v>
      </c>
      <c r="N350" s="9" t="s">
        <v>32</v>
      </c>
      <c r="O350" s="12" t="s">
        <v>33</v>
      </c>
      <c r="P350" s="12" t="s">
        <v>34</v>
      </c>
      <c r="Q350" s="9"/>
      <c r="R350" s="18"/>
      <c r="S350" s="18"/>
      <c r="T350" s="18"/>
      <c r="U350" s="18"/>
      <c r="V350" s="18"/>
      <c r="W350" s="15"/>
      <c r="X350" s="15"/>
    </row>
    <row r="351">
      <c r="A351" s="7">
        <v>350.0</v>
      </c>
      <c r="B351" s="8" t="s">
        <v>1645</v>
      </c>
      <c r="C351" s="9" t="s">
        <v>1646</v>
      </c>
      <c r="D351" s="10" t="str">
        <f>HYPERLINK("https://facebook.com/367089020688300_538045630259304", "367089020688300_538045630259304")</f>
        <v>367089020688300_538045630259304</v>
      </c>
      <c r="E351" s="11">
        <v>1058.0</v>
      </c>
      <c r="F351" s="11">
        <v>6.0</v>
      </c>
      <c r="G351" s="11">
        <v>229.0</v>
      </c>
      <c r="H351" s="9" t="s">
        <v>26</v>
      </c>
      <c r="I351" s="9" t="s">
        <v>1647</v>
      </c>
      <c r="J351" s="9" t="s">
        <v>1648</v>
      </c>
      <c r="K351" s="9" t="s">
        <v>219</v>
      </c>
      <c r="L351" s="9" t="s">
        <v>30</v>
      </c>
      <c r="M351" s="9" t="s">
        <v>31</v>
      </c>
      <c r="N351" s="9" t="s">
        <v>32</v>
      </c>
      <c r="O351" s="12" t="s">
        <v>33</v>
      </c>
      <c r="P351" s="12" t="s">
        <v>34</v>
      </c>
      <c r="Q351" s="9"/>
      <c r="R351" s="18"/>
      <c r="S351" s="18"/>
      <c r="T351" s="18"/>
      <c r="U351" s="18"/>
      <c r="V351" s="18"/>
      <c r="W351" s="15"/>
      <c r="X351" s="15"/>
    </row>
    <row r="352">
      <c r="A352" s="7">
        <v>351.0</v>
      </c>
      <c r="B352" s="8" t="s">
        <v>1649</v>
      </c>
      <c r="C352" s="9" t="s">
        <v>1650</v>
      </c>
      <c r="D352" s="10" t="str">
        <f>HYPERLINK("https://facebook.com/367089020688300_543647279699139", "367089020688300_543647279699139")</f>
        <v>367089020688300_543647279699139</v>
      </c>
      <c r="E352" s="11">
        <v>24.0</v>
      </c>
      <c r="F352" s="11">
        <v>0.0</v>
      </c>
      <c r="G352" s="11">
        <v>7.0</v>
      </c>
      <c r="H352" s="9" t="s">
        <v>26</v>
      </c>
      <c r="I352" s="9" t="s">
        <v>1651</v>
      </c>
      <c r="J352" s="16" t="s">
        <v>1652</v>
      </c>
      <c r="K352" s="9"/>
      <c r="L352" s="9" t="s">
        <v>30</v>
      </c>
      <c r="M352" s="9" t="s">
        <v>31</v>
      </c>
      <c r="N352" s="9" t="s">
        <v>32</v>
      </c>
      <c r="O352" s="12" t="s">
        <v>33</v>
      </c>
      <c r="P352" s="12" t="s">
        <v>34</v>
      </c>
      <c r="Q352" s="9"/>
      <c r="R352" s="18"/>
      <c r="S352" s="18"/>
      <c r="T352" s="18"/>
      <c r="U352" s="18"/>
      <c r="V352" s="18"/>
      <c r="W352" s="15"/>
      <c r="X352" s="15"/>
    </row>
    <row r="353">
      <c r="A353" s="7">
        <v>352.0</v>
      </c>
      <c r="B353" s="8" t="s">
        <v>1653</v>
      </c>
      <c r="C353" s="9" t="s">
        <v>1654</v>
      </c>
      <c r="D353" s="10" t="str">
        <f>HYPERLINK("https://facebook.com/367089020688300_535097843887416", "367089020688300_535097843887416")</f>
        <v>367089020688300_535097843887416</v>
      </c>
      <c r="E353" s="11">
        <v>210.0</v>
      </c>
      <c r="F353" s="11">
        <v>1.0</v>
      </c>
      <c r="G353" s="11">
        <v>210.0</v>
      </c>
      <c r="H353" s="9" t="s">
        <v>26</v>
      </c>
      <c r="I353" s="9" t="s">
        <v>1655</v>
      </c>
      <c r="J353" s="16" t="s">
        <v>1656</v>
      </c>
      <c r="K353" s="9"/>
      <c r="L353" s="9" t="s">
        <v>30</v>
      </c>
      <c r="M353" s="9" t="s">
        <v>31</v>
      </c>
      <c r="N353" s="9" t="s">
        <v>32</v>
      </c>
      <c r="O353" s="12" t="s">
        <v>33</v>
      </c>
      <c r="P353" s="12" t="s">
        <v>34</v>
      </c>
      <c r="Q353" s="9"/>
      <c r="R353" s="18"/>
      <c r="S353" s="18"/>
      <c r="T353" s="18"/>
      <c r="U353" s="18"/>
      <c r="V353" s="18"/>
      <c r="W353" s="15"/>
      <c r="X353" s="15"/>
    </row>
    <row r="354">
      <c r="A354" s="7">
        <v>353.0</v>
      </c>
      <c r="B354" s="8" t="s">
        <v>1657</v>
      </c>
      <c r="C354" s="9" t="s">
        <v>1658</v>
      </c>
      <c r="D354" s="10" t="str">
        <f>HYPERLINK("https://facebook.com/367089020688300_519175868812947", "367089020688300_519175868812947")</f>
        <v>367089020688300_519175868812947</v>
      </c>
      <c r="E354" s="11">
        <v>796.0</v>
      </c>
      <c r="F354" s="11">
        <v>61.0</v>
      </c>
      <c r="G354" s="11">
        <v>544.0</v>
      </c>
      <c r="H354" s="9" t="s">
        <v>26</v>
      </c>
      <c r="I354" s="9" t="s">
        <v>1659</v>
      </c>
      <c r="J354" s="9" t="s">
        <v>1660</v>
      </c>
      <c r="K354" s="9" t="s">
        <v>214</v>
      </c>
      <c r="L354" s="9" t="s">
        <v>30</v>
      </c>
      <c r="M354" s="9" t="s">
        <v>31</v>
      </c>
      <c r="N354" s="9" t="s">
        <v>32</v>
      </c>
      <c r="O354" s="12" t="s">
        <v>33</v>
      </c>
      <c r="P354" s="12" t="s">
        <v>34</v>
      </c>
      <c r="Q354" s="9"/>
      <c r="R354" s="18"/>
      <c r="S354" s="18"/>
      <c r="T354" s="18"/>
      <c r="U354" s="18"/>
      <c r="V354" s="18"/>
      <c r="W354" s="15"/>
      <c r="X354" s="15"/>
    </row>
    <row r="355">
      <c r="A355" s="7">
        <v>354.0</v>
      </c>
      <c r="B355" s="8" t="s">
        <v>1661</v>
      </c>
      <c r="C355" s="9" t="s">
        <v>1662</v>
      </c>
      <c r="D355" s="10" t="str">
        <f>HYPERLINK("https://facebook.com/367089020688300_544101229653744", "367089020688300_544101229653744")</f>
        <v>367089020688300_544101229653744</v>
      </c>
      <c r="E355" s="11">
        <v>232.0</v>
      </c>
      <c r="F355" s="11">
        <v>2.0</v>
      </c>
      <c r="G355" s="11">
        <v>158.0</v>
      </c>
      <c r="H355" s="9" t="s">
        <v>26</v>
      </c>
      <c r="I355" s="9" t="s">
        <v>1663</v>
      </c>
      <c r="J355" s="9" t="s">
        <v>1664</v>
      </c>
      <c r="K355" s="9" t="s">
        <v>1665</v>
      </c>
      <c r="L355" s="9" t="s">
        <v>30</v>
      </c>
      <c r="M355" s="9" t="s">
        <v>31</v>
      </c>
      <c r="N355" s="9" t="s">
        <v>32</v>
      </c>
      <c r="O355" s="12" t="s">
        <v>33</v>
      </c>
      <c r="P355" s="12" t="s">
        <v>34</v>
      </c>
      <c r="Q355" s="9"/>
      <c r="R355" s="18"/>
      <c r="S355" s="18"/>
      <c r="T355" s="18"/>
      <c r="U355" s="18"/>
      <c r="V355" s="18"/>
      <c r="W355" s="15"/>
      <c r="X355" s="15"/>
    </row>
    <row r="356">
      <c r="A356" s="7">
        <v>355.0</v>
      </c>
      <c r="B356" s="8" t="s">
        <v>1666</v>
      </c>
      <c r="C356" s="9" t="s">
        <v>1667</v>
      </c>
      <c r="D356" s="10" t="str">
        <f>HYPERLINK("https://facebook.com/367089020688300_472209500176251", "367089020688300_472209500176251")</f>
        <v>367089020688300_472209500176251</v>
      </c>
      <c r="E356" s="11">
        <v>1151.0</v>
      </c>
      <c r="F356" s="11">
        <v>9.0</v>
      </c>
      <c r="G356" s="11">
        <v>561.0</v>
      </c>
      <c r="H356" s="9" t="s">
        <v>26</v>
      </c>
      <c r="I356" s="9" t="s">
        <v>1668</v>
      </c>
      <c r="J356" s="16" t="s">
        <v>1669</v>
      </c>
      <c r="K356" s="9"/>
      <c r="L356" s="9" t="s">
        <v>30</v>
      </c>
      <c r="M356" s="9" t="s">
        <v>31</v>
      </c>
      <c r="N356" s="9" t="s">
        <v>32</v>
      </c>
      <c r="O356" s="12" t="s">
        <v>33</v>
      </c>
      <c r="P356" s="12" t="s">
        <v>34</v>
      </c>
      <c r="Q356" s="9"/>
      <c r="R356" s="18"/>
      <c r="S356" s="18"/>
      <c r="T356" s="18"/>
      <c r="U356" s="18"/>
      <c r="V356" s="18"/>
      <c r="W356" s="15"/>
      <c r="X356" s="15"/>
    </row>
    <row r="357">
      <c r="A357" s="7">
        <v>356.0</v>
      </c>
      <c r="B357" s="8" t="s">
        <v>1670</v>
      </c>
      <c r="C357" s="9" t="s">
        <v>1671</v>
      </c>
      <c r="D357" s="10" t="str">
        <f>HYPERLINK("https://facebook.com/367089020688300_540521986678335", "367089020688300_540521986678335")</f>
        <v>367089020688300_540521986678335</v>
      </c>
      <c r="E357" s="11">
        <v>87.0</v>
      </c>
      <c r="F357" s="11">
        <v>0.0</v>
      </c>
      <c r="G357" s="11">
        <v>35.0</v>
      </c>
      <c r="H357" s="9" t="s">
        <v>26</v>
      </c>
      <c r="I357" s="9" t="s">
        <v>721</v>
      </c>
      <c r="J357" s="16" t="s">
        <v>1672</v>
      </c>
      <c r="K357" s="9"/>
      <c r="L357" s="9" t="s">
        <v>30</v>
      </c>
      <c r="M357" s="9" t="s">
        <v>31</v>
      </c>
      <c r="N357" s="9" t="s">
        <v>32</v>
      </c>
      <c r="O357" s="12" t="s">
        <v>33</v>
      </c>
      <c r="P357" s="12" t="s">
        <v>34</v>
      </c>
      <c r="Q357" s="9"/>
      <c r="R357" s="18"/>
      <c r="S357" s="18"/>
      <c r="T357" s="18"/>
      <c r="U357" s="18"/>
      <c r="V357" s="18"/>
      <c r="W357" s="15"/>
      <c r="X357" s="15"/>
    </row>
    <row r="358">
      <c r="A358" s="7">
        <v>357.0</v>
      </c>
      <c r="B358" s="8" t="s">
        <v>1673</v>
      </c>
      <c r="C358" s="9" t="s">
        <v>1674</v>
      </c>
      <c r="D358" s="10" t="str">
        <f>HYPERLINK("https://facebook.com/367089020688300_560639604666573", "367089020688300_560639604666573")</f>
        <v>367089020688300_560639604666573</v>
      </c>
      <c r="E358" s="11">
        <v>89.0</v>
      </c>
      <c r="F358" s="11">
        <v>2.0</v>
      </c>
      <c r="G358" s="11">
        <v>78.0</v>
      </c>
      <c r="H358" s="9" t="s">
        <v>26</v>
      </c>
      <c r="I358" s="9" t="s">
        <v>1675</v>
      </c>
      <c r="J358" s="16" t="s">
        <v>1676</v>
      </c>
      <c r="K358" s="9"/>
      <c r="L358" s="9" t="s">
        <v>30</v>
      </c>
      <c r="M358" s="9" t="s">
        <v>31</v>
      </c>
      <c r="N358" s="9" t="s">
        <v>32</v>
      </c>
      <c r="O358" s="12" t="s">
        <v>33</v>
      </c>
      <c r="P358" s="12" t="s">
        <v>34</v>
      </c>
      <c r="Q358" s="9"/>
      <c r="R358" s="18"/>
      <c r="S358" s="18"/>
      <c r="T358" s="18"/>
      <c r="U358" s="18"/>
      <c r="V358" s="18"/>
      <c r="W358" s="15"/>
      <c r="X358" s="15"/>
    </row>
    <row r="359">
      <c r="A359" s="7">
        <v>358.0</v>
      </c>
      <c r="B359" s="8" t="s">
        <v>1677</v>
      </c>
      <c r="C359" s="9" t="s">
        <v>1678</v>
      </c>
      <c r="D359" s="10" t="str">
        <f>HYPERLINK("https://facebook.com/367089020688300_543692249694642", "367089020688300_543692249694642")</f>
        <v>367089020688300_543692249694642</v>
      </c>
      <c r="E359" s="11">
        <v>2612.0</v>
      </c>
      <c r="F359" s="11">
        <v>51.0</v>
      </c>
      <c r="G359" s="11">
        <v>1554.0</v>
      </c>
      <c r="H359" s="9" t="s">
        <v>26</v>
      </c>
      <c r="I359" s="9" t="s">
        <v>1679</v>
      </c>
      <c r="J359" s="16" t="s">
        <v>1680</v>
      </c>
      <c r="K359" s="9"/>
      <c r="L359" s="9" t="s">
        <v>30</v>
      </c>
      <c r="M359" s="9" t="s">
        <v>31</v>
      </c>
      <c r="N359" s="9" t="s">
        <v>32</v>
      </c>
      <c r="O359" s="12" t="s">
        <v>33</v>
      </c>
      <c r="P359" s="12" t="s">
        <v>34</v>
      </c>
      <c r="Q359" s="9"/>
      <c r="R359" s="18"/>
      <c r="S359" s="18"/>
      <c r="T359" s="18"/>
      <c r="U359" s="18"/>
      <c r="V359" s="18"/>
      <c r="W359" s="15"/>
      <c r="X359" s="15"/>
    </row>
    <row r="360">
      <c r="A360" s="7">
        <v>359.0</v>
      </c>
      <c r="B360" s="8" t="s">
        <v>1681</v>
      </c>
      <c r="C360" s="9" t="s">
        <v>1682</v>
      </c>
      <c r="D360" s="10" t="str">
        <f>HYPERLINK("https://facebook.com/367089020688300_411553366241865", "367089020688300_411553366241865")</f>
        <v>367089020688300_411553366241865</v>
      </c>
      <c r="E360" s="11">
        <v>212.0</v>
      </c>
      <c r="F360" s="11">
        <v>2.0</v>
      </c>
      <c r="G360" s="11">
        <v>138.0</v>
      </c>
      <c r="H360" s="9" t="s">
        <v>26</v>
      </c>
      <c r="I360" s="9" t="s">
        <v>1683</v>
      </c>
      <c r="J360" s="9" t="s">
        <v>1684</v>
      </c>
      <c r="K360" s="9" t="s">
        <v>1685</v>
      </c>
      <c r="L360" s="9" t="s">
        <v>30</v>
      </c>
      <c r="M360" s="9" t="s">
        <v>31</v>
      </c>
      <c r="N360" s="9" t="s">
        <v>32</v>
      </c>
      <c r="O360" s="12" t="s">
        <v>33</v>
      </c>
      <c r="P360" s="12" t="s">
        <v>34</v>
      </c>
      <c r="Q360" s="9"/>
      <c r="R360" s="18"/>
      <c r="S360" s="18"/>
      <c r="T360" s="18"/>
      <c r="U360" s="18"/>
      <c r="V360" s="18"/>
      <c r="W360" s="15"/>
      <c r="X360" s="15"/>
    </row>
    <row r="361">
      <c r="A361" s="7">
        <v>360.0</v>
      </c>
      <c r="B361" s="8" t="s">
        <v>1686</v>
      </c>
      <c r="C361" s="9" t="s">
        <v>1687</v>
      </c>
      <c r="D361" s="10" t="str">
        <f>HYPERLINK("https://facebook.com/367089020688300_557547201642480", "367089020688300_557547201642480")</f>
        <v>367089020688300_557547201642480</v>
      </c>
      <c r="E361" s="11">
        <v>3.0</v>
      </c>
      <c r="F361" s="11">
        <v>0.0</v>
      </c>
      <c r="G361" s="11">
        <v>4.0</v>
      </c>
      <c r="H361" s="9" t="s">
        <v>26</v>
      </c>
      <c r="I361" s="9" t="s">
        <v>1688</v>
      </c>
      <c r="J361" s="9" t="s">
        <v>1689</v>
      </c>
      <c r="K361" s="9" t="s">
        <v>1690</v>
      </c>
      <c r="L361" s="9" t="s">
        <v>30</v>
      </c>
      <c r="M361" s="9" t="s">
        <v>31</v>
      </c>
      <c r="N361" s="9" t="s">
        <v>32</v>
      </c>
      <c r="O361" s="12" t="s">
        <v>33</v>
      </c>
      <c r="P361" s="12" t="s">
        <v>34</v>
      </c>
      <c r="Q361" s="9"/>
      <c r="R361" s="18"/>
      <c r="S361" s="18"/>
      <c r="T361" s="18"/>
      <c r="U361" s="18"/>
      <c r="V361" s="18"/>
      <c r="W361" s="15"/>
      <c r="X361" s="15"/>
    </row>
    <row r="362">
      <c r="A362" s="7">
        <v>361.0</v>
      </c>
      <c r="B362" s="8" t="s">
        <v>1691</v>
      </c>
      <c r="C362" s="9" t="s">
        <v>1692</v>
      </c>
      <c r="D362" s="10" t="str">
        <f>HYPERLINK("https://facebook.com/367089020688300_549957109068156", "367089020688300_549957109068156")</f>
        <v>367089020688300_549957109068156</v>
      </c>
      <c r="E362" s="11">
        <v>41.0</v>
      </c>
      <c r="F362" s="11">
        <v>0.0</v>
      </c>
      <c r="G362" s="11">
        <v>23.0</v>
      </c>
      <c r="H362" s="9" t="s">
        <v>26</v>
      </c>
      <c r="I362" s="9" t="s">
        <v>1693</v>
      </c>
      <c r="J362" s="16" t="s">
        <v>1694</v>
      </c>
      <c r="K362" s="9"/>
      <c r="L362" s="9" t="s">
        <v>30</v>
      </c>
      <c r="M362" s="9" t="s">
        <v>31</v>
      </c>
      <c r="N362" s="9" t="s">
        <v>32</v>
      </c>
      <c r="O362" s="12" t="s">
        <v>33</v>
      </c>
      <c r="P362" s="12" t="s">
        <v>34</v>
      </c>
      <c r="Q362" s="9"/>
      <c r="R362" s="18"/>
      <c r="S362" s="18"/>
      <c r="T362" s="18"/>
      <c r="U362" s="18"/>
      <c r="V362" s="18"/>
      <c r="W362" s="15"/>
      <c r="X362" s="15"/>
    </row>
    <row r="363">
      <c r="A363" s="7">
        <v>362.0</v>
      </c>
      <c r="B363" s="8" t="s">
        <v>1695</v>
      </c>
      <c r="C363" s="9" t="s">
        <v>1696</v>
      </c>
      <c r="D363" s="10" t="str">
        <f>HYPERLINK("https://facebook.com/367089020688300_558717181525482", "367089020688300_558717181525482")</f>
        <v>367089020688300_558717181525482</v>
      </c>
      <c r="E363" s="11">
        <v>46.0</v>
      </c>
      <c r="F363" s="11">
        <v>4.0</v>
      </c>
      <c r="G363" s="11">
        <v>23.0</v>
      </c>
      <c r="H363" s="9" t="s">
        <v>26</v>
      </c>
      <c r="I363" s="9" t="s">
        <v>1697</v>
      </c>
      <c r="J363" s="16" t="s">
        <v>1698</v>
      </c>
      <c r="K363" s="9"/>
      <c r="L363" s="9" t="s">
        <v>30</v>
      </c>
      <c r="M363" s="9" t="s">
        <v>31</v>
      </c>
      <c r="N363" s="9" t="s">
        <v>32</v>
      </c>
      <c r="O363" s="12" t="s">
        <v>33</v>
      </c>
      <c r="P363" s="12" t="s">
        <v>34</v>
      </c>
      <c r="Q363" s="9"/>
      <c r="R363" s="18"/>
      <c r="S363" s="18"/>
      <c r="T363" s="18"/>
      <c r="U363" s="18"/>
      <c r="V363" s="18"/>
      <c r="W363" s="15"/>
      <c r="X363" s="15"/>
    </row>
    <row r="364">
      <c r="A364" s="7">
        <v>363.0</v>
      </c>
      <c r="B364" s="8" t="s">
        <v>1699</v>
      </c>
      <c r="C364" s="9" t="s">
        <v>1700</v>
      </c>
      <c r="D364" s="10" t="str">
        <f>HYPERLINK("https://facebook.com/367089020688300_548098495920684", "367089020688300_548098495920684")</f>
        <v>367089020688300_548098495920684</v>
      </c>
      <c r="E364" s="11">
        <v>71.0</v>
      </c>
      <c r="F364" s="11">
        <v>4.0</v>
      </c>
      <c r="G364" s="11">
        <v>42.0</v>
      </c>
      <c r="H364" s="9" t="s">
        <v>26</v>
      </c>
      <c r="I364" s="9" t="s">
        <v>1701</v>
      </c>
      <c r="J364" s="9" t="s">
        <v>1702</v>
      </c>
      <c r="K364" s="9" t="s">
        <v>1703</v>
      </c>
      <c r="L364" s="9" t="s">
        <v>30</v>
      </c>
      <c r="M364" s="9" t="s">
        <v>31</v>
      </c>
      <c r="N364" s="9" t="s">
        <v>32</v>
      </c>
      <c r="O364" s="12" t="s">
        <v>33</v>
      </c>
      <c r="P364" s="12" t="s">
        <v>34</v>
      </c>
      <c r="Q364" s="9"/>
      <c r="R364" s="18"/>
      <c r="S364" s="18"/>
      <c r="T364" s="18"/>
      <c r="U364" s="18"/>
      <c r="V364" s="18"/>
      <c r="W364" s="15"/>
      <c r="X364" s="15"/>
    </row>
    <row r="365">
      <c r="A365" s="7">
        <v>364.0</v>
      </c>
      <c r="B365" s="8" t="s">
        <v>1704</v>
      </c>
      <c r="C365" s="9" t="s">
        <v>1705</v>
      </c>
      <c r="D365" s="10" t="str">
        <f>HYPERLINK("https://facebook.com/367089020688300_563776461019554", "367089020688300_563776461019554")</f>
        <v>367089020688300_563776461019554</v>
      </c>
      <c r="E365" s="11">
        <v>10.0</v>
      </c>
      <c r="F365" s="11">
        <v>0.0</v>
      </c>
      <c r="G365" s="11">
        <v>10.0</v>
      </c>
      <c r="H365" s="9" t="s">
        <v>26</v>
      </c>
      <c r="I365" s="9" t="s">
        <v>1706</v>
      </c>
      <c r="J365" s="16" t="s">
        <v>1707</v>
      </c>
      <c r="K365" s="9"/>
      <c r="L365" s="9" t="s">
        <v>30</v>
      </c>
      <c r="M365" s="9" t="s">
        <v>31</v>
      </c>
      <c r="N365" s="9" t="s">
        <v>32</v>
      </c>
      <c r="O365" s="12" t="s">
        <v>33</v>
      </c>
      <c r="P365" s="12" t="s">
        <v>34</v>
      </c>
      <c r="Q365" s="9"/>
      <c r="R365" s="18"/>
      <c r="S365" s="18"/>
      <c r="T365" s="18"/>
      <c r="U365" s="18"/>
      <c r="V365" s="18"/>
      <c r="W365" s="15"/>
      <c r="X365" s="15"/>
    </row>
    <row r="366">
      <c r="A366" s="7">
        <v>365.0</v>
      </c>
      <c r="B366" s="8" t="s">
        <v>1708</v>
      </c>
      <c r="C366" s="9" t="s">
        <v>1709</v>
      </c>
      <c r="D366" s="10" t="str">
        <f>HYPERLINK("https://facebook.com/367089020688300_450405745689960", "367089020688300_450405745689960")</f>
        <v>367089020688300_450405745689960</v>
      </c>
      <c r="E366" s="11">
        <v>508.0</v>
      </c>
      <c r="F366" s="11">
        <v>28.0</v>
      </c>
      <c r="G366" s="11">
        <v>618.0</v>
      </c>
      <c r="H366" s="9" t="s">
        <v>26</v>
      </c>
      <c r="I366" s="9" t="s">
        <v>1710</v>
      </c>
      <c r="J366" s="9" t="s">
        <v>1711</v>
      </c>
      <c r="K366" s="9" t="s">
        <v>1712</v>
      </c>
      <c r="L366" s="9" t="s">
        <v>30</v>
      </c>
      <c r="M366" s="9" t="s">
        <v>31</v>
      </c>
      <c r="N366" s="9" t="s">
        <v>32</v>
      </c>
      <c r="O366" s="12" t="s">
        <v>33</v>
      </c>
      <c r="P366" s="12" t="s">
        <v>34</v>
      </c>
      <c r="Q366" s="9"/>
      <c r="R366" s="18"/>
      <c r="S366" s="18"/>
      <c r="T366" s="18"/>
      <c r="U366" s="18"/>
      <c r="V366" s="18"/>
      <c r="W366" s="15"/>
      <c r="X366" s="15"/>
    </row>
    <row r="367">
      <c r="A367" s="7">
        <v>366.0</v>
      </c>
      <c r="B367" s="8" t="s">
        <v>1713</v>
      </c>
      <c r="C367" s="9" t="s">
        <v>1714</v>
      </c>
      <c r="D367" s="10" t="str">
        <f>HYPERLINK("https://facebook.com/367089020688300_556944955036038", "367089020688300_556944955036038")</f>
        <v>367089020688300_556944955036038</v>
      </c>
      <c r="E367" s="11">
        <v>43.0</v>
      </c>
      <c r="F367" s="11">
        <v>0.0</v>
      </c>
      <c r="G367" s="11">
        <v>42.0</v>
      </c>
      <c r="H367" s="9" t="s">
        <v>26</v>
      </c>
      <c r="I367" s="9" t="s">
        <v>1715</v>
      </c>
      <c r="J367" s="16" t="s">
        <v>1716</v>
      </c>
      <c r="K367" s="9"/>
      <c r="L367" s="9" t="s">
        <v>30</v>
      </c>
      <c r="M367" s="9" t="s">
        <v>31</v>
      </c>
      <c r="N367" s="9" t="s">
        <v>32</v>
      </c>
      <c r="O367" s="12" t="s">
        <v>33</v>
      </c>
      <c r="P367" s="12" t="s">
        <v>34</v>
      </c>
      <c r="Q367" s="9"/>
      <c r="R367" s="18"/>
      <c r="S367" s="18"/>
      <c r="T367" s="18"/>
      <c r="U367" s="18"/>
      <c r="V367" s="18"/>
      <c r="W367" s="15"/>
      <c r="X367" s="15"/>
    </row>
    <row r="368">
      <c r="A368" s="7">
        <v>367.0</v>
      </c>
      <c r="B368" s="8" t="s">
        <v>1717</v>
      </c>
      <c r="C368" s="9" t="s">
        <v>1718</v>
      </c>
      <c r="D368" s="10" t="str">
        <f>HYPERLINK("https://facebook.com/367089020688300_505111726886028", "367089020688300_505111726886028")</f>
        <v>367089020688300_505111726886028</v>
      </c>
      <c r="E368" s="11">
        <v>1045.0</v>
      </c>
      <c r="F368" s="11">
        <v>59.0</v>
      </c>
      <c r="G368" s="11">
        <v>161.0</v>
      </c>
      <c r="H368" s="9" t="s">
        <v>26</v>
      </c>
      <c r="I368" s="9" t="s">
        <v>743</v>
      </c>
      <c r="J368" s="9" t="s">
        <v>1719</v>
      </c>
      <c r="K368" s="9" t="s">
        <v>1720</v>
      </c>
      <c r="L368" s="9" t="s">
        <v>30</v>
      </c>
      <c r="M368" s="9" t="s">
        <v>31</v>
      </c>
      <c r="N368" s="9" t="s">
        <v>32</v>
      </c>
      <c r="O368" s="12" t="s">
        <v>33</v>
      </c>
      <c r="P368" s="12" t="s">
        <v>34</v>
      </c>
      <c r="Q368" s="9"/>
      <c r="R368" s="18"/>
      <c r="S368" s="18"/>
      <c r="T368" s="18"/>
      <c r="U368" s="18"/>
      <c r="V368" s="18"/>
      <c r="W368" s="15"/>
      <c r="X368" s="15"/>
    </row>
    <row r="369">
      <c r="A369" s="7">
        <v>368.0</v>
      </c>
      <c r="B369" s="8" t="s">
        <v>1721</v>
      </c>
      <c r="C369" s="9" t="s">
        <v>1722</v>
      </c>
      <c r="D369" s="10" t="str">
        <f>HYPERLINK("https://facebook.com/367089020688300_542802983116902", "367089020688300_542802983116902")</f>
        <v>367089020688300_542802983116902</v>
      </c>
      <c r="E369" s="11">
        <v>580.0</v>
      </c>
      <c r="F369" s="11">
        <v>73.0</v>
      </c>
      <c r="G369" s="11">
        <v>461.0</v>
      </c>
      <c r="H369" s="9" t="s">
        <v>26</v>
      </c>
      <c r="I369" s="9" t="s">
        <v>1723</v>
      </c>
      <c r="J369" s="9" t="s">
        <v>1724</v>
      </c>
      <c r="K369" s="9" t="s">
        <v>1725</v>
      </c>
      <c r="L369" s="9" t="s">
        <v>30</v>
      </c>
      <c r="M369" s="9" t="s">
        <v>31</v>
      </c>
      <c r="N369" s="9" t="s">
        <v>32</v>
      </c>
      <c r="O369" s="12" t="s">
        <v>33</v>
      </c>
      <c r="P369" s="12" t="s">
        <v>34</v>
      </c>
      <c r="Q369" s="9"/>
      <c r="R369" s="18"/>
      <c r="S369" s="18"/>
      <c r="T369" s="18"/>
      <c r="U369" s="18"/>
      <c r="V369" s="18"/>
      <c r="W369" s="15"/>
      <c r="X369" s="15"/>
    </row>
    <row r="370">
      <c r="A370" s="7">
        <v>369.0</v>
      </c>
      <c r="B370" s="8" t="s">
        <v>1726</v>
      </c>
      <c r="C370" s="9" t="s">
        <v>1727</v>
      </c>
      <c r="D370" s="10" t="str">
        <f>HYPERLINK("https://facebook.com/367089020688300_539503106780223", "367089020688300_539503106780223")</f>
        <v>367089020688300_539503106780223</v>
      </c>
      <c r="E370" s="11">
        <v>11.0</v>
      </c>
      <c r="F370" s="11">
        <v>0.0</v>
      </c>
      <c r="G370" s="11">
        <v>1.0</v>
      </c>
      <c r="H370" s="9" t="s">
        <v>26</v>
      </c>
      <c r="I370" s="9" t="s">
        <v>1728</v>
      </c>
      <c r="J370" s="9" t="s">
        <v>1729</v>
      </c>
      <c r="K370" s="9" t="s">
        <v>1730</v>
      </c>
      <c r="L370" s="9" t="s">
        <v>30</v>
      </c>
      <c r="M370" s="9" t="s">
        <v>31</v>
      </c>
      <c r="N370" s="9" t="s">
        <v>32</v>
      </c>
      <c r="O370" s="12" t="s">
        <v>33</v>
      </c>
      <c r="P370" s="12" t="s">
        <v>34</v>
      </c>
      <c r="Q370" s="9"/>
      <c r="R370" s="18"/>
      <c r="S370" s="18"/>
      <c r="T370" s="18"/>
      <c r="U370" s="18"/>
      <c r="V370" s="18"/>
      <c r="W370" s="15"/>
      <c r="X370" s="15"/>
    </row>
    <row r="371">
      <c r="A371" s="7">
        <v>370.0</v>
      </c>
      <c r="B371" s="8" t="s">
        <v>1731</v>
      </c>
      <c r="C371" s="9" t="s">
        <v>1732</v>
      </c>
      <c r="D371" s="10" t="str">
        <f>HYPERLINK("https://facebook.com/367089020688300_539989003398300", "367089020688300_539989003398300")</f>
        <v>367089020688300_539989003398300</v>
      </c>
      <c r="E371" s="11">
        <v>6.0</v>
      </c>
      <c r="F371" s="11">
        <v>0.0</v>
      </c>
      <c r="G371" s="11">
        <v>10.0</v>
      </c>
      <c r="H371" s="9" t="s">
        <v>26</v>
      </c>
      <c r="I371" s="9" t="s">
        <v>1733</v>
      </c>
      <c r="J371" s="9" t="s">
        <v>1734</v>
      </c>
      <c r="K371" s="9" t="s">
        <v>1735</v>
      </c>
      <c r="L371" s="9" t="s">
        <v>30</v>
      </c>
      <c r="M371" s="9" t="s">
        <v>31</v>
      </c>
      <c r="N371" s="9" t="s">
        <v>32</v>
      </c>
      <c r="O371" s="12" t="s">
        <v>33</v>
      </c>
      <c r="P371" s="12" t="s">
        <v>34</v>
      </c>
      <c r="Q371" s="9"/>
      <c r="R371" s="18"/>
      <c r="S371" s="18"/>
      <c r="T371" s="18"/>
      <c r="U371" s="18"/>
      <c r="V371" s="18"/>
      <c r="W371" s="15"/>
      <c r="X371" s="15"/>
    </row>
    <row r="372">
      <c r="A372" s="7">
        <v>371.0</v>
      </c>
      <c r="B372" s="8" t="s">
        <v>1736</v>
      </c>
      <c r="C372" s="9" t="s">
        <v>1737</v>
      </c>
      <c r="D372" s="10" t="str">
        <f>HYPERLINK("https://facebook.com/367089020688300_539471810116686", "367089020688300_539471810116686")</f>
        <v>367089020688300_539471810116686</v>
      </c>
      <c r="E372" s="11">
        <v>13.0</v>
      </c>
      <c r="F372" s="11">
        <v>0.0</v>
      </c>
      <c r="G372" s="11">
        <v>12.0</v>
      </c>
      <c r="H372" s="9" t="s">
        <v>26</v>
      </c>
      <c r="I372" s="9" t="s">
        <v>1738</v>
      </c>
      <c r="J372" s="9" t="s">
        <v>1739</v>
      </c>
      <c r="K372" s="9" t="s">
        <v>1740</v>
      </c>
      <c r="L372" s="9" t="s">
        <v>30</v>
      </c>
      <c r="M372" s="9" t="s">
        <v>31</v>
      </c>
      <c r="N372" s="9" t="s">
        <v>32</v>
      </c>
      <c r="O372" s="12" t="s">
        <v>33</v>
      </c>
      <c r="P372" s="12" t="s">
        <v>34</v>
      </c>
      <c r="Q372" s="9"/>
      <c r="R372" s="18"/>
      <c r="S372" s="18"/>
      <c r="T372" s="18"/>
      <c r="U372" s="18"/>
      <c r="V372" s="18"/>
      <c r="W372" s="15"/>
      <c r="X372" s="15"/>
    </row>
    <row r="373">
      <c r="A373" s="7">
        <v>372.0</v>
      </c>
      <c r="B373" s="8" t="s">
        <v>1741</v>
      </c>
      <c r="C373" s="9" t="s">
        <v>1742</v>
      </c>
      <c r="D373" s="10" t="str">
        <f>HYPERLINK("https://facebook.com/367089020688300_487601448637056", "367089020688300_487601448637056")</f>
        <v>367089020688300_487601448637056</v>
      </c>
      <c r="E373" s="11">
        <v>114.0</v>
      </c>
      <c r="F373" s="11">
        <v>2.0</v>
      </c>
      <c r="G373" s="11">
        <v>87.0</v>
      </c>
      <c r="H373" s="9" t="s">
        <v>26</v>
      </c>
      <c r="I373" s="9" t="s">
        <v>1743</v>
      </c>
      <c r="J373" s="9" t="s">
        <v>1744</v>
      </c>
      <c r="K373" s="9" t="s">
        <v>249</v>
      </c>
      <c r="L373" s="9" t="s">
        <v>30</v>
      </c>
      <c r="M373" s="9" t="s">
        <v>31</v>
      </c>
      <c r="N373" s="9" t="s">
        <v>32</v>
      </c>
      <c r="O373" s="12" t="s">
        <v>33</v>
      </c>
      <c r="P373" s="12" t="s">
        <v>34</v>
      </c>
      <c r="Q373" s="9"/>
      <c r="R373" s="18"/>
      <c r="S373" s="18"/>
      <c r="T373" s="18"/>
      <c r="U373" s="18"/>
      <c r="V373" s="18"/>
      <c r="W373" s="15"/>
      <c r="X373" s="15"/>
    </row>
    <row r="374">
      <c r="A374" s="7">
        <v>373.0</v>
      </c>
      <c r="B374" s="8" t="s">
        <v>1745</v>
      </c>
      <c r="C374" s="9" t="s">
        <v>1746</v>
      </c>
      <c r="D374" s="10" t="str">
        <f>HYPERLINK("https://facebook.com/367089020688300_507353246661876", "367089020688300_507353246661876")</f>
        <v>367089020688300_507353246661876</v>
      </c>
      <c r="E374" s="11">
        <v>58.0</v>
      </c>
      <c r="F374" s="11">
        <v>1.0</v>
      </c>
      <c r="G374" s="11">
        <v>74.0</v>
      </c>
      <c r="H374" s="9" t="s">
        <v>26</v>
      </c>
      <c r="I374" s="9" t="s">
        <v>1747</v>
      </c>
      <c r="J374" s="9" t="s">
        <v>1748</v>
      </c>
      <c r="K374" s="9" t="s">
        <v>1749</v>
      </c>
      <c r="L374" s="9" t="s">
        <v>30</v>
      </c>
      <c r="M374" s="9" t="s">
        <v>31</v>
      </c>
      <c r="N374" s="9" t="s">
        <v>32</v>
      </c>
      <c r="O374" s="12" t="s">
        <v>33</v>
      </c>
      <c r="P374" s="12" t="s">
        <v>34</v>
      </c>
      <c r="Q374" s="9"/>
      <c r="R374" s="18"/>
      <c r="S374" s="18"/>
      <c r="T374" s="18"/>
      <c r="U374" s="18"/>
      <c r="V374" s="18"/>
      <c r="W374" s="15"/>
      <c r="X374" s="15"/>
    </row>
    <row r="375">
      <c r="A375" s="7">
        <v>374.0</v>
      </c>
      <c r="B375" s="8" t="s">
        <v>1750</v>
      </c>
      <c r="C375" s="9" t="s">
        <v>1751</v>
      </c>
      <c r="D375" s="10" t="str">
        <f>HYPERLINK("https://facebook.com/367089020688300_539377280126139", "367089020688300_539377280126139")</f>
        <v>367089020688300_539377280126139</v>
      </c>
      <c r="E375" s="11">
        <v>54.0</v>
      </c>
      <c r="F375" s="11">
        <v>2.0</v>
      </c>
      <c r="G375" s="11">
        <v>26.0</v>
      </c>
      <c r="H375" s="9" t="s">
        <v>26</v>
      </c>
      <c r="I375" s="9" t="s">
        <v>1752</v>
      </c>
      <c r="J375" s="16" t="s">
        <v>1753</v>
      </c>
      <c r="K375" s="9"/>
      <c r="L375" s="9" t="s">
        <v>30</v>
      </c>
      <c r="M375" s="9" t="s">
        <v>31</v>
      </c>
      <c r="N375" s="9" t="s">
        <v>32</v>
      </c>
      <c r="O375" s="12" t="s">
        <v>33</v>
      </c>
      <c r="P375" s="12" t="s">
        <v>34</v>
      </c>
      <c r="Q375" s="9"/>
      <c r="R375" s="18"/>
      <c r="S375" s="18"/>
      <c r="T375" s="18"/>
      <c r="U375" s="18"/>
      <c r="V375" s="18"/>
      <c r="W375" s="15"/>
      <c r="X375" s="15"/>
    </row>
    <row r="376">
      <c r="A376" s="7">
        <v>375.0</v>
      </c>
      <c r="B376" s="8" t="s">
        <v>1754</v>
      </c>
      <c r="C376" s="9" t="s">
        <v>1755</v>
      </c>
      <c r="D376" s="10" t="str">
        <f>HYPERLINK("https://facebook.com/367089020688300_501585297238671", "367089020688300_501585297238671")</f>
        <v>367089020688300_501585297238671</v>
      </c>
      <c r="E376" s="11">
        <v>162.0</v>
      </c>
      <c r="F376" s="11">
        <v>8.0</v>
      </c>
      <c r="G376" s="11">
        <v>182.0</v>
      </c>
      <c r="H376" s="9" t="s">
        <v>26</v>
      </c>
      <c r="I376" s="9" t="s">
        <v>1756</v>
      </c>
      <c r="J376" s="9" t="s">
        <v>1757</v>
      </c>
      <c r="K376" s="9" t="s">
        <v>363</v>
      </c>
      <c r="L376" s="9" t="s">
        <v>30</v>
      </c>
      <c r="M376" s="9" t="s">
        <v>31</v>
      </c>
      <c r="N376" s="9" t="s">
        <v>32</v>
      </c>
      <c r="O376" s="12" t="s">
        <v>33</v>
      </c>
      <c r="P376" s="12" t="s">
        <v>34</v>
      </c>
      <c r="Q376" s="9"/>
      <c r="R376" s="18"/>
      <c r="S376" s="18"/>
      <c r="T376" s="18"/>
      <c r="U376" s="18"/>
      <c r="V376" s="18"/>
      <c r="W376" s="15"/>
      <c r="X376" s="15"/>
    </row>
    <row r="377">
      <c r="A377" s="7">
        <v>376.0</v>
      </c>
      <c r="B377" s="8" t="s">
        <v>1758</v>
      </c>
      <c r="C377" s="9" t="s">
        <v>1759</v>
      </c>
      <c r="D377" s="10" t="str">
        <f>HYPERLINK("https://facebook.com/367089020688300_536163270447540", "367089020688300_536163270447540")</f>
        <v>367089020688300_536163270447540</v>
      </c>
      <c r="E377" s="11">
        <v>671.0</v>
      </c>
      <c r="F377" s="11">
        <v>8.0</v>
      </c>
      <c r="G377" s="11">
        <v>292.0</v>
      </c>
      <c r="H377" s="9" t="s">
        <v>26</v>
      </c>
      <c r="I377" s="9" t="s">
        <v>1760</v>
      </c>
      <c r="J377" s="16" t="s">
        <v>1761</v>
      </c>
      <c r="K377" s="9"/>
      <c r="L377" s="9" t="s">
        <v>30</v>
      </c>
      <c r="M377" s="9" t="s">
        <v>31</v>
      </c>
      <c r="N377" s="9" t="s">
        <v>32</v>
      </c>
      <c r="O377" s="12" t="s">
        <v>33</v>
      </c>
      <c r="P377" s="12" t="s">
        <v>34</v>
      </c>
      <c r="Q377" s="9"/>
      <c r="R377" s="18"/>
      <c r="S377" s="18"/>
      <c r="T377" s="18"/>
      <c r="U377" s="18"/>
      <c r="V377" s="18"/>
      <c r="W377" s="15"/>
      <c r="X377" s="15"/>
    </row>
    <row r="378">
      <c r="A378" s="7">
        <v>377.0</v>
      </c>
      <c r="B378" s="8" t="s">
        <v>1762</v>
      </c>
      <c r="C378" s="9" t="s">
        <v>1763</v>
      </c>
      <c r="D378" s="10" t="str">
        <f>HYPERLINK("https://facebook.com/367089020688300_542365153160685", "367089020688300_542365153160685")</f>
        <v>367089020688300_542365153160685</v>
      </c>
      <c r="E378" s="11">
        <v>1822.0</v>
      </c>
      <c r="F378" s="11">
        <v>582.0</v>
      </c>
      <c r="G378" s="11">
        <v>193.0</v>
      </c>
      <c r="H378" s="9" t="s">
        <v>26</v>
      </c>
      <c r="I378" s="9" t="s">
        <v>1764</v>
      </c>
      <c r="J378" s="9" t="s">
        <v>1765</v>
      </c>
      <c r="K378" s="9" t="s">
        <v>1623</v>
      </c>
      <c r="L378" s="9" t="s">
        <v>30</v>
      </c>
      <c r="M378" s="9" t="s">
        <v>31</v>
      </c>
      <c r="N378" s="9" t="s">
        <v>32</v>
      </c>
      <c r="O378" s="12" t="s">
        <v>33</v>
      </c>
      <c r="P378" s="12" t="s">
        <v>34</v>
      </c>
      <c r="Q378" s="9"/>
      <c r="R378" s="18"/>
      <c r="S378" s="18"/>
      <c r="T378" s="18"/>
      <c r="U378" s="18"/>
      <c r="V378" s="18"/>
      <c r="W378" s="15"/>
      <c r="X378" s="15"/>
    </row>
    <row r="379">
      <c r="A379" s="7">
        <v>378.0</v>
      </c>
      <c r="B379" s="8" t="s">
        <v>1766</v>
      </c>
      <c r="C379" s="9" t="s">
        <v>1767</v>
      </c>
      <c r="D379" s="10" t="str">
        <f>HYPERLINK("https://facebook.com/367089020688300_542623106468223", "367089020688300_542623106468223")</f>
        <v>367089020688300_542623106468223</v>
      </c>
      <c r="E379" s="11">
        <v>48.0</v>
      </c>
      <c r="F379" s="11">
        <v>0.0</v>
      </c>
      <c r="G379" s="11">
        <v>20.0</v>
      </c>
      <c r="H379" s="9" t="s">
        <v>26</v>
      </c>
      <c r="I379" s="9" t="s">
        <v>1768</v>
      </c>
      <c r="J379" s="9" t="s">
        <v>1769</v>
      </c>
      <c r="K379" s="9" t="s">
        <v>249</v>
      </c>
      <c r="L379" s="9" t="s">
        <v>30</v>
      </c>
      <c r="M379" s="9" t="s">
        <v>31</v>
      </c>
      <c r="N379" s="9" t="s">
        <v>32</v>
      </c>
      <c r="O379" s="12" t="s">
        <v>33</v>
      </c>
      <c r="P379" s="12" t="s">
        <v>34</v>
      </c>
      <c r="Q379" s="9"/>
      <c r="R379" s="18"/>
      <c r="S379" s="18"/>
      <c r="T379" s="18"/>
      <c r="U379" s="18"/>
      <c r="V379" s="18"/>
      <c r="W379" s="15"/>
      <c r="X379" s="15"/>
    </row>
    <row r="380">
      <c r="A380" s="7">
        <v>379.0</v>
      </c>
      <c r="B380" s="8" t="s">
        <v>1770</v>
      </c>
      <c r="C380" s="9" t="s">
        <v>1771</v>
      </c>
      <c r="D380" s="10" t="str">
        <f>HYPERLINK("https://facebook.com/367089020688300_537948483602352", "367089020688300_537948483602352")</f>
        <v>367089020688300_537948483602352</v>
      </c>
      <c r="E380" s="11">
        <v>33.0</v>
      </c>
      <c r="F380" s="11">
        <v>0.0</v>
      </c>
      <c r="G380" s="11">
        <v>43.0</v>
      </c>
      <c r="H380" s="9" t="s">
        <v>26</v>
      </c>
      <c r="I380" s="9" t="s">
        <v>1772</v>
      </c>
      <c r="J380" s="9" t="s">
        <v>1773</v>
      </c>
      <c r="K380" s="9" t="s">
        <v>1774</v>
      </c>
      <c r="L380" s="9" t="s">
        <v>30</v>
      </c>
      <c r="M380" s="9" t="s">
        <v>31</v>
      </c>
      <c r="N380" s="9" t="s">
        <v>32</v>
      </c>
      <c r="O380" s="12" t="s">
        <v>33</v>
      </c>
      <c r="P380" s="12" t="s">
        <v>34</v>
      </c>
      <c r="Q380" s="9"/>
      <c r="R380" s="18"/>
      <c r="S380" s="18"/>
      <c r="T380" s="18"/>
      <c r="U380" s="18"/>
      <c r="V380" s="18"/>
      <c r="W380" s="15"/>
      <c r="X380" s="15"/>
    </row>
    <row r="381">
      <c r="A381" s="7">
        <v>380.0</v>
      </c>
      <c r="B381" s="8" t="s">
        <v>1775</v>
      </c>
      <c r="C381" s="9" t="s">
        <v>1776</v>
      </c>
      <c r="D381" s="10" t="str">
        <f>HYPERLINK("https://facebook.com/367089020688300_544673306263203", "367089020688300_544673306263203")</f>
        <v>367089020688300_544673306263203</v>
      </c>
      <c r="E381" s="11">
        <v>27.0</v>
      </c>
      <c r="F381" s="11">
        <v>0.0</v>
      </c>
      <c r="G381" s="11">
        <v>24.0</v>
      </c>
      <c r="H381" s="9" t="s">
        <v>26</v>
      </c>
      <c r="I381" s="9" t="s">
        <v>1777</v>
      </c>
      <c r="J381" s="16" t="s">
        <v>1778</v>
      </c>
      <c r="K381" s="9"/>
      <c r="L381" s="9" t="s">
        <v>30</v>
      </c>
      <c r="M381" s="9" t="s">
        <v>31</v>
      </c>
      <c r="N381" s="9" t="s">
        <v>32</v>
      </c>
      <c r="O381" s="12" t="s">
        <v>33</v>
      </c>
      <c r="P381" s="12" t="s">
        <v>34</v>
      </c>
      <c r="Q381" s="9"/>
      <c r="R381" s="18"/>
      <c r="S381" s="18"/>
      <c r="T381" s="18"/>
      <c r="U381" s="18"/>
      <c r="V381" s="18"/>
      <c r="W381" s="15"/>
      <c r="X381" s="15"/>
    </row>
    <row r="382">
      <c r="A382" s="7">
        <v>381.0</v>
      </c>
      <c r="B382" s="8" t="s">
        <v>1779</v>
      </c>
      <c r="C382" s="9" t="s">
        <v>1780</v>
      </c>
      <c r="D382" s="10" t="str">
        <f>HYPERLINK("https://facebook.com/367089020688300_543569356373598", "367089020688300_543569356373598")</f>
        <v>367089020688300_543569356373598</v>
      </c>
      <c r="E382" s="11">
        <v>209.0</v>
      </c>
      <c r="F382" s="11">
        <v>3.0</v>
      </c>
      <c r="G382" s="11">
        <v>189.0</v>
      </c>
      <c r="H382" s="9" t="s">
        <v>26</v>
      </c>
      <c r="I382" s="9" t="s">
        <v>1781</v>
      </c>
      <c r="J382" s="9" t="s">
        <v>1782</v>
      </c>
      <c r="K382" s="9" t="s">
        <v>1783</v>
      </c>
      <c r="L382" s="9" t="s">
        <v>30</v>
      </c>
      <c r="M382" s="9" t="s">
        <v>31</v>
      </c>
      <c r="N382" s="9" t="s">
        <v>32</v>
      </c>
      <c r="O382" s="12" t="s">
        <v>33</v>
      </c>
      <c r="P382" s="12" t="s">
        <v>34</v>
      </c>
      <c r="Q382" s="9"/>
      <c r="R382" s="18"/>
      <c r="S382" s="18"/>
      <c r="T382" s="18"/>
      <c r="U382" s="18"/>
      <c r="V382" s="18"/>
      <c r="W382" s="15"/>
      <c r="X382" s="15"/>
    </row>
    <row r="383">
      <c r="A383" s="7">
        <v>382.0</v>
      </c>
      <c r="B383" s="8" t="s">
        <v>1784</v>
      </c>
      <c r="C383" s="9" t="s">
        <v>1785</v>
      </c>
      <c r="D383" s="10" t="str">
        <f>HYPERLINK("https://facebook.com/367089020688300_537096193687581", "367089020688300_537096193687581")</f>
        <v>367089020688300_537096193687581</v>
      </c>
      <c r="E383" s="11">
        <v>252.0</v>
      </c>
      <c r="F383" s="11">
        <v>4.0</v>
      </c>
      <c r="G383" s="11">
        <v>237.0</v>
      </c>
      <c r="H383" s="9" t="s">
        <v>26</v>
      </c>
      <c r="I383" s="9" t="s">
        <v>1786</v>
      </c>
      <c r="J383" s="9" t="s">
        <v>1787</v>
      </c>
      <c r="K383" s="9" t="s">
        <v>249</v>
      </c>
      <c r="L383" s="9" t="s">
        <v>30</v>
      </c>
      <c r="M383" s="9" t="s">
        <v>31</v>
      </c>
      <c r="N383" s="9" t="s">
        <v>32</v>
      </c>
      <c r="O383" s="12" t="s">
        <v>33</v>
      </c>
      <c r="P383" s="12" t="s">
        <v>34</v>
      </c>
      <c r="Q383" s="9"/>
      <c r="R383" s="18"/>
      <c r="S383" s="18"/>
      <c r="T383" s="18"/>
      <c r="U383" s="18"/>
      <c r="V383" s="18"/>
      <c r="W383" s="15"/>
      <c r="X383" s="15"/>
    </row>
    <row r="384">
      <c r="A384" s="7">
        <v>383.0</v>
      </c>
      <c r="B384" s="8" t="s">
        <v>1788</v>
      </c>
      <c r="C384" s="9" t="s">
        <v>1789</v>
      </c>
      <c r="D384" s="10" t="str">
        <f>HYPERLINK("https://facebook.com/367089020688300_549957619068105", "367089020688300_549957619068105")</f>
        <v>367089020688300_549957619068105</v>
      </c>
      <c r="E384" s="11">
        <v>9.0</v>
      </c>
      <c r="F384" s="11">
        <v>0.0</v>
      </c>
      <c r="G384" s="11">
        <v>2.0</v>
      </c>
      <c r="H384" s="9" t="s">
        <v>26</v>
      </c>
      <c r="I384" s="9" t="s">
        <v>1790</v>
      </c>
      <c r="J384" s="16" t="s">
        <v>1791</v>
      </c>
      <c r="K384" s="9"/>
      <c r="L384" s="9" t="s">
        <v>30</v>
      </c>
      <c r="M384" s="9" t="s">
        <v>31</v>
      </c>
      <c r="N384" s="9" t="s">
        <v>32</v>
      </c>
      <c r="O384" s="12" t="s">
        <v>33</v>
      </c>
      <c r="P384" s="12" t="s">
        <v>34</v>
      </c>
      <c r="Q384" s="9"/>
      <c r="R384" s="18"/>
      <c r="S384" s="18"/>
      <c r="T384" s="18"/>
      <c r="U384" s="18"/>
      <c r="V384" s="18"/>
      <c r="W384" s="15"/>
      <c r="X384" s="15"/>
    </row>
    <row r="385">
      <c r="A385" s="7">
        <v>384.0</v>
      </c>
      <c r="B385" s="8" t="s">
        <v>1792</v>
      </c>
      <c r="C385" s="9" t="s">
        <v>1793</v>
      </c>
      <c r="D385" s="10" t="str">
        <f>HYPERLINK("https://facebook.com/367089020688300_552105972186603", "367089020688300_552105972186603")</f>
        <v>367089020688300_552105972186603</v>
      </c>
      <c r="E385" s="11">
        <v>25.0</v>
      </c>
      <c r="F385" s="11">
        <v>0.0</v>
      </c>
      <c r="G385" s="11">
        <v>23.0</v>
      </c>
      <c r="H385" s="9" t="s">
        <v>26</v>
      </c>
      <c r="I385" s="9" t="s">
        <v>1794</v>
      </c>
      <c r="J385" s="9" t="s">
        <v>1795</v>
      </c>
      <c r="K385" s="9" t="s">
        <v>1796</v>
      </c>
      <c r="L385" s="9" t="s">
        <v>30</v>
      </c>
      <c r="M385" s="9" t="s">
        <v>31</v>
      </c>
      <c r="N385" s="9" t="s">
        <v>32</v>
      </c>
      <c r="O385" s="12" t="s">
        <v>33</v>
      </c>
      <c r="P385" s="12" t="s">
        <v>34</v>
      </c>
      <c r="Q385" s="9"/>
      <c r="R385" s="18"/>
      <c r="S385" s="18"/>
      <c r="T385" s="18"/>
      <c r="U385" s="18"/>
      <c r="V385" s="18"/>
      <c r="W385" s="15"/>
      <c r="X385" s="15"/>
    </row>
    <row r="386">
      <c r="A386" s="7">
        <v>385.0</v>
      </c>
      <c r="B386" s="21" t="s">
        <v>1797</v>
      </c>
      <c r="C386" s="21" t="s">
        <v>1798</v>
      </c>
      <c r="D386" s="22" t="str">
        <f>HYPERLINK("https://facebook.com/367089020688300_545277292869471", "367089020688300_545277292869471")</f>
        <v>367089020688300_545277292869471</v>
      </c>
      <c r="E386" s="23">
        <v>23.0</v>
      </c>
      <c r="F386" s="23">
        <v>0.0</v>
      </c>
      <c r="G386" s="23">
        <v>3.0</v>
      </c>
      <c r="H386" s="21" t="s">
        <v>26</v>
      </c>
      <c r="I386" s="21" t="s">
        <v>1799</v>
      </c>
      <c r="J386" s="21" t="s">
        <v>1800</v>
      </c>
      <c r="K386" s="21"/>
      <c r="L386" s="21" t="s">
        <v>30</v>
      </c>
      <c r="M386" s="21" t="s">
        <v>31</v>
      </c>
      <c r="N386" s="21" t="s">
        <v>32</v>
      </c>
      <c r="O386" s="21" t="s">
        <v>33</v>
      </c>
      <c r="P386" s="12" t="s">
        <v>34</v>
      </c>
      <c r="Q386" s="21"/>
      <c r="R386" s="24"/>
      <c r="S386" s="24"/>
      <c r="T386" s="24"/>
      <c r="U386" s="24"/>
      <c r="V386" s="24"/>
      <c r="W386" s="13" t="s">
        <v>166</v>
      </c>
      <c r="X386" s="24"/>
    </row>
    <row r="387">
      <c r="A387" s="7">
        <v>386.0</v>
      </c>
      <c r="B387" s="8" t="s">
        <v>1801</v>
      </c>
      <c r="C387" s="9" t="s">
        <v>1802</v>
      </c>
      <c r="D387" s="10" t="str">
        <f>HYPERLINK("https://facebook.com/367089020688300_537833593613841", "367089020688300_537833593613841")</f>
        <v>367089020688300_537833593613841</v>
      </c>
      <c r="E387" s="11">
        <v>13.0</v>
      </c>
      <c r="F387" s="11">
        <v>0.0</v>
      </c>
      <c r="G387" s="11">
        <v>17.0</v>
      </c>
      <c r="H387" s="9" t="s">
        <v>26</v>
      </c>
      <c r="I387" s="9" t="s">
        <v>1104</v>
      </c>
      <c r="J387" s="9" t="s">
        <v>1803</v>
      </c>
      <c r="K387" s="9" t="s">
        <v>1804</v>
      </c>
      <c r="L387" s="9" t="s">
        <v>30</v>
      </c>
      <c r="M387" s="9" t="s">
        <v>31</v>
      </c>
      <c r="N387" s="9" t="s">
        <v>32</v>
      </c>
      <c r="O387" s="12" t="s">
        <v>33</v>
      </c>
      <c r="P387" s="12" t="s">
        <v>34</v>
      </c>
      <c r="Q387" s="9"/>
      <c r="R387" s="18"/>
      <c r="S387" s="18"/>
      <c r="T387" s="18"/>
      <c r="U387" s="18"/>
      <c r="V387" s="18"/>
      <c r="W387" s="15"/>
      <c r="X387" s="15"/>
    </row>
    <row r="388">
      <c r="A388" s="7">
        <v>387.0</v>
      </c>
      <c r="B388" s="8" t="s">
        <v>1805</v>
      </c>
      <c r="C388" s="9" t="s">
        <v>1806</v>
      </c>
      <c r="D388" s="10" t="str">
        <f>HYPERLINK("https://facebook.com/367089020688300_551593398904527", "367089020688300_551593398904527")</f>
        <v>367089020688300_551593398904527</v>
      </c>
      <c r="E388" s="11">
        <v>98.0</v>
      </c>
      <c r="F388" s="11">
        <v>1.0</v>
      </c>
      <c r="G388" s="11">
        <v>153.0</v>
      </c>
      <c r="H388" s="9" t="s">
        <v>26</v>
      </c>
      <c r="I388" s="9" t="s">
        <v>1807</v>
      </c>
      <c r="J388" s="16" t="s">
        <v>1808</v>
      </c>
      <c r="K388" s="9"/>
      <c r="L388" s="9" t="s">
        <v>30</v>
      </c>
      <c r="M388" s="9" t="s">
        <v>31</v>
      </c>
      <c r="N388" s="9" t="s">
        <v>32</v>
      </c>
      <c r="O388" s="12" t="s">
        <v>33</v>
      </c>
      <c r="P388" s="12" t="s">
        <v>34</v>
      </c>
      <c r="Q388" s="9"/>
      <c r="R388" s="18"/>
      <c r="S388" s="18"/>
      <c r="T388" s="18"/>
      <c r="U388" s="18"/>
      <c r="V388" s="18"/>
      <c r="W388" s="15"/>
      <c r="X388" s="15"/>
    </row>
    <row r="389">
      <c r="A389" s="7">
        <v>388.0</v>
      </c>
      <c r="B389" s="8" t="s">
        <v>1809</v>
      </c>
      <c r="C389" s="9" t="s">
        <v>1810</v>
      </c>
      <c r="D389" s="10" t="str">
        <f>HYPERLINK("https://facebook.com/367089020688300_553309202066280", "367089020688300_553309202066280")</f>
        <v>367089020688300_553309202066280</v>
      </c>
      <c r="E389" s="11">
        <v>24.0</v>
      </c>
      <c r="F389" s="11">
        <v>0.0</v>
      </c>
      <c r="G389" s="11">
        <v>4.0</v>
      </c>
      <c r="H389" s="9" t="s">
        <v>26</v>
      </c>
      <c r="I389" s="9" t="s">
        <v>1811</v>
      </c>
      <c r="J389" s="16" t="s">
        <v>1812</v>
      </c>
      <c r="K389" s="9"/>
      <c r="L389" s="9" t="s">
        <v>30</v>
      </c>
      <c r="M389" s="9" t="s">
        <v>31</v>
      </c>
      <c r="N389" s="9" t="s">
        <v>32</v>
      </c>
      <c r="O389" s="12" t="s">
        <v>33</v>
      </c>
      <c r="P389" s="12" t="s">
        <v>34</v>
      </c>
      <c r="Q389" s="9"/>
      <c r="R389" s="18"/>
      <c r="S389" s="18"/>
      <c r="T389" s="18"/>
      <c r="U389" s="18"/>
      <c r="V389" s="18"/>
      <c r="W389" s="15"/>
      <c r="X389" s="15"/>
    </row>
    <row r="390">
      <c r="A390" s="7">
        <v>389.0</v>
      </c>
      <c r="B390" s="8" t="s">
        <v>1813</v>
      </c>
      <c r="C390" s="9" t="s">
        <v>1814</v>
      </c>
      <c r="D390" s="10" t="str">
        <f>HYPERLINK("https://facebook.com/367089020688300_492130054850862", "367089020688300_492130054850862")</f>
        <v>367089020688300_492130054850862</v>
      </c>
      <c r="E390" s="11">
        <v>767.0</v>
      </c>
      <c r="F390" s="11">
        <v>37.0</v>
      </c>
      <c r="G390" s="11">
        <v>748.0</v>
      </c>
      <c r="H390" s="9" t="s">
        <v>26</v>
      </c>
      <c r="I390" s="9" t="s">
        <v>1815</v>
      </c>
      <c r="J390" s="9" t="s">
        <v>1816</v>
      </c>
      <c r="K390" s="9" t="s">
        <v>1817</v>
      </c>
      <c r="L390" s="9" t="s">
        <v>30</v>
      </c>
      <c r="M390" s="9" t="s">
        <v>31</v>
      </c>
      <c r="N390" s="9" t="s">
        <v>32</v>
      </c>
      <c r="O390" s="12" t="s">
        <v>33</v>
      </c>
      <c r="P390" s="12" t="s">
        <v>34</v>
      </c>
      <c r="Q390" s="9"/>
      <c r="R390" s="18"/>
      <c r="S390" s="18"/>
      <c r="T390" s="18"/>
      <c r="U390" s="18"/>
      <c r="V390" s="18"/>
      <c r="W390" s="15"/>
      <c r="X390" s="15"/>
    </row>
    <row r="391">
      <c r="A391" s="7">
        <v>390.0</v>
      </c>
      <c r="B391" s="8" t="s">
        <v>1818</v>
      </c>
      <c r="C391" s="9" t="s">
        <v>1819</v>
      </c>
      <c r="D391" s="10" t="str">
        <f>HYPERLINK("https://facebook.com/367089020688300_540423156688218", "367089020688300_540423156688218")</f>
        <v>367089020688300_540423156688218</v>
      </c>
      <c r="E391" s="11">
        <v>26.0</v>
      </c>
      <c r="F391" s="11">
        <v>0.0</v>
      </c>
      <c r="G391" s="11">
        <v>23.0</v>
      </c>
      <c r="H391" s="9" t="s">
        <v>26</v>
      </c>
      <c r="I391" s="9" t="s">
        <v>1820</v>
      </c>
      <c r="J391" s="16" t="s">
        <v>1821</v>
      </c>
      <c r="K391" s="9"/>
      <c r="L391" s="9" t="s">
        <v>30</v>
      </c>
      <c r="M391" s="9" t="s">
        <v>31</v>
      </c>
      <c r="N391" s="9" t="s">
        <v>32</v>
      </c>
      <c r="O391" s="12" t="s">
        <v>33</v>
      </c>
      <c r="P391" s="12" t="s">
        <v>34</v>
      </c>
      <c r="Q391" s="9"/>
      <c r="R391" s="18"/>
      <c r="S391" s="18"/>
      <c r="T391" s="18"/>
      <c r="U391" s="18"/>
      <c r="V391" s="18"/>
      <c r="W391" s="15"/>
      <c r="X391" s="15"/>
    </row>
    <row r="392">
      <c r="A392" s="7">
        <v>391.0</v>
      </c>
      <c r="B392" s="8" t="s">
        <v>1822</v>
      </c>
      <c r="C392" s="9" t="s">
        <v>1823</v>
      </c>
      <c r="D392" s="10" t="str">
        <f>HYPERLINK("https://facebook.com/367089020688300_542814703115730", "367089020688300_542814703115730")</f>
        <v>367089020688300_542814703115730</v>
      </c>
      <c r="E392" s="11">
        <v>855.0</v>
      </c>
      <c r="F392" s="11">
        <v>22.0</v>
      </c>
      <c r="G392" s="11">
        <v>737.0</v>
      </c>
      <c r="H392" s="9" t="s">
        <v>26</v>
      </c>
      <c r="I392" s="9" t="s">
        <v>1824</v>
      </c>
      <c r="J392" s="16" t="s">
        <v>1825</v>
      </c>
      <c r="K392" s="9"/>
      <c r="L392" s="9" t="s">
        <v>30</v>
      </c>
      <c r="M392" s="9" t="s">
        <v>31</v>
      </c>
      <c r="N392" s="9" t="s">
        <v>32</v>
      </c>
      <c r="O392" s="12" t="s">
        <v>33</v>
      </c>
      <c r="P392" s="12" t="s">
        <v>34</v>
      </c>
      <c r="Q392" s="9"/>
      <c r="R392" s="18"/>
      <c r="S392" s="18"/>
      <c r="T392" s="18"/>
      <c r="U392" s="18"/>
      <c r="V392" s="18"/>
      <c r="W392" s="15"/>
      <c r="X392" s="15"/>
    </row>
    <row r="393">
      <c r="A393" s="7">
        <v>392.0</v>
      </c>
      <c r="B393" s="8" t="s">
        <v>1826</v>
      </c>
      <c r="C393" s="9" t="s">
        <v>1827</v>
      </c>
      <c r="D393" s="10" t="str">
        <f>HYPERLINK("https://facebook.com/367089020688300_538548726875661", "367089020688300_538548726875661")</f>
        <v>367089020688300_538548726875661</v>
      </c>
      <c r="E393" s="11">
        <v>32.0</v>
      </c>
      <c r="F393" s="11">
        <v>1.0</v>
      </c>
      <c r="G393" s="11">
        <v>5.0</v>
      </c>
      <c r="H393" s="9" t="s">
        <v>26</v>
      </c>
      <c r="I393" s="9" t="s">
        <v>1828</v>
      </c>
      <c r="J393" s="9" t="s">
        <v>1829</v>
      </c>
      <c r="K393" s="9" t="s">
        <v>663</v>
      </c>
      <c r="L393" s="9" t="s">
        <v>30</v>
      </c>
      <c r="M393" s="9" t="s">
        <v>31</v>
      </c>
      <c r="N393" s="9" t="s">
        <v>32</v>
      </c>
      <c r="O393" s="12" t="s">
        <v>33</v>
      </c>
      <c r="P393" s="12" t="s">
        <v>34</v>
      </c>
      <c r="Q393" s="9"/>
      <c r="R393" s="18"/>
      <c r="S393" s="18"/>
      <c r="T393" s="18"/>
      <c r="U393" s="18"/>
      <c r="V393" s="18"/>
      <c r="W393" s="15"/>
      <c r="X393" s="15"/>
    </row>
    <row r="394">
      <c r="A394" s="7">
        <v>393.0</v>
      </c>
      <c r="B394" s="8" t="s">
        <v>1830</v>
      </c>
      <c r="C394" s="9" t="s">
        <v>1831</v>
      </c>
      <c r="D394" s="10" t="str">
        <f>HYPERLINK("https://facebook.com/367089020688300_561600284570505", "367089020688300_561600284570505")</f>
        <v>367089020688300_561600284570505</v>
      </c>
      <c r="E394" s="11">
        <v>21.0</v>
      </c>
      <c r="F394" s="11">
        <v>0.0</v>
      </c>
      <c r="G394" s="11">
        <v>26.0</v>
      </c>
      <c r="H394" s="9" t="s">
        <v>26</v>
      </c>
      <c r="I394" s="9" t="s">
        <v>1832</v>
      </c>
      <c r="J394" s="16" t="s">
        <v>1833</v>
      </c>
      <c r="K394" s="9"/>
      <c r="L394" s="9" t="s">
        <v>30</v>
      </c>
      <c r="M394" s="9" t="s">
        <v>31</v>
      </c>
      <c r="N394" s="9" t="s">
        <v>32</v>
      </c>
      <c r="O394" s="12" t="s">
        <v>33</v>
      </c>
      <c r="P394" s="12" t="s">
        <v>34</v>
      </c>
      <c r="Q394" s="9"/>
      <c r="R394" s="18"/>
      <c r="S394" s="18"/>
      <c r="T394" s="18"/>
      <c r="U394" s="18"/>
      <c r="V394" s="18"/>
      <c r="W394" s="15"/>
      <c r="X394" s="15"/>
    </row>
    <row r="395">
      <c r="A395" s="7">
        <v>394.0</v>
      </c>
      <c r="B395" s="8" t="s">
        <v>1834</v>
      </c>
      <c r="C395" s="9" t="s">
        <v>1835</v>
      </c>
      <c r="D395" s="10" t="str">
        <f>HYPERLINK("https://facebook.com/367089020688300_561548607909006", "367089020688300_561548607909006")</f>
        <v>367089020688300_561548607909006</v>
      </c>
      <c r="E395" s="11">
        <v>83.0</v>
      </c>
      <c r="F395" s="11">
        <v>3.0</v>
      </c>
      <c r="G395" s="11">
        <v>49.0</v>
      </c>
      <c r="H395" s="9" t="s">
        <v>26</v>
      </c>
      <c r="I395" s="9" t="s">
        <v>1836</v>
      </c>
      <c r="J395" s="9" t="s">
        <v>1837</v>
      </c>
      <c r="K395" s="9" t="s">
        <v>1355</v>
      </c>
      <c r="L395" s="9" t="s">
        <v>30</v>
      </c>
      <c r="M395" s="9" t="s">
        <v>31</v>
      </c>
      <c r="N395" s="9" t="s">
        <v>32</v>
      </c>
      <c r="O395" s="12" t="s">
        <v>33</v>
      </c>
      <c r="P395" s="12" t="s">
        <v>34</v>
      </c>
      <c r="Q395" s="9"/>
      <c r="R395" s="18"/>
      <c r="S395" s="18"/>
      <c r="T395" s="18"/>
      <c r="U395" s="18"/>
      <c r="V395" s="18"/>
      <c r="W395" s="15"/>
      <c r="X395" s="15"/>
    </row>
    <row r="396">
      <c r="A396" s="7">
        <v>395.0</v>
      </c>
      <c r="B396" s="8" t="s">
        <v>1838</v>
      </c>
      <c r="C396" s="9" t="s">
        <v>1839</v>
      </c>
      <c r="D396" s="10" t="str">
        <f>HYPERLINK("https://facebook.com/367089020688300_555312985199235", "367089020688300_555312985199235")</f>
        <v>367089020688300_555312985199235</v>
      </c>
      <c r="E396" s="11">
        <v>178.0</v>
      </c>
      <c r="F396" s="11">
        <v>14.0</v>
      </c>
      <c r="G396" s="11">
        <v>256.0</v>
      </c>
      <c r="H396" s="9" t="s">
        <v>26</v>
      </c>
      <c r="I396" s="9" t="s">
        <v>1840</v>
      </c>
      <c r="J396" s="9" t="s">
        <v>1841</v>
      </c>
      <c r="K396" s="9" t="s">
        <v>1842</v>
      </c>
      <c r="L396" s="9" t="s">
        <v>30</v>
      </c>
      <c r="M396" s="9" t="s">
        <v>31</v>
      </c>
      <c r="N396" s="9" t="s">
        <v>32</v>
      </c>
      <c r="O396" s="12" t="s">
        <v>33</v>
      </c>
      <c r="P396" s="12" t="s">
        <v>34</v>
      </c>
      <c r="Q396" s="9"/>
      <c r="R396" s="18"/>
      <c r="S396" s="18"/>
      <c r="T396" s="18"/>
      <c r="U396" s="18"/>
      <c r="V396" s="18"/>
      <c r="W396" s="15"/>
      <c r="X396" s="15"/>
    </row>
    <row r="397">
      <c r="A397" s="7">
        <v>396.0</v>
      </c>
      <c r="B397" s="8" t="s">
        <v>1843</v>
      </c>
      <c r="C397" s="9" t="s">
        <v>1844</v>
      </c>
      <c r="D397" s="10" t="str">
        <f>HYPERLINK("https://facebook.com/367089020688300_549561465774387", "367089020688300_549561465774387")</f>
        <v>367089020688300_549561465774387</v>
      </c>
      <c r="E397" s="11">
        <v>890.0</v>
      </c>
      <c r="F397" s="11">
        <v>7.0</v>
      </c>
      <c r="G397" s="11">
        <v>197.0</v>
      </c>
      <c r="H397" s="9" t="s">
        <v>26</v>
      </c>
      <c r="I397" s="9" t="s">
        <v>1845</v>
      </c>
      <c r="J397" s="16" t="s">
        <v>1846</v>
      </c>
      <c r="K397" s="9"/>
      <c r="L397" s="9" t="s">
        <v>30</v>
      </c>
      <c r="M397" s="9" t="s">
        <v>31</v>
      </c>
      <c r="N397" s="9" t="s">
        <v>32</v>
      </c>
      <c r="O397" s="12" t="s">
        <v>33</v>
      </c>
      <c r="P397" s="12" t="s">
        <v>34</v>
      </c>
      <c r="Q397" s="9"/>
      <c r="R397" s="18"/>
      <c r="S397" s="18"/>
      <c r="T397" s="18"/>
      <c r="U397" s="18"/>
      <c r="V397" s="18"/>
      <c r="W397" s="15"/>
      <c r="X397" s="15"/>
    </row>
    <row r="398">
      <c r="A398" s="7">
        <v>397.0</v>
      </c>
      <c r="B398" s="8" t="s">
        <v>1847</v>
      </c>
      <c r="C398" s="9" t="s">
        <v>1848</v>
      </c>
      <c r="D398" s="10" t="str">
        <f>HYPERLINK("https://facebook.com/367089020688300_545821399481727", "367089020688300_545821399481727")</f>
        <v>367089020688300_545821399481727</v>
      </c>
      <c r="E398" s="11">
        <v>23.0</v>
      </c>
      <c r="F398" s="11">
        <v>0.0</v>
      </c>
      <c r="G398" s="11">
        <v>20.0</v>
      </c>
      <c r="H398" s="9" t="s">
        <v>26</v>
      </c>
      <c r="I398" s="9" t="s">
        <v>474</v>
      </c>
      <c r="J398" s="9" t="s">
        <v>475</v>
      </c>
      <c r="K398" s="9" t="s">
        <v>1849</v>
      </c>
      <c r="L398" s="9" t="s">
        <v>30</v>
      </c>
      <c r="M398" s="9" t="s">
        <v>31</v>
      </c>
      <c r="N398" s="9" t="s">
        <v>32</v>
      </c>
      <c r="O398" s="12" t="s">
        <v>33</v>
      </c>
      <c r="P398" s="12" t="s">
        <v>34</v>
      </c>
      <c r="Q398" s="9"/>
      <c r="R398" s="18"/>
      <c r="S398" s="18"/>
      <c r="T398" s="18"/>
      <c r="U398" s="18"/>
      <c r="V398" s="18"/>
      <c r="W398" s="15"/>
      <c r="X398" s="15"/>
    </row>
    <row r="399">
      <c r="A399" s="7">
        <v>398.0</v>
      </c>
      <c r="B399" s="8" t="s">
        <v>1850</v>
      </c>
      <c r="C399" s="9" t="s">
        <v>1851</v>
      </c>
      <c r="D399" s="10" t="str">
        <f>HYPERLINK("https://facebook.com/367089020688300_557469971650203", "367089020688300_557469971650203")</f>
        <v>367089020688300_557469971650203</v>
      </c>
      <c r="E399" s="11">
        <v>164.0</v>
      </c>
      <c r="F399" s="11">
        <v>0.0</v>
      </c>
      <c r="G399" s="11">
        <v>165.0</v>
      </c>
      <c r="H399" s="9" t="s">
        <v>26</v>
      </c>
      <c r="I399" s="9" t="s">
        <v>1852</v>
      </c>
      <c r="J399" s="9" t="s">
        <v>1853</v>
      </c>
      <c r="K399" s="9" t="s">
        <v>219</v>
      </c>
      <c r="L399" s="9" t="s">
        <v>30</v>
      </c>
      <c r="M399" s="9" t="s">
        <v>31</v>
      </c>
      <c r="N399" s="9" t="s">
        <v>32</v>
      </c>
      <c r="O399" s="12" t="s">
        <v>33</v>
      </c>
      <c r="P399" s="12" t="s">
        <v>34</v>
      </c>
      <c r="Q399" s="9"/>
      <c r="R399" s="18"/>
      <c r="S399" s="18"/>
      <c r="T399" s="18"/>
      <c r="U399" s="18"/>
      <c r="V399" s="18"/>
      <c r="W399" s="15"/>
      <c r="X399" s="15"/>
    </row>
    <row r="400">
      <c r="A400" s="7">
        <v>399.0</v>
      </c>
      <c r="B400" s="8" t="s">
        <v>1854</v>
      </c>
      <c r="C400" s="9" t="s">
        <v>1855</v>
      </c>
      <c r="D400" s="10" t="str">
        <f>HYPERLINK("https://facebook.com/367089020688300_536695293727671", "367089020688300_536695293727671")</f>
        <v>367089020688300_536695293727671</v>
      </c>
      <c r="E400" s="11">
        <v>264.0</v>
      </c>
      <c r="F400" s="11">
        <v>3.0</v>
      </c>
      <c r="G400" s="11">
        <v>234.0</v>
      </c>
      <c r="H400" s="9" t="s">
        <v>26</v>
      </c>
      <c r="I400" s="9" t="s">
        <v>1856</v>
      </c>
      <c r="J400" s="16" t="s">
        <v>1857</v>
      </c>
      <c r="K400" s="9"/>
      <c r="L400" s="9" t="s">
        <v>30</v>
      </c>
      <c r="M400" s="9" t="s">
        <v>31</v>
      </c>
      <c r="N400" s="9" t="s">
        <v>32</v>
      </c>
      <c r="O400" s="12" t="s">
        <v>33</v>
      </c>
      <c r="P400" s="12" t="s">
        <v>34</v>
      </c>
      <c r="Q400" s="9"/>
      <c r="R400" s="18"/>
      <c r="S400" s="18"/>
      <c r="T400" s="18"/>
      <c r="U400" s="18"/>
      <c r="V400" s="18"/>
      <c r="W400" s="15"/>
      <c r="X400" s="15"/>
    </row>
    <row r="401">
      <c r="A401" s="7">
        <v>400.0</v>
      </c>
      <c r="B401" s="8" t="s">
        <v>1858</v>
      </c>
      <c r="C401" s="9" t="s">
        <v>1859</v>
      </c>
      <c r="D401" s="10" t="str">
        <f>HYPERLINK("https://facebook.com/367089020688300_543786473018553", "367089020688300_543786473018553")</f>
        <v>367089020688300_543786473018553</v>
      </c>
      <c r="E401" s="11">
        <v>13.0</v>
      </c>
      <c r="F401" s="11">
        <v>0.0</v>
      </c>
      <c r="G401" s="11">
        <v>0.0</v>
      </c>
      <c r="H401" s="9" t="s">
        <v>26</v>
      </c>
      <c r="I401" s="9" t="s">
        <v>1860</v>
      </c>
      <c r="J401" s="16" t="s">
        <v>1861</v>
      </c>
      <c r="K401" s="9"/>
      <c r="L401" s="9" t="s">
        <v>30</v>
      </c>
      <c r="M401" s="9" t="s">
        <v>31</v>
      </c>
      <c r="N401" s="9" t="s">
        <v>32</v>
      </c>
      <c r="O401" s="12" t="s">
        <v>33</v>
      </c>
      <c r="P401" s="12" t="s">
        <v>34</v>
      </c>
      <c r="Q401" s="9"/>
      <c r="R401" s="18"/>
      <c r="S401" s="18"/>
      <c r="T401" s="18"/>
      <c r="U401" s="18"/>
      <c r="V401" s="18"/>
      <c r="W401" s="15"/>
      <c r="X401" s="15"/>
    </row>
    <row r="402">
      <c r="A402" s="7">
        <v>401.0</v>
      </c>
      <c r="B402" s="8" t="s">
        <v>1862</v>
      </c>
      <c r="C402" s="9" t="s">
        <v>1863</v>
      </c>
      <c r="D402" s="10" t="str">
        <f>HYPERLINK("https://facebook.com/367089020688300_551436405586893", "367089020688300_551436405586893")</f>
        <v>367089020688300_551436405586893</v>
      </c>
      <c r="E402" s="11">
        <v>892.0</v>
      </c>
      <c r="F402" s="11">
        <v>43.0</v>
      </c>
      <c r="G402" s="11">
        <v>412.0</v>
      </c>
      <c r="H402" s="9" t="s">
        <v>26</v>
      </c>
      <c r="I402" s="9" t="s">
        <v>1496</v>
      </c>
      <c r="J402" s="9" t="s">
        <v>1864</v>
      </c>
      <c r="K402" s="9" t="s">
        <v>1865</v>
      </c>
      <c r="L402" s="9" t="s">
        <v>30</v>
      </c>
      <c r="M402" s="9" t="s">
        <v>31</v>
      </c>
      <c r="N402" s="9" t="s">
        <v>32</v>
      </c>
      <c r="O402" s="12" t="s">
        <v>33</v>
      </c>
      <c r="P402" s="12" t="s">
        <v>34</v>
      </c>
      <c r="Q402" s="9"/>
      <c r="R402" s="18"/>
      <c r="S402" s="18"/>
      <c r="T402" s="18"/>
      <c r="U402" s="18"/>
      <c r="V402" s="18"/>
      <c r="W402" s="15"/>
      <c r="X402" s="15"/>
    </row>
    <row r="403">
      <c r="A403" s="7">
        <v>402.0</v>
      </c>
      <c r="B403" s="8" t="s">
        <v>1866</v>
      </c>
      <c r="C403" s="9" t="s">
        <v>1867</v>
      </c>
      <c r="D403" s="10" t="str">
        <f>HYPERLINK("https://facebook.com/367089020688300_501502020580332", "367089020688300_501502020580332")</f>
        <v>367089020688300_501502020580332</v>
      </c>
      <c r="E403" s="11">
        <v>67.0</v>
      </c>
      <c r="F403" s="11">
        <v>3.0</v>
      </c>
      <c r="G403" s="11">
        <v>90.0</v>
      </c>
      <c r="H403" s="9" t="s">
        <v>26</v>
      </c>
      <c r="I403" s="9" t="s">
        <v>1868</v>
      </c>
      <c r="J403" s="9" t="s">
        <v>1869</v>
      </c>
      <c r="K403" s="9" t="s">
        <v>1870</v>
      </c>
      <c r="L403" s="9" t="s">
        <v>30</v>
      </c>
      <c r="M403" s="9" t="s">
        <v>31</v>
      </c>
      <c r="N403" s="9" t="s">
        <v>32</v>
      </c>
      <c r="O403" s="12" t="s">
        <v>33</v>
      </c>
      <c r="P403" s="12" t="s">
        <v>34</v>
      </c>
      <c r="Q403" s="9"/>
      <c r="R403" s="18"/>
      <c r="S403" s="18"/>
      <c r="T403" s="18"/>
      <c r="U403" s="18"/>
      <c r="V403" s="18"/>
      <c r="W403" s="15"/>
      <c r="X403" s="15"/>
    </row>
    <row r="404">
      <c r="A404" s="7">
        <v>403.0</v>
      </c>
      <c r="B404" s="8" t="s">
        <v>1871</v>
      </c>
      <c r="C404" s="9" t="s">
        <v>1872</v>
      </c>
      <c r="D404" s="10" t="str">
        <f>HYPERLINK("https://facebook.com/367089020688300_367823173948218", "367089020688300_367823173948218")</f>
        <v>367089020688300_367823173948218</v>
      </c>
      <c r="E404" s="11">
        <v>425.0</v>
      </c>
      <c r="F404" s="11">
        <v>21.0</v>
      </c>
      <c r="G404" s="11">
        <v>482.0</v>
      </c>
      <c r="H404" s="9" t="s">
        <v>26</v>
      </c>
      <c r="I404" s="9" t="s">
        <v>1591</v>
      </c>
      <c r="J404" s="9" t="s">
        <v>1873</v>
      </c>
      <c r="K404" s="9" t="s">
        <v>1874</v>
      </c>
      <c r="L404" s="9" t="s">
        <v>30</v>
      </c>
      <c r="M404" s="9" t="s">
        <v>31</v>
      </c>
      <c r="N404" s="9" t="s">
        <v>32</v>
      </c>
      <c r="O404" s="12" t="s">
        <v>33</v>
      </c>
      <c r="P404" s="12" t="s">
        <v>34</v>
      </c>
      <c r="Q404" s="9"/>
      <c r="R404" s="18"/>
      <c r="S404" s="18"/>
      <c r="T404" s="18"/>
      <c r="U404" s="18"/>
      <c r="V404" s="18"/>
      <c r="W404" s="15"/>
      <c r="X404" s="15"/>
    </row>
    <row r="405">
      <c r="A405" s="7">
        <v>404.0</v>
      </c>
      <c r="B405" s="8" t="s">
        <v>1875</v>
      </c>
      <c r="C405" s="9" t="s">
        <v>1876</v>
      </c>
      <c r="D405" s="10" t="str">
        <f>HYPERLINK("https://facebook.com/367089020688300_556889898374877", "367089020688300_556889898374877")</f>
        <v>367089020688300_556889898374877</v>
      </c>
      <c r="E405" s="11">
        <v>138.0</v>
      </c>
      <c r="F405" s="11">
        <v>2.0</v>
      </c>
      <c r="G405" s="11">
        <v>14.0</v>
      </c>
      <c r="H405" s="9" t="s">
        <v>26</v>
      </c>
      <c r="I405" s="9" t="s">
        <v>637</v>
      </c>
      <c r="J405" s="16" t="s">
        <v>1877</v>
      </c>
      <c r="K405" s="9"/>
      <c r="L405" s="9" t="s">
        <v>30</v>
      </c>
      <c r="M405" s="9" t="s">
        <v>31</v>
      </c>
      <c r="N405" s="9" t="s">
        <v>32</v>
      </c>
      <c r="O405" s="12" t="s">
        <v>33</v>
      </c>
      <c r="P405" s="12" t="s">
        <v>34</v>
      </c>
      <c r="Q405" s="9"/>
      <c r="R405" s="18"/>
      <c r="S405" s="18"/>
      <c r="T405" s="18"/>
      <c r="U405" s="18"/>
      <c r="V405" s="18"/>
      <c r="W405" s="15"/>
      <c r="X405" s="15"/>
    </row>
    <row r="406">
      <c r="A406" s="7">
        <v>405.0</v>
      </c>
      <c r="B406" s="8" t="s">
        <v>1878</v>
      </c>
      <c r="C406" s="9" t="s">
        <v>1879</v>
      </c>
      <c r="D406" s="10" t="str">
        <f>HYPERLINK("https://facebook.com/367089020688300_550082825722251", "367089020688300_550082825722251")</f>
        <v>367089020688300_550082825722251</v>
      </c>
      <c r="E406" s="11">
        <v>202.0</v>
      </c>
      <c r="F406" s="11">
        <v>7.0</v>
      </c>
      <c r="G406" s="11">
        <v>182.0</v>
      </c>
      <c r="H406" s="9" t="s">
        <v>26</v>
      </c>
      <c r="I406" s="9" t="s">
        <v>1880</v>
      </c>
      <c r="J406" s="9" t="s">
        <v>1881</v>
      </c>
      <c r="K406" s="9" t="s">
        <v>219</v>
      </c>
      <c r="L406" s="9" t="s">
        <v>30</v>
      </c>
      <c r="M406" s="9" t="s">
        <v>31</v>
      </c>
      <c r="N406" s="9" t="s">
        <v>32</v>
      </c>
      <c r="O406" s="12" t="s">
        <v>33</v>
      </c>
      <c r="P406" s="12" t="s">
        <v>34</v>
      </c>
      <c r="Q406" s="9"/>
      <c r="R406" s="18"/>
      <c r="S406" s="18"/>
      <c r="T406" s="18"/>
      <c r="U406" s="18"/>
      <c r="V406" s="18"/>
      <c r="W406" s="15"/>
      <c r="X406" s="15"/>
    </row>
    <row r="407">
      <c r="A407" s="7">
        <v>406.0</v>
      </c>
      <c r="B407" s="8" t="s">
        <v>1882</v>
      </c>
      <c r="C407" s="9" t="s">
        <v>1883</v>
      </c>
      <c r="D407" s="10" t="str">
        <f>HYPERLINK("https://facebook.com/367089020688300_510603716336829", "367089020688300_510603716336829")</f>
        <v>367089020688300_510603716336829</v>
      </c>
      <c r="E407" s="11">
        <v>272.0</v>
      </c>
      <c r="F407" s="11">
        <v>13.0</v>
      </c>
      <c r="G407" s="11">
        <v>319.0</v>
      </c>
      <c r="H407" s="9" t="s">
        <v>26</v>
      </c>
      <c r="I407" s="9" t="s">
        <v>270</v>
      </c>
      <c r="J407" s="9" t="s">
        <v>1884</v>
      </c>
      <c r="K407" s="9" t="s">
        <v>1885</v>
      </c>
      <c r="L407" s="9" t="s">
        <v>30</v>
      </c>
      <c r="M407" s="9" t="s">
        <v>31</v>
      </c>
      <c r="N407" s="9" t="s">
        <v>32</v>
      </c>
      <c r="O407" s="12" t="s">
        <v>33</v>
      </c>
      <c r="P407" s="12" t="s">
        <v>34</v>
      </c>
      <c r="Q407" s="9"/>
      <c r="R407" s="18"/>
      <c r="S407" s="18"/>
      <c r="T407" s="18"/>
      <c r="U407" s="18"/>
      <c r="V407" s="18"/>
      <c r="W407" s="15"/>
      <c r="X407" s="15"/>
    </row>
    <row r="408">
      <c r="A408" s="7">
        <v>407.0</v>
      </c>
      <c r="B408" s="8" t="s">
        <v>1886</v>
      </c>
      <c r="C408" s="9" t="s">
        <v>1887</v>
      </c>
      <c r="D408" s="10" t="str">
        <f>HYPERLINK("https://facebook.com/367089020688300_447395002657701", "367089020688300_447395002657701")</f>
        <v>367089020688300_447395002657701</v>
      </c>
      <c r="E408" s="11">
        <v>442.0</v>
      </c>
      <c r="F408" s="11">
        <v>16.0</v>
      </c>
      <c r="G408" s="11">
        <v>345.0</v>
      </c>
      <c r="H408" s="9" t="s">
        <v>26</v>
      </c>
      <c r="I408" s="9" t="s">
        <v>1888</v>
      </c>
      <c r="J408" s="9" t="s">
        <v>1889</v>
      </c>
      <c r="K408" s="9" t="s">
        <v>1890</v>
      </c>
      <c r="L408" s="9" t="s">
        <v>30</v>
      </c>
      <c r="M408" s="9" t="s">
        <v>31</v>
      </c>
      <c r="N408" s="9" t="s">
        <v>32</v>
      </c>
      <c r="O408" s="12" t="s">
        <v>33</v>
      </c>
      <c r="P408" s="12" t="s">
        <v>34</v>
      </c>
      <c r="Q408" s="9"/>
      <c r="R408" s="18"/>
      <c r="S408" s="18"/>
      <c r="T408" s="18"/>
      <c r="U408" s="18"/>
      <c r="V408" s="18"/>
      <c r="W408" s="15"/>
      <c r="X408" s="15"/>
    </row>
    <row r="409">
      <c r="A409" s="7">
        <v>408.0</v>
      </c>
      <c r="B409" s="8" t="s">
        <v>1891</v>
      </c>
      <c r="C409" s="9" t="s">
        <v>1892</v>
      </c>
      <c r="D409" s="10" t="str">
        <f>HYPERLINK("https://facebook.com/367089020688300_553569918706875", "367089020688300_553569918706875")</f>
        <v>367089020688300_553569918706875</v>
      </c>
      <c r="E409" s="11">
        <v>17.0</v>
      </c>
      <c r="F409" s="11">
        <v>0.0</v>
      </c>
      <c r="G409" s="11">
        <v>11.0</v>
      </c>
      <c r="H409" s="9" t="s">
        <v>26</v>
      </c>
      <c r="I409" s="9" t="s">
        <v>1893</v>
      </c>
      <c r="J409" s="16" t="s">
        <v>1894</v>
      </c>
      <c r="K409" s="9"/>
      <c r="L409" s="9" t="s">
        <v>30</v>
      </c>
      <c r="M409" s="9" t="s">
        <v>31</v>
      </c>
      <c r="N409" s="9" t="s">
        <v>32</v>
      </c>
      <c r="O409" s="12" t="s">
        <v>33</v>
      </c>
      <c r="P409" s="12" t="s">
        <v>34</v>
      </c>
      <c r="Q409" s="9"/>
      <c r="R409" s="18"/>
      <c r="S409" s="18"/>
      <c r="T409" s="18"/>
      <c r="U409" s="18"/>
      <c r="V409" s="18"/>
      <c r="W409" s="15"/>
      <c r="X409" s="15"/>
    </row>
    <row r="410">
      <c r="A410" s="7">
        <v>409.0</v>
      </c>
      <c r="B410" s="8" t="s">
        <v>1895</v>
      </c>
      <c r="C410" s="9" t="s">
        <v>1896</v>
      </c>
      <c r="D410" s="10" t="str">
        <f>HYPERLINK("https://facebook.com/367089020688300_527435534653647", "367089020688300_527435534653647")</f>
        <v>367089020688300_527435534653647</v>
      </c>
      <c r="E410" s="11">
        <v>70.0</v>
      </c>
      <c r="F410" s="11">
        <v>1.0</v>
      </c>
      <c r="G410" s="11">
        <v>62.0</v>
      </c>
      <c r="H410" s="9" t="s">
        <v>26</v>
      </c>
      <c r="I410" s="9" t="s">
        <v>1897</v>
      </c>
      <c r="J410" s="9" t="s">
        <v>1898</v>
      </c>
      <c r="K410" s="9" t="s">
        <v>1899</v>
      </c>
      <c r="L410" s="9" t="s">
        <v>30</v>
      </c>
      <c r="M410" s="9" t="s">
        <v>31</v>
      </c>
      <c r="N410" s="9" t="s">
        <v>32</v>
      </c>
      <c r="O410" s="12" t="s">
        <v>33</v>
      </c>
      <c r="P410" s="12" t="s">
        <v>34</v>
      </c>
      <c r="Q410" s="9"/>
      <c r="R410" s="18"/>
      <c r="S410" s="18"/>
      <c r="T410" s="18"/>
      <c r="U410" s="18"/>
      <c r="V410" s="18"/>
      <c r="W410" s="15"/>
      <c r="X410" s="15"/>
    </row>
    <row r="411">
      <c r="A411" s="7">
        <v>410.0</v>
      </c>
      <c r="B411" s="8" t="s">
        <v>1900</v>
      </c>
      <c r="C411" s="9" t="s">
        <v>1901</v>
      </c>
      <c r="D411" s="10" t="str">
        <f>HYPERLINK("https://facebook.com/367089020688300_551621245568409", "367089020688300_551621245568409")</f>
        <v>367089020688300_551621245568409</v>
      </c>
      <c r="E411" s="11">
        <v>6.0</v>
      </c>
      <c r="F411" s="11">
        <v>0.0</v>
      </c>
      <c r="G411" s="11">
        <v>0.0</v>
      </c>
      <c r="H411" s="9" t="s">
        <v>26</v>
      </c>
      <c r="I411" s="9" t="s">
        <v>1902</v>
      </c>
      <c r="J411" s="16" t="s">
        <v>1903</v>
      </c>
      <c r="K411" s="9"/>
      <c r="L411" s="9" t="s">
        <v>30</v>
      </c>
      <c r="M411" s="9" t="s">
        <v>31</v>
      </c>
      <c r="N411" s="9" t="s">
        <v>32</v>
      </c>
      <c r="O411" s="12" t="s">
        <v>33</v>
      </c>
      <c r="P411" s="12" t="s">
        <v>34</v>
      </c>
      <c r="Q411" s="9"/>
      <c r="R411" s="18"/>
      <c r="S411" s="18"/>
      <c r="T411" s="18"/>
      <c r="U411" s="18"/>
      <c r="V411" s="18"/>
      <c r="W411" s="15"/>
      <c r="X411" s="15"/>
    </row>
    <row r="412">
      <c r="A412" s="7">
        <v>411.0</v>
      </c>
      <c r="B412" s="8" t="s">
        <v>1904</v>
      </c>
      <c r="C412" s="9" t="s">
        <v>1905</v>
      </c>
      <c r="D412" s="10" t="str">
        <f>HYPERLINK("https://facebook.com/367089020688300_535682483828952", "367089020688300_535682483828952")</f>
        <v>367089020688300_535682483828952</v>
      </c>
      <c r="E412" s="11">
        <v>28.0</v>
      </c>
      <c r="F412" s="11">
        <v>0.0</v>
      </c>
      <c r="G412" s="11">
        <v>13.0</v>
      </c>
      <c r="H412" s="9" t="s">
        <v>26</v>
      </c>
      <c r="I412" s="9" t="s">
        <v>1906</v>
      </c>
      <c r="J412" s="16" t="s">
        <v>1907</v>
      </c>
      <c r="K412" s="9"/>
      <c r="L412" s="9" t="s">
        <v>30</v>
      </c>
      <c r="M412" s="9" t="s">
        <v>31</v>
      </c>
      <c r="N412" s="9" t="s">
        <v>32</v>
      </c>
      <c r="O412" s="12" t="s">
        <v>33</v>
      </c>
      <c r="P412" s="12" t="s">
        <v>34</v>
      </c>
      <c r="Q412" s="9"/>
      <c r="R412" s="18"/>
      <c r="S412" s="18"/>
      <c r="T412" s="18"/>
      <c r="U412" s="18"/>
      <c r="V412" s="18"/>
      <c r="W412" s="15"/>
      <c r="X412" s="15"/>
    </row>
    <row r="413">
      <c r="A413" s="7">
        <v>412.0</v>
      </c>
      <c r="B413" s="8" t="s">
        <v>1908</v>
      </c>
      <c r="C413" s="9" t="s">
        <v>1909</v>
      </c>
      <c r="D413" s="10" t="str">
        <f>HYPERLINK("https://facebook.com/367089020688300_376238939773308", "367089020688300_376238939773308")</f>
        <v>367089020688300_376238939773308</v>
      </c>
      <c r="E413" s="11">
        <v>563.0</v>
      </c>
      <c r="F413" s="11">
        <v>11.0</v>
      </c>
      <c r="G413" s="11">
        <v>490.0</v>
      </c>
      <c r="H413" s="9" t="s">
        <v>26</v>
      </c>
      <c r="I413" s="9" t="s">
        <v>107</v>
      </c>
      <c r="J413" s="9" t="s">
        <v>108</v>
      </c>
      <c r="K413" s="9" t="s">
        <v>249</v>
      </c>
      <c r="L413" s="9" t="s">
        <v>30</v>
      </c>
      <c r="M413" s="9" t="s">
        <v>31</v>
      </c>
      <c r="N413" s="9" t="s">
        <v>32</v>
      </c>
      <c r="O413" s="12" t="s">
        <v>33</v>
      </c>
      <c r="P413" s="12" t="s">
        <v>34</v>
      </c>
      <c r="Q413" s="9"/>
      <c r="R413" s="18"/>
      <c r="S413" s="18"/>
      <c r="T413" s="18"/>
      <c r="U413" s="18"/>
      <c r="V413" s="18"/>
      <c r="W413" s="15"/>
      <c r="X413" s="15"/>
    </row>
    <row r="414">
      <c r="A414" s="7">
        <v>413.0</v>
      </c>
      <c r="B414" s="8" t="s">
        <v>1910</v>
      </c>
      <c r="C414" s="9" t="s">
        <v>1911</v>
      </c>
      <c r="D414" s="10" t="str">
        <f>HYPERLINK("https://facebook.com/367089020688300_497806504283217", "367089020688300_497806504283217")</f>
        <v>367089020688300_497806504283217</v>
      </c>
      <c r="E414" s="11">
        <v>144.0</v>
      </c>
      <c r="F414" s="11">
        <v>0.0</v>
      </c>
      <c r="G414" s="11">
        <v>99.0</v>
      </c>
      <c r="H414" s="9" t="s">
        <v>26</v>
      </c>
      <c r="I414" s="9" t="s">
        <v>1912</v>
      </c>
      <c r="J414" s="9" t="s">
        <v>1913</v>
      </c>
      <c r="K414" s="9" t="s">
        <v>1914</v>
      </c>
      <c r="L414" s="9" t="s">
        <v>30</v>
      </c>
      <c r="M414" s="9" t="s">
        <v>31</v>
      </c>
      <c r="N414" s="9" t="s">
        <v>32</v>
      </c>
      <c r="O414" s="12" t="s">
        <v>33</v>
      </c>
      <c r="P414" s="12" t="s">
        <v>34</v>
      </c>
      <c r="Q414" s="9"/>
      <c r="R414" s="18"/>
      <c r="S414" s="18"/>
      <c r="T414" s="18"/>
      <c r="U414" s="18"/>
      <c r="V414" s="18"/>
      <c r="W414" s="15"/>
      <c r="X414" s="15"/>
    </row>
    <row r="415">
      <c r="A415" s="7">
        <v>414.0</v>
      </c>
      <c r="B415" s="8" t="s">
        <v>1915</v>
      </c>
      <c r="C415" s="9" t="s">
        <v>1916</v>
      </c>
      <c r="D415" s="10" t="str">
        <f>HYPERLINK("https://facebook.com/367089020688300_514508645946336", "367089020688300_514508645946336")</f>
        <v>367089020688300_514508645946336</v>
      </c>
      <c r="E415" s="11">
        <v>204.0</v>
      </c>
      <c r="F415" s="11">
        <v>2.0</v>
      </c>
      <c r="G415" s="11">
        <v>206.0</v>
      </c>
      <c r="H415" s="9" t="s">
        <v>26</v>
      </c>
      <c r="I415" s="9" t="s">
        <v>1917</v>
      </c>
      <c r="J415" s="9" t="s">
        <v>1918</v>
      </c>
      <c r="K415" s="9" t="s">
        <v>1919</v>
      </c>
      <c r="L415" s="9" t="s">
        <v>30</v>
      </c>
      <c r="M415" s="9" t="s">
        <v>31</v>
      </c>
      <c r="N415" s="9" t="s">
        <v>32</v>
      </c>
      <c r="O415" s="12" t="s">
        <v>33</v>
      </c>
      <c r="P415" s="12" t="s">
        <v>34</v>
      </c>
      <c r="Q415" s="9"/>
      <c r="R415" s="18"/>
      <c r="S415" s="18"/>
      <c r="T415" s="18"/>
      <c r="U415" s="18"/>
      <c r="V415" s="18"/>
      <c r="W415" s="15"/>
      <c r="X415" s="15"/>
    </row>
    <row r="416">
      <c r="A416" s="7">
        <v>415.0</v>
      </c>
      <c r="B416" s="8" t="s">
        <v>1920</v>
      </c>
      <c r="C416" s="9" t="s">
        <v>1921</v>
      </c>
      <c r="D416" s="10" t="str">
        <f>HYPERLINK("https://facebook.com/367089020688300_407316943332174", "367089020688300_407316943332174")</f>
        <v>367089020688300_407316943332174</v>
      </c>
      <c r="E416" s="11">
        <v>1024.0</v>
      </c>
      <c r="F416" s="11">
        <v>48.0</v>
      </c>
      <c r="G416" s="11">
        <v>872.0</v>
      </c>
      <c r="H416" s="9" t="s">
        <v>26</v>
      </c>
      <c r="I416" s="9" t="s">
        <v>1922</v>
      </c>
      <c r="J416" s="9" t="s">
        <v>1923</v>
      </c>
      <c r="K416" s="9" t="s">
        <v>1924</v>
      </c>
      <c r="L416" s="9" t="s">
        <v>30</v>
      </c>
      <c r="M416" s="9" t="s">
        <v>31</v>
      </c>
      <c r="N416" s="9" t="s">
        <v>32</v>
      </c>
      <c r="O416" s="12" t="s">
        <v>33</v>
      </c>
      <c r="P416" s="12" t="s">
        <v>34</v>
      </c>
      <c r="Q416" s="9"/>
      <c r="R416" s="18"/>
      <c r="S416" s="18"/>
      <c r="T416" s="18"/>
      <c r="U416" s="18"/>
      <c r="V416" s="18"/>
      <c r="W416" s="15"/>
      <c r="X416" s="15"/>
    </row>
    <row r="417">
      <c r="A417" s="7">
        <v>416.0</v>
      </c>
      <c r="B417" s="8" t="s">
        <v>1925</v>
      </c>
      <c r="C417" s="9" t="s">
        <v>1926</v>
      </c>
      <c r="D417" s="10" t="str">
        <f>HYPERLINK("https://facebook.com/367089020688300_510584729672061", "367089020688300_510584729672061")</f>
        <v>367089020688300_510584729672061</v>
      </c>
      <c r="E417" s="11">
        <v>654.0</v>
      </c>
      <c r="F417" s="11">
        <v>24.0</v>
      </c>
      <c r="G417" s="11">
        <v>607.0</v>
      </c>
      <c r="H417" s="9" t="s">
        <v>26</v>
      </c>
      <c r="I417" s="9" t="s">
        <v>1927</v>
      </c>
      <c r="J417" s="9" t="s">
        <v>1928</v>
      </c>
      <c r="K417" s="9" t="s">
        <v>1929</v>
      </c>
      <c r="L417" s="9" t="s">
        <v>30</v>
      </c>
      <c r="M417" s="9" t="s">
        <v>31</v>
      </c>
      <c r="N417" s="9" t="s">
        <v>32</v>
      </c>
      <c r="O417" s="12" t="s">
        <v>33</v>
      </c>
      <c r="P417" s="12" t="s">
        <v>34</v>
      </c>
      <c r="Q417" s="9"/>
      <c r="R417" s="18"/>
      <c r="S417" s="18"/>
      <c r="T417" s="18"/>
      <c r="U417" s="18"/>
      <c r="V417" s="18"/>
      <c r="W417" s="15"/>
      <c r="X417" s="15"/>
    </row>
    <row r="418">
      <c r="A418" s="7">
        <v>417.0</v>
      </c>
      <c r="B418" s="8" t="s">
        <v>1930</v>
      </c>
      <c r="C418" s="9" t="s">
        <v>1931</v>
      </c>
      <c r="D418" s="10" t="str">
        <f>HYPERLINK("https://facebook.com/367089020688300_540103663386834", "367089020688300_540103663386834")</f>
        <v>367089020688300_540103663386834</v>
      </c>
      <c r="E418" s="11">
        <v>65.0</v>
      </c>
      <c r="F418" s="11">
        <v>1.0</v>
      </c>
      <c r="G418" s="11">
        <v>72.0</v>
      </c>
      <c r="H418" s="9" t="s">
        <v>26</v>
      </c>
      <c r="I418" s="9" t="s">
        <v>1932</v>
      </c>
      <c r="J418" s="9" t="s">
        <v>1933</v>
      </c>
      <c r="K418" s="9" t="s">
        <v>1934</v>
      </c>
      <c r="L418" s="9" t="s">
        <v>30</v>
      </c>
      <c r="M418" s="9" t="s">
        <v>31</v>
      </c>
      <c r="N418" s="9" t="s">
        <v>32</v>
      </c>
      <c r="O418" s="12" t="s">
        <v>33</v>
      </c>
      <c r="P418" s="12" t="s">
        <v>34</v>
      </c>
      <c r="Q418" s="9"/>
      <c r="R418" s="18"/>
      <c r="S418" s="18"/>
      <c r="T418" s="18"/>
      <c r="U418" s="18"/>
      <c r="V418" s="18"/>
      <c r="W418" s="15"/>
      <c r="X418" s="15"/>
    </row>
    <row r="419">
      <c r="A419" s="7">
        <v>418.0</v>
      </c>
      <c r="B419" s="8" t="s">
        <v>1935</v>
      </c>
      <c r="C419" s="9" t="s">
        <v>1936</v>
      </c>
      <c r="D419" s="10" t="str">
        <f>HYPERLINK("https://facebook.com/367089020688300_397710724292796", "367089020688300_397710724292796")</f>
        <v>367089020688300_397710724292796</v>
      </c>
      <c r="E419" s="11">
        <v>886.0</v>
      </c>
      <c r="F419" s="11">
        <v>41.0</v>
      </c>
      <c r="G419" s="11">
        <v>918.0</v>
      </c>
      <c r="H419" s="9" t="s">
        <v>26</v>
      </c>
      <c r="I419" s="9" t="s">
        <v>1937</v>
      </c>
      <c r="J419" s="9" t="s">
        <v>1938</v>
      </c>
      <c r="K419" s="9" t="s">
        <v>476</v>
      </c>
      <c r="L419" s="9" t="s">
        <v>30</v>
      </c>
      <c r="M419" s="9" t="s">
        <v>31</v>
      </c>
      <c r="N419" s="9" t="s">
        <v>32</v>
      </c>
      <c r="O419" s="12" t="s">
        <v>33</v>
      </c>
      <c r="P419" s="12" t="s">
        <v>34</v>
      </c>
      <c r="Q419" s="9"/>
      <c r="R419" s="18"/>
      <c r="S419" s="18"/>
      <c r="T419" s="18"/>
      <c r="U419" s="18"/>
      <c r="V419" s="18"/>
      <c r="W419" s="15"/>
      <c r="X419" s="15"/>
    </row>
    <row r="420">
      <c r="A420" s="7">
        <v>419.0</v>
      </c>
      <c r="B420" s="8" t="s">
        <v>1939</v>
      </c>
      <c r="C420" s="9" t="s">
        <v>1940</v>
      </c>
      <c r="D420" s="10" t="str">
        <f>HYPERLINK("https://facebook.com/367089020688300_389589695104899", "367089020688300_389589695104899")</f>
        <v>367089020688300_389589695104899</v>
      </c>
      <c r="E420" s="11">
        <v>1365.0</v>
      </c>
      <c r="F420" s="11">
        <v>324.0</v>
      </c>
      <c r="G420" s="11">
        <v>411.0</v>
      </c>
      <c r="H420" s="9" t="s">
        <v>26</v>
      </c>
      <c r="I420" s="9" t="s">
        <v>54</v>
      </c>
      <c r="J420" s="9" t="s">
        <v>55</v>
      </c>
      <c r="K420" s="9" t="s">
        <v>1941</v>
      </c>
      <c r="L420" s="9" t="s">
        <v>30</v>
      </c>
      <c r="M420" s="9" t="s">
        <v>31</v>
      </c>
      <c r="N420" s="9" t="s">
        <v>32</v>
      </c>
      <c r="O420" s="12" t="s">
        <v>33</v>
      </c>
      <c r="P420" s="12" t="s">
        <v>34</v>
      </c>
      <c r="Q420" s="9"/>
      <c r="R420" s="18"/>
      <c r="S420" s="18"/>
      <c r="T420" s="18"/>
      <c r="U420" s="18"/>
      <c r="V420" s="18"/>
      <c r="W420" s="15"/>
      <c r="X420" s="15"/>
    </row>
    <row r="421">
      <c r="A421" s="7">
        <v>420.0</v>
      </c>
      <c r="B421" s="8" t="s">
        <v>1942</v>
      </c>
      <c r="C421" s="9" t="s">
        <v>1943</v>
      </c>
      <c r="D421" s="10" t="str">
        <f>HYPERLINK("https://facebook.com/367089020688300_552632532133947", "367089020688300_552632532133947")</f>
        <v>367089020688300_552632532133947</v>
      </c>
      <c r="E421" s="11">
        <v>14.0</v>
      </c>
      <c r="F421" s="11">
        <v>0.0</v>
      </c>
      <c r="G421" s="11">
        <v>3.0</v>
      </c>
      <c r="H421" s="9" t="s">
        <v>26</v>
      </c>
      <c r="I421" s="9" t="s">
        <v>1944</v>
      </c>
      <c r="J421" s="9" t="s">
        <v>1945</v>
      </c>
      <c r="K421" s="9" t="s">
        <v>219</v>
      </c>
      <c r="L421" s="9" t="s">
        <v>30</v>
      </c>
      <c r="M421" s="9" t="s">
        <v>31</v>
      </c>
      <c r="N421" s="9" t="s">
        <v>32</v>
      </c>
      <c r="O421" s="12" t="s">
        <v>33</v>
      </c>
      <c r="P421" s="12" t="s">
        <v>34</v>
      </c>
      <c r="Q421" s="9"/>
      <c r="R421" s="18"/>
      <c r="S421" s="18"/>
      <c r="T421" s="18"/>
      <c r="U421" s="18"/>
      <c r="V421" s="18"/>
      <c r="W421" s="15"/>
      <c r="X421" s="15"/>
    </row>
    <row r="422">
      <c r="A422" s="7">
        <v>421.0</v>
      </c>
      <c r="B422" s="8" t="s">
        <v>1946</v>
      </c>
      <c r="C422" s="9" t="s">
        <v>1947</v>
      </c>
      <c r="D422" s="10" t="str">
        <f>HYPERLINK("https://facebook.com/367089020688300_555764321820768", "367089020688300_555764321820768")</f>
        <v>367089020688300_555764321820768</v>
      </c>
      <c r="E422" s="11">
        <v>93.0</v>
      </c>
      <c r="F422" s="11">
        <v>0.0</v>
      </c>
      <c r="G422" s="11">
        <v>135.0</v>
      </c>
      <c r="H422" s="9" t="s">
        <v>26</v>
      </c>
      <c r="I422" s="9" t="s">
        <v>1948</v>
      </c>
      <c r="J422" s="16" t="s">
        <v>1949</v>
      </c>
      <c r="K422" s="9"/>
      <c r="L422" s="9" t="s">
        <v>30</v>
      </c>
      <c r="M422" s="9" t="s">
        <v>31</v>
      </c>
      <c r="N422" s="9" t="s">
        <v>32</v>
      </c>
      <c r="O422" s="12" t="s">
        <v>33</v>
      </c>
      <c r="P422" s="12" t="s">
        <v>34</v>
      </c>
      <c r="Q422" s="9"/>
      <c r="R422" s="18"/>
      <c r="S422" s="18"/>
      <c r="T422" s="18"/>
      <c r="U422" s="18"/>
      <c r="V422" s="18"/>
      <c r="W422" s="15"/>
      <c r="X422" s="15"/>
    </row>
    <row r="423">
      <c r="A423" s="7">
        <v>422.0</v>
      </c>
      <c r="B423" s="8" t="s">
        <v>1950</v>
      </c>
      <c r="C423" s="9" t="s">
        <v>1951</v>
      </c>
      <c r="D423" s="10" t="str">
        <f>HYPERLINK("https://facebook.com/367089020688300_559617064768827", "367089020688300_559617064768827")</f>
        <v>367089020688300_559617064768827</v>
      </c>
      <c r="E423" s="11">
        <v>19.0</v>
      </c>
      <c r="F423" s="11">
        <v>0.0</v>
      </c>
      <c r="G423" s="11">
        <v>19.0</v>
      </c>
      <c r="H423" s="9" t="s">
        <v>26</v>
      </c>
      <c r="I423" s="9" t="s">
        <v>1104</v>
      </c>
      <c r="J423" s="16" t="s">
        <v>1952</v>
      </c>
      <c r="K423" s="9"/>
      <c r="L423" s="9" t="s">
        <v>30</v>
      </c>
      <c r="M423" s="9" t="s">
        <v>31</v>
      </c>
      <c r="N423" s="9" t="s">
        <v>32</v>
      </c>
      <c r="O423" s="12" t="s">
        <v>33</v>
      </c>
      <c r="P423" s="12" t="s">
        <v>34</v>
      </c>
      <c r="Q423" s="9"/>
      <c r="R423" s="18"/>
      <c r="S423" s="18"/>
      <c r="T423" s="18"/>
      <c r="U423" s="18"/>
      <c r="V423" s="18"/>
      <c r="W423" s="15"/>
      <c r="X423" s="15"/>
    </row>
    <row r="424">
      <c r="A424" s="7">
        <v>423.0</v>
      </c>
      <c r="B424" s="8" t="s">
        <v>1953</v>
      </c>
      <c r="C424" s="9" t="s">
        <v>1954</v>
      </c>
      <c r="D424" s="10" t="str">
        <f>HYPERLINK("https://facebook.com/367089020688300_558719454858588", "367089020688300_558719454858588")</f>
        <v>367089020688300_558719454858588</v>
      </c>
      <c r="E424" s="11">
        <v>109.0</v>
      </c>
      <c r="F424" s="11">
        <v>1.0</v>
      </c>
      <c r="G424" s="11">
        <v>156.0</v>
      </c>
      <c r="H424" s="9" t="s">
        <v>26</v>
      </c>
      <c r="I424" s="9" t="s">
        <v>1955</v>
      </c>
      <c r="J424" s="9" t="s">
        <v>1956</v>
      </c>
      <c r="K424" s="9" t="s">
        <v>1957</v>
      </c>
      <c r="L424" s="9" t="s">
        <v>30</v>
      </c>
      <c r="M424" s="9" t="s">
        <v>31</v>
      </c>
      <c r="N424" s="9" t="s">
        <v>32</v>
      </c>
      <c r="O424" s="12" t="s">
        <v>33</v>
      </c>
      <c r="P424" s="12" t="s">
        <v>34</v>
      </c>
      <c r="Q424" s="9"/>
      <c r="R424" s="18"/>
      <c r="S424" s="18"/>
      <c r="T424" s="18"/>
      <c r="U424" s="18"/>
      <c r="V424" s="18"/>
      <c r="W424" s="15"/>
      <c r="X424" s="15"/>
    </row>
    <row r="425">
      <c r="A425" s="7">
        <v>424.0</v>
      </c>
      <c r="B425" s="8" t="s">
        <v>1958</v>
      </c>
      <c r="C425" s="9" t="s">
        <v>1959</v>
      </c>
      <c r="D425" s="10" t="str">
        <f>HYPERLINK("https://facebook.com/367089020688300_475594239837777", "367089020688300_475594239837777")</f>
        <v>367089020688300_475594239837777</v>
      </c>
      <c r="E425" s="11">
        <v>408.0</v>
      </c>
      <c r="F425" s="11">
        <v>7.0</v>
      </c>
      <c r="G425" s="11">
        <v>271.0</v>
      </c>
      <c r="H425" s="9" t="s">
        <v>26</v>
      </c>
      <c r="I425" s="9" t="s">
        <v>1960</v>
      </c>
      <c r="J425" s="9" t="s">
        <v>1961</v>
      </c>
      <c r="K425" s="9" t="s">
        <v>1962</v>
      </c>
      <c r="L425" s="9" t="s">
        <v>30</v>
      </c>
      <c r="M425" s="9" t="s">
        <v>31</v>
      </c>
      <c r="N425" s="9" t="s">
        <v>32</v>
      </c>
      <c r="O425" s="12" t="s">
        <v>33</v>
      </c>
      <c r="P425" s="12" t="s">
        <v>34</v>
      </c>
      <c r="Q425" s="9"/>
      <c r="R425" s="18"/>
      <c r="S425" s="18"/>
      <c r="T425" s="18"/>
      <c r="U425" s="18"/>
      <c r="V425" s="18"/>
      <c r="W425" s="15"/>
      <c r="X425" s="15"/>
    </row>
    <row r="426">
      <c r="A426" s="7">
        <v>425.0</v>
      </c>
      <c r="B426" s="8" t="s">
        <v>1963</v>
      </c>
      <c r="C426" s="9" t="s">
        <v>1964</v>
      </c>
      <c r="D426" s="10" t="str">
        <f>HYPERLINK("https://facebook.com/367089020688300_519847782079089", "367089020688300_519847782079089")</f>
        <v>367089020688300_519847782079089</v>
      </c>
      <c r="E426" s="11">
        <v>231.0</v>
      </c>
      <c r="F426" s="11">
        <v>8.0</v>
      </c>
      <c r="G426" s="11">
        <v>171.0</v>
      </c>
      <c r="H426" s="9" t="s">
        <v>26</v>
      </c>
      <c r="I426" s="9" t="s">
        <v>1965</v>
      </c>
      <c r="J426" s="9" t="s">
        <v>1966</v>
      </c>
      <c r="K426" s="9" t="s">
        <v>476</v>
      </c>
      <c r="L426" s="9" t="s">
        <v>30</v>
      </c>
      <c r="M426" s="9" t="s">
        <v>31</v>
      </c>
      <c r="N426" s="9" t="s">
        <v>32</v>
      </c>
      <c r="O426" s="12" t="s">
        <v>33</v>
      </c>
      <c r="P426" s="12" t="s">
        <v>34</v>
      </c>
      <c r="Q426" s="9"/>
      <c r="R426" s="18"/>
      <c r="S426" s="18"/>
      <c r="T426" s="18"/>
      <c r="U426" s="18"/>
      <c r="V426" s="18"/>
      <c r="W426" s="15"/>
      <c r="X426" s="15"/>
    </row>
    <row r="427">
      <c r="A427" s="7">
        <v>426.0</v>
      </c>
      <c r="B427" s="8" t="s">
        <v>1967</v>
      </c>
      <c r="C427" s="9" t="s">
        <v>1968</v>
      </c>
      <c r="D427" s="10" t="str">
        <f>HYPERLINK("https://facebook.com/367089020688300_547038922693308", "367089020688300_547038922693308")</f>
        <v>367089020688300_547038922693308</v>
      </c>
      <c r="E427" s="11">
        <v>70.0</v>
      </c>
      <c r="F427" s="11">
        <v>1.0</v>
      </c>
      <c r="G427" s="11">
        <v>75.0</v>
      </c>
      <c r="H427" s="9" t="s">
        <v>26</v>
      </c>
      <c r="I427" s="9" t="s">
        <v>1969</v>
      </c>
      <c r="J427" s="9" t="s">
        <v>1970</v>
      </c>
      <c r="K427" s="9" t="s">
        <v>663</v>
      </c>
      <c r="L427" s="9" t="s">
        <v>30</v>
      </c>
      <c r="M427" s="9" t="s">
        <v>31</v>
      </c>
      <c r="N427" s="9" t="s">
        <v>32</v>
      </c>
      <c r="O427" s="12" t="s">
        <v>33</v>
      </c>
      <c r="P427" s="12" t="s">
        <v>34</v>
      </c>
      <c r="Q427" s="9"/>
      <c r="R427" s="18"/>
      <c r="S427" s="18"/>
      <c r="T427" s="18"/>
      <c r="U427" s="18"/>
      <c r="V427" s="18"/>
      <c r="W427" s="15"/>
      <c r="X427" s="15"/>
    </row>
    <row r="428">
      <c r="A428" s="7">
        <v>427.0</v>
      </c>
      <c r="B428" s="8" t="s">
        <v>1971</v>
      </c>
      <c r="C428" s="9" t="s">
        <v>1972</v>
      </c>
      <c r="D428" s="10" t="str">
        <f>HYPERLINK("https://facebook.com/367089020688300_562976304432903", "367089020688300_562976304432903")</f>
        <v>367089020688300_562976304432903</v>
      </c>
      <c r="E428" s="11">
        <v>8.0</v>
      </c>
      <c r="F428" s="11">
        <v>0.0</v>
      </c>
      <c r="G428" s="11">
        <v>10.0</v>
      </c>
      <c r="H428" s="9" t="s">
        <v>26</v>
      </c>
      <c r="I428" s="9" t="s">
        <v>1973</v>
      </c>
      <c r="J428" s="16" t="s">
        <v>1974</v>
      </c>
      <c r="K428" s="9"/>
      <c r="L428" s="9" t="s">
        <v>30</v>
      </c>
      <c r="M428" s="9" t="s">
        <v>31</v>
      </c>
      <c r="N428" s="9" t="s">
        <v>32</v>
      </c>
      <c r="O428" s="12" t="s">
        <v>33</v>
      </c>
      <c r="P428" s="12" t="s">
        <v>34</v>
      </c>
      <c r="Q428" s="9"/>
      <c r="R428" s="18"/>
      <c r="S428" s="18"/>
      <c r="T428" s="18"/>
      <c r="U428" s="18"/>
      <c r="V428" s="18"/>
      <c r="W428" s="15"/>
      <c r="X428" s="15"/>
    </row>
    <row r="429">
      <c r="A429" s="7">
        <v>428.0</v>
      </c>
      <c r="B429" s="8" t="s">
        <v>1975</v>
      </c>
      <c r="C429" s="9" t="s">
        <v>1976</v>
      </c>
      <c r="D429" s="10" t="str">
        <f>HYPERLINK("https://facebook.com/367089020688300_453817765348758", "367089020688300_453817765348758")</f>
        <v>367089020688300_453817765348758</v>
      </c>
      <c r="E429" s="11">
        <v>1237.0</v>
      </c>
      <c r="F429" s="11">
        <v>8.0</v>
      </c>
      <c r="G429" s="11">
        <v>825.0</v>
      </c>
      <c r="H429" s="9" t="s">
        <v>26</v>
      </c>
      <c r="I429" s="9" t="s">
        <v>81</v>
      </c>
      <c r="J429" s="9" t="s">
        <v>1977</v>
      </c>
      <c r="K429" s="9" t="s">
        <v>249</v>
      </c>
      <c r="L429" s="9" t="s">
        <v>30</v>
      </c>
      <c r="M429" s="9" t="s">
        <v>31</v>
      </c>
      <c r="N429" s="9" t="s">
        <v>32</v>
      </c>
      <c r="O429" s="12" t="s">
        <v>33</v>
      </c>
      <c r="P429" s="12" t="s">
        <v>34</v>
      </c>
      <c r="Q429" s="9"/>
      <c r="R429" s="18"/>
      <c r="S429" s="18"/>
      <c r="T429" s="18"/>
      <c r="U429" s="18"/>
      <c r="V429" s="18"/>
      <c r="W429" s="15"/>
      <c r="X429" s="15"/>
    </row>
    <row r="430">
      <c r="A430" s="7">
        <v>429.0</v>
      </c>
      <c r="B430" s="8" t="s">
        <v>1978</v>
      </c>
      <c r="C430" s="9" t="s">
        <v>1979</v>
      </c>
      <c r="D430" s="10" t="str">
        <f>HYPERLINK("https://facebook.com/367089020688300_555979445132589", "367089020688300_555979445132589")</f>
        <v>367089020688300_555979445132589</v>
      </c>
      <c r="E430" s="11">
        <v>78.0</v>
      </c>
      <c r="F430" s="11">
        <v>3.0</v>
      </c>
      <c r="G430" s="11">
        <v>52.0</v>
      </c>
      <c r="H430" s="9" t="s">
        <v>26</v>
      </c>
      <c r="I430" s="9" t="s">
        <v>1980</v>
      </c>
      <c r="J430" s="16" t="s">
        <v>1981</v>
      </c>
      <c r="K430" s="9"/>
      <c r="L430" s="9" t="s">
        <v>30</v>
      </c>
      <c r="M430" s="9" t="s">
        <v>31</v>
      </c>
      <c r="N430" s="9" t="s">
        <v>32</v>
      </c>
      <c r="O430" s="12" t="s">
        <v>33</v>
      </c>
      <c r="P430" s="12" t="s">
        <v>34</v>
      </c>
      <c r="Q430" s="9"/>
      <c r="R430" s="18"/>
      <c r="S430" s="18"/>
      <c r="T430" s="18"/>
      <c r="U430" s="18"/>
      <c r="V430" s="18"/>
      <c r="W430" s="15"/>
      <c r="X430" s="15"/>
    </row>
    <row r="431">
      <c r="A431" s="7">
        <v>430.0</v>
      </c>
      <c r="B431" s="8" t="s">
        <v>1982</v>
      </c>
      <c r="C431" s="9" t="s">
        <v>1983</v>
      </c>
      <c r="D431" s="10" t="str">
        <f>HYPERLINK("https://facebook.com/367089020688300_534429233954277", "367089020688300_534429233954277")</f>
        <v>367089020688300_534429233954277</v>
      </c>
      <c r="E431" s="11">
        <v>18.0</v>
      </c>
      <c r="F431" s="11">
        <v>0.0</v>
      </c>
      <c r="G431" s="11">
        <v>12.0</v>
      </c>
      <c r="H431" s="9" t="s">
        <v>26</v>
      </c>
      <c r="I431" s="9" t="s">
        <v>1984</v>
      </c>
      <c r="J431" s="16" t="s">
        <v>1985</v>
      </c>
      <c r="K431" s="9"/>
      <c r="L431" s="9" t="s">
        <v>30</v>
      </c>
      <c r="M431" s="9" t="s">
        <v>31</v>
      </c>
      <c r="N431" s="9" t="s">
        <v>32</v>
      </c>
      <c r="O431" s="12" t="s">
        <v>33</v>
      </c>
      <c r="P431" s="12" t="s">
        <v>34</v>
      </c>
      <c r="Q431" s="9"/>
      <c r="R431" s="18"/>
      <c r="S431" s="18"/>
      <c r="T431" s="18"/>
      <c r="U431" s="18"/>
      <c r="V431" s="18"/>
      <c r="W431" s="15"/>
      <c r="X431" s="15"/>
    </row>
    <row r="432">
      <c r="A432" s="7">
        <v>431.0</v>
      </c>
      <c r="B432" s="8" t="s">
        <v>1986</v>
      </c>
      <c r="C432" s="9" t="s">
        <v>1987</v>
      </c>
      <c r="D432" s="10" t="str">
        <f>HYPERLINK("https://facebook.com/367089020688300_547240722673128", "367089020688300_547240722673128")</f>
        <v>367089020688300_547240722673128</v>
      </c>
      <c r="E432" s="11">
        <v>178.0</v>
      </c>
      <c r="F432" s="11">
        <v>1.0</v>
      </c>
      <c r="G432" s="11">
        <v>116.0</v>
      </c>
      <c r="H432" s="9" t="s">
        <v>26</v>
      </c>
      <c r="I432" s="9" t="s">
        <v>1988</v>
      </c>
      <c r="J432" s="16" t="s">
        <v>1989</v>
      </c>
      <c r="K432" s="9"/>
      <c r="L432" s="9" t="s">
        <v>30</v>
      </c>
      <c r="M432" s="9" t="s">
        <v>31</v>
      </c>
      <c r="N432" s="9" t="s">
        <v>32</v>
      </c>
      <c r="O432" s="12" t="s">
        <v>33</v>
      </c>
      <c r="P432" s="12" t="s">
        <v>34</v>
      </c>
      <c r="Q432" s="9"/>
      <c r="R432" s="18"/>
      <c r="S432" s="18"/>
      <c r="T432" s="18"/>
      <c r="U432" s="18"/>
      <c r="V432" s="18"/>
      <c r="W432" s="15"/>
      <c r="X432" s="15"/>
    </row>
    <row r="433">
      <c r="A433" s="7">
        <v>432.0</v>
      </c>
      <c r="B433" s="8" t="s">
        <v>1990</v>
      </c>
      <c r="C433" s="9" t="s">
        <v>1991</v>
      </c>
      <c r="D433" s="10" t="str">
        <f>HYPERLINK("https://facebook.com/367089020688300_552545838809283", "367089020688300_552545838809283")</f>
        <v>367089020688300_552545838809283</v>
      </c>
      <c r="E433" s="11">
        <v>172.0</v>
      </c>
      <c r="F433" s="11">
        <v>3.0</v>
      </c>
      <c r="G433" s="11">
        <v>414.0</v>
      </c>
      <c r="H433" s="9" t="s">
        <v>26</v>
      </c>
      <c r="I433" s="9" t="s">
        <v>1992</v>
      </c>
      <c r="J433" s="9" t="s">
        <v>1993</v>
      </c>
      <c r="K433" s="9" t="s">
        <v>51</v>
      </c>
      <c r="L433" s="9" t="s">
        <v>30</v>
      </c>
      <c r="M433" s="9" t="s">
        <v>31</v>
      </c>
      <c r="N433" s="9" t="s">
        <v>32</v>
      </c>
      <c r="O433" s="12" t="s">
        <v>33</v>
      </c>
      <c r="P433" s="12" t="s">
        <v>34</v>
      </c>
      <c r="Q433" s="9"/>
      <c r="R433" s="18"/>
      <c r="S433" s="18"/>
      <c r="T433" s="18"/>
      <c r="U433" s="18"/>
      <c r="V433" s="18"/>
      <c r="W433" s="15"/>
      <c r="X433" s="15"/>
    </row>
    <row r="434">
      <c r="A434" s="7">
        <v>433.0</v>
      </c>
      <c r="B434" s="8" t="s">
        <v>1994</v>
      </c>
      <c r="C434" s="9" t="s">
        <v>1995</v>
      </c>
      <c r="D434" s="10" t="str">
        <f>HYPERLINK("https://facebook.com/367089020688300_551728155557718", "367089020688300_551728155557718")</f>
        <v>367089020688300_551728155557718</v>
      </c>
      <c r="E434" s="11">
        <v>36.0</v>
      </c>
      <c r="F434" s="11">
        <v>0.0</v>
      </c>
      <c r="G434" s="11">
        <v>68.0</v>
      </c>
      <c r="H434" s="9" t="s">
        <v>26</v>
      </c>
      <c r="I434" s="9" t="s">
        <v>1996</v>
      </c>
      <c r="J434" s="16" t="s">
        <v>1997</v>
      </c>
      <c r="K434" s="9"/>
      <c r="L434" s="9" t="s">
        <v>30</v>
      </c>
      <c r="M434" s="9" t="s">
        <v>31</v>
      </c>
      <c r="N434" s="9" t="s">
        <v>32</v>
      </c>
      <c r="O434" s="12" t="s">
        <v>33</v>
      </c>
      <c r="P434" s="12" t="s">
        <v>34</v>
      </c>
      <c r="Q434" s="9"/>
      <c r="R434" s="18"/>
      <c r="S434" s="18"/>
      <c r="T434" s="18"/>
      <c r="U434" s="18"/>
      <c r="V434" s="18"/>
      <c r="W434" s="15"/>
      <c r="X434" s="15"/>
    </row>
    <row r="435">
      <c r="A435" s="7">
        <v>434.0</v>
      </c>
      <c r="B435" s="8" t="s">
        <v>1998</v>
      </c>
      <c r="C435" s="9" t="s">
        <v>1999</v>
      </c>
      <c r="D435" s="10" t="str">
        <f>HYPERLINK("https://facebook.com/367089020688300_556314088432458", "367089020688300_556314088432458")</f>
        <v>367089020688300_556314088432458</v>
      </c>
      <c r="E435" s="11">
        <v>40.0</v>
      </c>
      <c r="F435" s="11">
        <v>0.0</v>
      </c>
      <c r="G435" s="11">
        <v>9.0</v>
      </c>
      <c r="H435" s="9" t="s">
        <v>26</v>
      </c>
      <c r="I435" s="9" t="s">
        <v>2000</v>
      </c>
      <c r="J435" s="9" t="s">
        <v>2001</v>
      </c>
      <c r="K435" s="9" t="s">
        <v>1690</v>
      </c>
      <c r="L435" s="9" t="s">
        <v>30</v>
      </c>
      <c r="M435" s="9" t="s">
        <v>31</v>
      </c>
      <c r="N435" s="9" t="s">
        <v>32</v>
      </c>
      <c r="O435" s="12" t="s">
        <v>33</v>
      </c>
      <c r="P435" s="12" t="s">
        <v>34</v>
      </c>
      <c r="Q435" s="9"/>
      <c r="R435" s="18"/>
      <c r="S435" s="18"/>
      <c r="T435" s="18"/>
      <c r="U435" s="18"/>
      <c r="V435" s="18"/>
      <c r="W435" s="15"/>
      <c r="X435" s="15"/>
    </row>
    <row r="436">
      <c r="A436" s="7">
        <v>435.0</v>
      </c>
      <c r="B436" s="8" t="s">
        <v>2002</v>
      </c>
      <c r="C436" s="9" t="s">
        <v>2003</v>
      </c>
      <c r="D436" s="10" t="str">
        <f>HYPERLINK("https://facebook.com/367089020688300_534553760608491", "367089020688300_534553760608491")</f>
        <v>367089020688300_534553760608491</v>
      </c>
      <c r="E436" s="11">
        <v>16.0</v>
      </c>
      <c r="F436" s="11">
        <v>1.0</v>
      </c>
      <c r="G436" s="11">
        <v>70.0</v>
      </c>
      <c r="H436" s="9" t="s">
        <v>26</v>
      </c>
      <c r="I436" s="9" t="s">
        <v>2004</v>
      </c>
      <c r="J436" s="9" t="s">
        <v>2005</v>
      </c>
      <c r="K436" s="9" t="s">
        <v>2006</v>
      </c>
      <c r="L436" s="9" t="s">
        <v>30</v>
      </c>
      <c r="M436" s="9" t="s">
        <v>31</v>
      </c>
      <c r="N436" s="9" t="s">
        <v>32</v>
      </c>
      <c r="O436" s="12" t="s">
        <v>33</v>
      </c>
      <c r="P436" s="12" t="s">
        <v>34</v>
      </c>
      <c r="Q436" s="9"/>
      <c r="R436" s="18"/>
      <c r="S436" s="18"/>
      <c r="T436" s="18"/>
      <c r="U436" s="18"/>
      <c r="V436" s="18"/>
      <c r="W436" s="15"/>
      <c r="X436" s="15"/>
    </row>
    <row r="437">
      <c r="A437" s="7">
        <v>436.0</v>
      </c>
      <c r="B437" s="8" t="s">
        <v>2007</v>
      </c>
      <c r="C437" s="9" t="s">
        <v>2008</v>
      </c>
      <c r="D437" s="10" t="str">
        <f>HYPERLINK("https://facebook.com/367089020688300_548136509250216", "367089020688300_548136509250216")</f>
        <v>367089020688300_548136509250216</v>
      </c>
      <c r="E437" s="11">
        <v>216.0</v>
      </c>
      <c r="F437" s="11">
        <v>2.0</v>
      </c>
      <c r="G437" s="11">
        <v>84.0</v>
      </c>
      <c r="H437" s="9" t="s">
        <v>26</v>
      </c>
      <c r="I437" s="9" t="s">
        <v>2009</v>
      </c>
      <c r="J437" s="9" t="s">
        <v>2010</v>
      </c>
      <c r="K437" s="9" t="s">
        <v>249</v>
      </c>
      <c r="L437" s="9" t="s">
        <v>30</v>
      </c>
      <c r="M437" s="9" t="s">
        <v>31</v>
      </c>
      <c r="N437" s="9" t="s">
        <v>32</v>
      </c>
      <c r="O437" s="12" t="s">
        <v>33</v>
      </c>
      <c r="P437" s="12" t="s">
        <v>34</v>
      </c>
      <c r="Q437" s="9"/>
      <c r="R437" s="18"/>
      <c r="S437" s="18"/>
      <c r="T437" s="18"/>
      <c r="U437" s="18"/>
      <c r="V437" s="18"/>
      <c r="W437" s="15"/>
      <c r="X437" s="15"/>
    </row>
    <row r="438">
      <c r="A438" s="7">
        <v>437.0</v>
      </c>
      <c r="B438" s="8" t="s">
        <v>2011</v>
      </c>
      <c r="C438" s="9" t="s">
        <v>2012</v>
      </c>
      <c r="D438" s="10" t="str">
        <f>HYPERLINK("https://facebook.com/367089020688300_534430400620827", "367089020688300_534430400620827")</f>
        <v>367089020688300_534430400620827</v>
      </c>
      <c r="E438" s="11">
        <v>142.0</v>
      </c>
      <c r="F438" s="11">
        <v>5.0</v>
      </c>
      <c r="G438" s="11">
        <v>83.0</v>
      </c>
      <c r="H438" s="9" t="s">
        <v>26</v>
      </c>
      <c r="I438" s="9" t="s">
        <v>1394</v>
      </c>
      <c r="J438" s="9" t="s">
        <v>2013</v>
      </c>
      <c r="K438" s="9" t="s">
        <v>219</v>
      </c>
      <c r="L438" s="9" t="s">
        <v>30</v>
      </c>
      <c r="M438" s="9" t="s">
        <v>31</v>
      </c>
      <c r="N438" s="9" t="s">
        <v>32</v>
      </c>
      <c r="O438" s="12" t="s">
        <v>33</v>
      </c>
      <c r="P438" s="12" t="s">
        <v>34</v>
      </c>
      <c r="Q438" s="9"/>
      <c r="R438" s="18"/>
      <c r="S438" s="18"/>
      <c r="T438" s="18"/>
      <c r="U438" s="18"/>
      <c r="V438" s="18"/>
      <c r="W438" s="15"/>
      <c r="X438" s="15"/>
    </row>
    <row r="439">
      <c r="A439" s="7">
        <v>438.0</v>
      </c>
      <c r="B439" s="8" t="s">
        <v>2014</v>
      </c>
      <c r="C439" s="9" t="s">
        <v>2015</v>
      </c>
      <c r="D439" s="10" t="str">
        <f>HYPERLINK("https://facebook.com/367089020688300_392540018143200", "367089020688300_392540018143200")</f>
        <v>367089020688300_392540018143200</v>
      </c>
      <c r="E439" s="11">
        <v>1643.0</v>
      </c>
      <c r="F439" s="11">
        <v>79.0</v>
      </c>
      <c r="G439" s="11">
        <v>857.0</v>
      </c>
      <c r="H439" s="9" t="s">
        <v>26</v>
      </c>
      <c r="I439" s="9" t="s">
        <v>2016</v>
      </c>
      <c r="J439" s="9" t="s">
        <v>2017</v>
      </c>
      <c r="K439" s="9" t="s">
        <v>2018</v>
      </c>
      <c r="L439" s="9" t="s">
        <v>30</v>
      </c>
      <c r="M439" s="9" t="s">
        <v>31</v>
      </c>
      <c r="N439" s="9" t="s">
        <v>32</v>
      </c>
      <c r="O439" s="12" t="s">
        <v>33</v>
      </c>
      <c r="P439" s="12" t="s">
        <v>34</v>
      </c>
      <c r="Q439" s="9"/>
      <c r="R439" s="18"/>
      <c r="S439" s="18"/>
      <c r="T439" s="18"/>
      <c r="U439" s="18"/>
      <c r="V439" s="18"/>
      <c r="W439" s="15"/>
      <c r="X439" s="15"/>
    </row>
    <row r="440">
      <c r="A440" s="7">
        <v>439.0</v>
      </c>
      <c r="B440" s="8" t="s">
        <v>2019</v>
      </c>
      <c r="C440" s="9" t="s">
        <v>2020</v>
      </c>
      <c r="D440" s="10" t="str">
        <f>HYPERLINK("https://facebook.com/367089020688300_541861069877760", "367089020688300_541861069877760")</f>
        <v>367089020688300_541861069877760</v>
      </c>
      <c r="E440" s="11">
        <v>169.0</v>
      </c>
      <c r="F440" s="11">
        <v>1.0</v>
      </c>
      <c r="G440" s="11">
        <v>45.0</v>
      </c>
      <c r="H440" s="9" t="s">
        <v>26</v>
      </c>
      <c r="I440" s="9" t="s">
        <v>2021</v>
      </c>
      <c r="J440" s="16" t="s">
        <v>2022</v>
      </c>
      <c r="K440" s="9"/>
      <c r="L440" s="9" t="s">
        <v>30</v>
      </c>
      <c r="M440" s="9" t="s">
        <v>31</v>
      </c>
      <c r="N440" s="9" t="s">
        <v>32</v>
      </c>
      <c r="O440" s="12" t="s">
        <v>33</v>
      </c>
      <c r="P440" s="12" t="s">
        <v>34</v>
      </c>
      <c r="Q440" s="9"/>
      <c r="R440" s="18"/>
      <c r="S440" s="18"/>
      <c r="T440" s="18"/>
      <c r="U440" s="18"/>
      <c r="V440" s="18"/>
      <c r="W440" s="15"/>
      <c r="X440" s="15"/>
    </row>
    <row r="441">
      <c r="A441" s="7">
        <v>440.0</v>
      </c>
      <c r="B441" s="8" t="s">
        <v>2023</v>
      </c>
      <c r="C441" s="9" t="s">
        <v>2024</v>
      </c>
      <c r="D441" s="10" t="str">
        <f>HYPERLINK("https://facebook.com/367089020688300_545283729535494", "367089020688300_545283729535494")</f>
        <v>367089020688300_545283729535494</v>
      </c>
      <c r="E441" s="11">
        <v>483.0</v>
      </c>
      <c r="F441" s="11">
        <v>30.0</v>
      </c>
      <c r="G441" s="11">
        <v>171.0</v>
      </c>
      <c r="H441" s="9" t="s">
        <v>26</v>
      </c>
      <c r="I441" s="9" t="s">
        <v>2025</v>
      </c>
      <c r="J441" s="9" t="s">
        <v>2026</v>
      </c>
      <c r="K441" s="9" t="s">
        <v>249</v>
      </c>
      <c r="L441" s="9" t="s">
        <v>30</v>
      </c>
      <c r="M441" s="9" t="s">
        <v>31</v>
      </c>
      <c r="N441" s="9" t="s">
        <v>32</v>
      </c>
      <c r="O441" s="12" t="s">
        <v>33</v>
      </c>
      <c r="P441" s="12" t="s">
        <v>34</v>
      </c>
      <c r="Q441" s="9"/>
      <c r="R441" s="18"/>
      <c r="S441" s="18"/>
      <c r="T441" s="18"/>
      <c r="U441" s="18"/>
      <c r="V441" s="18"/>
      <c r="W441" s="15"/>
      <c r="X441" s="15"/>
    </row>
    <row r="442">
      <c r="A442" s="7">
        <v>441.0</v>
      </c>
      <c r="B442" s="8" t="s">
        <v>2027</v>
      </c>
      <c r="C442" s="9" t="s">
        <v>2028</v>
      </c>
      <c r="D442" s="10" t="str">
        <f>HYPERLINK("https://facebook.com/367089020688300_555194818544385", "367089020688300_555194818544385")</f>
        <v>367089020688300_555194818544385</v>
      </c>
      <c r="E442" s="11">
        <v>51.0</v>
      </c>
      <c r="F442" s="11">
        <v>0.0</v>
      </c>
      <c r="G442" s="11">
        <v>93.0</v>
      </c>
      <c r="H442" s="9" t="s">
        <v>26</v>
      </c>
      <c r="I442" s="9" t="s">
        <v>2029</v>
      </c>
      <c r="J442" s="16" t="s">
        <v>2030</v>
      </c>
      <c r="K442" s="9"/>
      <c r="L442" s="9" t="s">
        <v>30</v>
      </c>
      <c r="M442" s="9" t="s">
        <v>31</v>
      </c>
      <c r="N442" s="9" t="s">
        <v>32</v>
      </c>
      <c r="O442" s="12" t="s">
        <v>33</v>
      </c>
      <c r="P442" s="12" t="s">
        <v>34</v>
      </c>
      <c r="Q442" s="9"/>
      <c r="R442" s="18"/>
      <c r="S442" s="18"/>
      <c r="T442" s="18"/>
      <c r="U442" s="18"/>
      <c r="V442" s="18"/>
      <c r="W442" s="15"/>
      <c r="X442" s="15"/>
    </row>
    <row r="443">
      <c r="A443" s="7">
        <v>442.0</v>
      </c>
      <c r="B443" s="8" t="s">
        <v>2031</v>
      </c>
      <c r="C443" s="9" t="s">
        <v>2032</v>
      </c>
      <c r="D443" s="10" t="str">
        <f>HYPERLINK("https://facebook.com/367089020688300_506220860108448", "367089020688300_506220860108448")</f>
        <v>367089020688300_506220860108448</v>
      </c>
      <c r="E443" s="11">
        <v>197.0</v>
      </c>
      <c r="F443" s="11">
        <v>30.0</v>
      </c>
      <c r="G443" s="11">
        <v>336.0</v>
      </c>
      <c r="H443" s="9" t="s">
        <v>26</v>
      </c>
      <c r="I443" s="9" t="s">
        <v>2033</v>
      </c>
      <c r="J443" s="9" t="s">
        <v>2034</v>
      </c>
      <c r="K443" s="9" t="s">
        <v>2035</v>
      </c>
      <c r="L443" s="9" t="s">
        <v>30</v>
      </c>
      <c r="M443" s="9" t="s">
        <v>31</v>
      </c>
      <c r="N443" s="9" t="s">
        <v>32</v>
      </c>
      <c r="O443" s="12" t="s">
        <v>33</v>
      </c>
      <c r="P443" s="12" t="s">
        <v>34</v>
      </c>
      <c r="Q443" s="9"/>
      <c r="R443" s="18"/>
      <c r="S443" s="18"/>
      <c r="T443" s="18"/>
      <c r="U443" s="18"/>
      <c r="V443" s="18"/>
      <c r="W443" s="15"/>
      <c r="X443" s="15"/>
    </row>
    <row r="444">
      <c r="A444" s="7">
        <v>443.0</v>
      </c>
      <c r="B444" s="8" t="s">
        <v>2036</v>
      </c>
      <c r="C444" s="9" t="s">
        <v>2037</v>
      </c>
      <c r="D444" s="10" t="str">
        <f>HYPERLINK("https://facebook.com/367089020688300_403920623671806", "367089020688300_403920623671806")</f>
        <v>367089020688300_403920623671806</v>
      </c>
      <c r="E444" s="11">
        <v>757.0</v>
      </c>
      <c r="F444" s="11">
        <v>17.0</v>
      </c>
      <c r="G444" s="11">
        <v>640.0</v>
      </c>
      <c r="H444" s="9" t="s">
        <v>26</v>
      </c>
      <c r="I444" s="9" t="s">
        <v>2038</v>
      </c>
      <c r="J444" s="9" t="s">
        <v>2039</v>
      </c>
      <c r="K444" s="9" t="s">
        <v>2040</v>
      </c>
      <c r="L444" s="9" t="s">
        <v>30</v>
      </c>
      <c r="M444" s="9" t="s">
        <v>31</v>
      </c>
      <c r="N444" s="9" t="s">
        <v>32</v>
      </c>
      <c r="O444" s="12" t="s">
        <v>33</v>
      </c>
      <c r="P444" s="12" t="s">
        <v>34</v>
      </c>
      <c r="Q444" s="9"/>
      <c r="R444" s="18"/>
      <c r="S444" s="18"/>
      <c r="T444" s="18"/>
      <c r="U444" s="18"/>
      <c r="V444" s="18"/>
      <c r="W444" s="15"/>
      <c r="X444" s="15"/>
    </row>
    <row r="445">
      <c r="A445" s="7">
        <v>444.0</v>
      </c>
      <c r="B445" s="8" t="s">
        <v>2041</v>
      </c>
      <c r="C445" s="9" t="s">
        <v>2042</v>
      </c>
      <c r="D445" s="10" t="str">
        <f>HYPERLINK("https://facebook.com/367089020688300_513295016067699", "367089020688300_513295016067699")</f>
        <v>367089020688300_513295016067699</v>
      </c>
      <c r="E445" s="11">
        <v>99.0</v>
      </c>
      <c r="F445" s="11">
        <v>4.0</v>
      </c>
      <c r="G445" s="11">
        <v>170.0</v>
      </c>
      <c r="H445" s="9" t="s">
        <v>26</v>
      </c>
      <c r="I445" s="9" t="s">
        <v>2043</v>
      </c>
      <c r="J445" s="9" t="s">
        <v>2044</v>
      </c>
      <c r="K445" s="9" t="s">
        <v>2045</v>
      </c>
      <c r="L445" s="9" t="s">
        <v>30</v>
      </c>
      <c r="M445" s="9" t="s">
        <v>31</v>
      </c>
      <c r="N445" s="9" t="s">
        <v>32</v>
      </c>
      <c r="O445" s="12" t="s">
        <v>33</v>
      </c>
      <c r="P445" s="12" t="s">
        <v>34</v>
      </c>
      <c r="Q445" s="9"/>
      <c r="R445" s="18"/>
      <c r="S445" s="18"/>
      <c r="T445" s="18"/>
      <c r="U445" s="18"/>
      <c r="V445" s="18"/>
      <c r="W445" s="15"/>
      <c r="X445" s="15"/>
    </row>
    <row r="446">
      <c r="A446" s="7">
        <v>445.0</v>
      </c>
      <c r="B446" s="8" t="s">
        <v>2046</v>
      </c>
      <c r="C446" s="9" t="s">
        <v>2047</v>
      </c>
      <c r="D446" s="10" t="str">
        <f>HYPERLINK("https://facebook.com/367089020688300_552296052167595", "367089020688300_552296052167595")</f>
        <v>367089020688300_552296052167595</v>
      </c>
      <c r="E446" s="11">
        <v>38.0</v>
      </c>
      <c r="F446" s="11">
        <v>0.0</v>
      </c>
      <c r="G446" s="11">
        <v>62.0</v>
      </c>
      <c r="H446" s="9" t="s">
        <v>26</v>
      </c>
      <c r="I446" s="9" t="s">
        <v>1496</v>
      </c>
      <c r="J446" s="16" t="s">
        <v>2048</v>
      </c>
      <c r="K446" s="9"/>
      <c r="L446" s="9" t="s">
        <v>30</v>
      </c>
      <c r="M446" s="9" t="s">
        <v>31</v>
      </c>
      <c r="N446" s="9" t="s">
        <v>32</v>
      </c>
      <c r="O446" s="12" t="s">
        <v>33</v>
      </c>
      <c r="P446" s="12" t="s">
        <v>34</v>
      </c>
      <c r="Q446" s="9"/>
      <c r="R446" s="18"/>
      <c r="S446" s="18"/>
      <c r="T446" s="18"/>
      <c r="U446" s="18"/>
      <c r="V446" s="18"/>
      <c r="W446" s="15"/>
      <c r="X446" s="15"/>
    </row>
    <row r="447">
      <c r="A447" s="7">
        <v>446.0</v>
      </c>
      <c r="B447" s="8" t="s">
        <v>2049</v>
      </c>
      <c r="C447" s="9" t="s">
        <v>2050</v>
      </c>
      <c r="D447" s="10" t="str">
        <f>HYPERLINK("https://facebook.com/367089020688300_553338175396716", "367089020688300_553338175396716")</f>
        <v>367089020688300_553338175396716</v>
      </c>
      <c r="E447" s="11">
        <v>55.0</v>
      </c>
      <c r="F447" s="11">
        <v>0.0</v>
      </c>
      <c r="G447" s="11">
        <v>25.0</v>
      </c>
      <c r="H447" s="9" t="s">
        <v>26</v>
      </c>
      <c r="I447" s="9" t="s">
        <v>2051</v>
      </c>
      <c r="J447" s="16" t="s">
        <v>2052</v>
      </c>
      <c r="K447" s="9"/>
      <c r="L447" s="9" t="s">
        <v>30</v>
      </c>
      <c r="M447" s="9" t="s">
        <v>31</v>
      </c>
      <c r="N447" s="9" t="s">
        <v>32</v>
      </c>
      <c r="O447" s="12" t="s">
        <v>33</v>
      </c>
      <c r="P447" s="12" t="s">
        <v>34</v>
      </c>
      <c r="Q447" s="9"/>
      <c r="R447" s="18"/>
      <c r="S447" s="18"/>
      <c r="T447" s="18"/>
      <c r="U447" s="18"/>
      <c r="V447" s="18"/>
      <c r="W447" s="15"/>
      <c r="X447" s="15"/>
    </row>
    <row r="448">
      <c r="A448" s="7">
        <v>447.0</v>
      </c>
      <c r="B448" s="8" t="s">
        <v>2053</v>
      </c>
      <c r="C448" s="9" t="s">
        <v>2054</v>
      </c>
      <c r="D448" s="10" t="str">
        <f>HYPERLINK("https://facebook.com/367089020688300_528968277833706", "367089020688300_528968277833706")</f>
        <v>367089020688300_528968277833706</v>
      </c>
      <c r="E448" s="11">
        <v>26.0</v>
      </c>
      <c r="F448" s="11">
        <v>0.0</v>
      </c>
      <c r="G448" s="11">
        <v>27.0</v>
      </c>
      <c r="H448" s="9" t="s">
        <v>26</v>
      </c>
      <c r="I448" s="9" t="s">
        <v>132</v>
      </c>
      <c r="J448" s="9" t="s">
        <v>2055</v>
      </c>
      <c r="K448" s="9" t="s">
        <v>2056</v>
      </c>
      <c r="L448" s="9" t="s">
        <v>30</v>
      </c>
      <c r="M448" s="9" t="s">
        <v>31</v>
      </c>
      <c r="N448" s="9" t="s">
        <v>32</v>
      </c>
      <c r="O448" s="12" t="s">
        <v>33</v>
      </c>
      <c r="P448" s="12" t="s">
        <v>34</v>
      </c>
      <c r="Q448" s="9"/>
      <c r="R448" s="18"/>
      <c r="S448" s="18"/>
      <c r="T448" s="18"/>
      <c r="U448" s="18"/>
      <c r="V448" s="18"/>
      <c r="W448" s="15"/>
      <c r="X448" s="15"/>
    </row>
    <row r="449">
      <c r="A449" s="7">
        <v>448.0</v>
      </c>
      <c r="B449" s="8" t="s">
        <v>2057</v>
      </c>
      <c r="C449" s="9" t="s">
        <v>2058</v>
      </c>
      <c r="D449" s="10" t="str">
        <f>HYPERLINK("https://facebook.com/367089020688300_546277319436135", "367089020688300_546277319436135")</f>
        <v>367089020688300_546277319436135</v>
      </c>
      <c r="E449" s="11">
        <v>47.0</v>
      </c>
      <c r="F449" s="11">
        <v>0.0</v>
      </c>
      <c r="G449" s="11">
        <v>52.0</v>
      </c>
      <c r="H449" s="9" t="s">
        <v>26</v>
      </c>
      <c r="I449" s="9" t="s">
        <v>488</v>
      </c>
      <c r="J449" s="16" t="s">
        <v>489</v>
      </c>
      <c r="K449" s="9"/>
      <c r="L449" s="9" t="s">
        <v>30</v>
      </c>
      <c r="M449" s="9" t="s">
        <v>31</v>
      </c>
      <c r="N449" s="9" t="s">
        <v>32</v>
      </c>
      <c r="O449" s="12" t="s">
        <v>33</v>
      </c>
      <c r="P449" s="12" t="s">
        <v>34</v>
      </c>
      <c r="Q449" s="9"/>
      <c r="R449" s="18"/>
      <c r="S449" s="18"/>
      <c r="T449" s="18"/>
      <c r="U449" s="18"/>
      <c r="V449" s="18"/>
      <c r="W449" s="15"/>
      <c r="X449" s="15"/>
    </row>
    <row r="450">
      <c r="A450" s="7">
        <v>449.0</v>
      </c>
      <c r="B450" s="8" t="s">
        <v>2059</v>
      </c>
      <c r="C450" s="9" t="s">
        <v>2060</v>
      </c>
      <c r="D450" s="10" t="str">
        <f>HYPERLINK("https://facebook.com/367089020688300_428763594520842", "367089020688300_428763594520842")</f>
        <v>367089020688300_428763594520842</v>
      </c>
      <c r="E450" s="11">
        <v>613.0</v>
      </c>
      <c r="F450" s="11">
        <v>38.0</v>
      </c>
      <c r="G450" s="11">
        <v>424.0</v>
      </c>
      <c r="H450" s="9" t="s">
        <v>26</v>
      </c>
      <c r="I450" s="9" t="s">
        <v>2061</v>
      </c>
      <c r="J450" s="9" t="s">
        <v>2062</v>
      </c>
      <c r="K450" s="9" t="s">
        <v>2063</v>
      </c>
      <c r="L450" s="9" t="s">
        <v>30</v>
      </c>
      <c r="M450" s="9" t="s">
        <v>31</v>
      </c>
      <c r="N450" s="9" t="s">
        <v>32</v>
      </c>
      <c r="O450" s="12" t="s">
        <v>33</v>
      </c>
      <c r="P450" s="12" t="s">
        <v>34</v>
      </c>
      <c r="Q450" s="9"/>
      <c r="R450" s="18"/>
      <c r="S450" s="18"/>
      <c r="T450" s="18"/>
      <c r="U450" s="18"/>
      <c r="V450" s="18"/>
      <c r="W450" s="15"/>
      <c r="X450" s="15"/>
    </row>
    <row r="451">
      <c r="A451" s="7">
        <v>450.0</v>
      </c>
      <c r="B451" s="8" t="s">
        <v>2064</v>
      </c>
      <c r="C451" s="9" t="s">
        <v>2065</v>
      </c>
      <c r="D451" s="10" t="str">
        <f>HYPERLINK("https://facebook.com/367089020688300_558890744841459", "367089020688300_558890744841459")</f>
        <v>367089020688300_558890744841459</v>
      </c>
      <c r="E451" s="11">
        <v>26.0</v>
      </c>
      <c r="F451" s="11">
        <v>0.0</v>
      </c>
      <c r="G451" s="11">
        <v>7.0</v>
      </c>
      <c r="H451" s="9" t="s">
        <v>26</v>
      </c>
      <c r="I451" s="9" t="s">
        <v>2066</v>
      </c>
      <c r="J451" s="9" t="s">
        <v>2067</v>
      </c>
      <c r="K451" s="9" t="s">
        <v>2068</v>
      </c>
      <c r="L451" s="9" t="s">
        <v>30</v>
      </c>
      <c r="M451" s="9" t="s">
        <v>31</v>
      </c>
      <c r="N451" s="9" t="s">
        <v>32</v>
      </c>
      <c r="O451" s="12" t="s">
        <v>33</v>
      </c>
      <c r="P451" s="12" t="s">
        <v>34</v>
      </c>
      <c r="Q451" s="9"/>
      <c r="R451" s="18"/>
      <c r="S451" s="18"/>
      <c r="T451" s="18"/>
      <c r="U451" s="18"/>
      <c r="V451" s="18"/>
      <c r="W451" s="15"/>
      <c r="X451" s="15"/>
    </row>
    <row r="452">
      <c r="A452" s="7">
        <v>451.0</v>
      </c>
      <c r="B452" s="8" t="s">
        <v>2069</v>
      </c>
      <c r="C452" s="9" t="s">
        <v>2070</v>
      </c>
      <c r="D452" s="10" t="str">
        <f>HYPERLINK("https://facebook.com/367089020688300_461444364586098", "367089020688300_461444364586098")</f>
        <v>367089020688300_461444364586098</v>
      </c>
      <c r="E452" s="11">
        <v>506.0</v>
      </c>
      <c r="F452" s="11">
        <v>10.0</v>
      </c>
      <c r="G452" s="11">
        <v>304.0</v>
      </c>
      <c r="H452" s="9" t="s">
        <v>26</v>
      </c>
      <c r="I452" s="9" t="s">
        <v>2071</v>
      </c>
      <c r="J452" s="9" t="s">
        <v>2072</v>
      </c>
      <c r="K452" s="9" t="s">
        <v>2073</v>
      </c>
      <c r="L452" s="9" t="s">
        <v>30</v>
      </c>
      <c r="M452" s="9" t="s">
        <v>31</v>
      </c>
      <c r="N452" s="9" t="s">
        <v>32</v>
      </c>
      <c r="O452" s="12" t="s">
        <v>33</v>
      </c>
      <c r="P452" s="12" t="s">
        <v>34</v>
      </c>
      <c r="Q452" s="9"/>
      <c r="R452" s="18"/>
      <c r="S452" s="18"/>
      <c r="T452" s="18"/>
      <c r="U452" s="18"/>
      <c r="V452" s="18"/>
      <c r="W452" s="15"/>
      <c r="X452" s="15"/>
    </row>
    <row r="453">
      <c r="A453" s="7">
        <v>452.0</v>
      </c>
      <c r="B453" s="8" t="s">
        <v>2074</v>
      </c>
      <c r="C453" s="9" t="s">
        <v>2075</v>
      </c>
      <c r="D453" s="10" t="str">
        <f>HYPERLINK("https://facebook.com/367089020688300_550387179025149", "367089020688300_550387179025149")</f>
        <v>367089020688300_550387179025149</v>
      </c>
      <c r="E453" s="11">
        <v>253.0</v>
      </c>
      <c r="F453" s="11">
        <v>1.0</v>
      </c>
      <c r="G453" s="11">
        <v>214.0</v>
      </c>
      <c r="H453" s="9" t="s">
        <v>26</v>
      </c>
      <c r="I453" s="9" t="s">
        <v>2076</v>
      </c>
      <c r="J453" s="16" t="s">
        <v>2077</v>
      </c>
      <c r="K453" s="9"/>
      <c r="L453" s="9" t="s">
        <v>30</v>
      </c>
      <c r="M453" s="9" t="s">
        <v>31</v>
      </c>
      <c r="N453" s="9" t="s">
        <v>32</v>
      </c>
      <c r="O453" s="12" t="s">
        <v>33</v>
      </c>
      <c r="P453" s="12" t="s">
        <v>34</v>
      </c>
      <c r="Q453" s="9"/>
      <c r="R453" s="18"/>
      <c r="S453" s="18"/>
      <c r="T453" s="18"/>
      <c r="U453" s="18"/>
      <c r="V453" s="18"/>
      <c r="W453" s="15"/>
      <c r="X453" s="15"/>
    </row>
    <row r="454">
      <c r="A454" s="7">
        <v>453.0</v>
      </c>
      <c r="B454" s="8" t="s">
        <v>2078</v>
      </c>
      <c r="C454" s="9" t="s">
        <v>2079</v>
      </c>
      <c r="D454" s="10" t="str">
        <f>HYPERLINK("https://facebook.com/367089020688300_396298211100714", "367089020688300_396298211100714")</f>
        <v>367089020688300_396298211100714</v>
      </c>
      <c r="E454" s="11">
        <v>196.0</v>
      </c>
      <c r="F454" s="11">
        <v>2.0</v>
      </c>
      <c r="G454" s="11">
        <v>190.0</v>
      </c>
      <c r="H454" s="9" t="s">
        <v>26</v>
      </c>
      <c r="I454" s="9" t="s">
        <v>2080</v>
      </c>
      <c r="J454" s="9" t="s">
        <v>2081</v>
      </c>
      <c r="K454" s="9" t="s">
        <v>1264</v>
      </c>
      <c r="L454" s="9" t="s">
        <v>30</v>
      </c>
      <c r="M454" s="9" t="s">
        <v>31</v>
      </c>
      <c r="N454" s="9" t="s">
        <v>32</v>
      </c>
      <c r="O454" s="12" t="s">
        <v>33</v>
      </c>
      <c r="P454" s="12" t="s">
        <v>34</v>
      </c>
      <c r="Q454" s="9"/>
      <c r="R454" s="18"/>
      <c r="S454" s="18"/>
      <c r="T454" s="18"/>
      <c r="U454" s="18"/>
      <c r="V454" s="18"/>
      <c r="W454" s="15"/>
      <c r="X454" s="15"/>
    </row>
    <row r="455">
      <c r="A455" s="7">
        <v>454.0</v>
      </c>
      <c r="B455" s="8" t="s">
        <v>2082</v>
      </c>
      <c r="C455" s="9" t="s">
        <v>2083</v>
      </c>
      <c r="D455" s="10" t="str">
        <f>HYPERLINK("https://facebook.com/367089020688300_518352302228637", "367089020688300_518352302228637")</f>
        <v>367089020688300_518352302228637</v>
      </c>
      <c r="E455" s="11">
        <v>228.0</v>
      </c>
      <c r="F455" s="11">
        <v>5.0</v>
      </c>
      <c r="G455" s="11">
        <v>249.0</v>
      </c>
      <c r="H455" s="9" t="s">
        <v>26</v>
      </c>
      <c r="I455" s="9" t="s">
        <v>316</v>
      </c>
      <c r="J455" s="16" t="s">
        <v>2084</v>
      </c>
      <c r="K455" s="9"/>
      <c r="L455" s="9" t="s">
        <v>30</v>
      </c>
      <c r="M455" s="9" t="s">
        <v>31</v>
      </c>
      <c r="N455" s="9" t="s">
        <v>32</v>
      </c>
      <c r="O455" s="12" t="s">
        <v>33</v>
      </c>
      <c r="P455" s="12" t="s">
        <v>34</v>
      </c>
      <c r="Q455" s="9"/>
      <c r="R455" s="18"/>
      <c r="S455" s="18"/>
      <c r="T455" s="18"/>
      <c r="U455" s="18"/>
      <c r="V455" s="18"/>
      <c r="W455" s="15"/>
      <c r="X455" s="15"/>
    </row>
    <row r="456">
      <c r="A456" s="7">
        <v>455.0</v>
      </c>
      <c r="B456" s="8" t="s">
        <v>2085</v>
      </c>
      <c r="C456" s="9" t="s">
        <v>2086</v>
      </c>
      <c r="D456" s="10" t="str">
        <f>HYPERLINK("https://facebook.com/367089020688300_518866405510560", "367089020688300_518866405510560")</f>
        <v>367089020688300_518866405510560</v>
      </c>
      <c r="E456" s="11">
        <v>2974.0</v>
      </c>
      <c r="F456" s="11">
        <v>119.0</v>
      </c>
      <c r="G456" s="11">
        <v>102.0</v>
      </c>
      <c r="H456" s="9" t="s">
        <v>26</v>
      </c>
      <c r="I456" s="9" t="s">
        <v>2087</v>
      </c>
      <c r="J456" s="16" t="s">
        <v>2088</v>
      </c>
      <c r="K456" s="9"/>
      <c r="L456" s="9" t="s">
        <v>30</v>
      </c>
      <c r="M456" s="9" t="s">
        <v>31</v>
      </c>
      <c r="N456" s="9" t="s">
        <v>32</v>
      </c>
      <c r="O456" s="12" t="s">
        <v>33</v>
      </c>
      <c r="P456" s="12" t="s">
        <v>34</v>
      </c>
      <c r="Q456" s="9"/>
      <c r="R456" s="18"/>
      <c r="S456" s="18"/>
      <c r="T456" s="18"/>
      <c r="U456" s="18"/>
      <c r="V456" s="18"/>
      <c r="W456" s="15"/>
      <c r="X456" s="15"/>
    </row>
    <row r="457">
      <c r="A457" s="7">
        <v>456.0</v>
      </c>
      <c r="B457" s="8" t="s">
        <v>2089</v>
      </c>
      <c r="C457" s="9" t="s">
        <v>2090</v>
      </c>
      <c r="D457" s="10" t="str">
        <f>HYPERLINK("https://facebook.com/367089020688300_544471286283405", "367089020688300_544471286283405")</f>
        <v>367089020688300_544471286283405</v>
      </c>
      <c r="E457" s="11">
        <v>364.0</v>
      </c>
      <c r="F457" s="11">
        <v>14.0</v>
      </c>
      <c r="G457" s="11">
        <v>367.0</v>
      </c>
      <c r="H457" s="9" t="s">
        <v>26</v>
      </c>
      <c r="I457" s="9" t="s">
        <v>2091</v>
      </c>
      <c r="J457" s="9" t="s">
        <v>2092</v>
      </c>
      <c r="K457" s="9" t="s">
        <v>2093</v>
      </c>
      <c r="L457" s="9" t="s">
        <v>30</v>
      </c>
      <c r="M457" s="9" t="s">
        <v>31</v>
      </c>
      <c r="N457" s="9" t="s">
        <v>32</v>
      </c>
      <c r="O457" s="12" t="s">
        <v>33</v>
      </c>
      <c r="P457" s="12" t="s">
        <v>34</v>
      </c>
      <c r="Q457" s="9"/>
      <c r="R457" s="18"/>
      <c r="S457" s="18"/>
      <c r="T457" s="18"/>
      <c r="U457" s="18"/>
      <c r="V457" s="18"/>
      <c r="W457" s="15"/>
      <c r="X457" s="15"/>
    </row>
    <row r="458">
      <c r="A458" s="7">
        <v>457.0</v>
      </c>
      <c r="B458" s="8" t="s">
        <v>2094</v>
      </c>
      <c r="C458" s="9" t="s">
        <v>2095</v>
      </c>
      <c r="D458" s="10" t="str">
        <f>HYPERLINK("https://facebook.com/367089020688300_558694608194406", "367089020688300_558694608194406")</f>
        <v>367089020688300_558694608194406</v>
      </c>
      <c r="E458" s="11">
        <v>30.0</v>
      </c>
      <c r="F458" s="11">
        <v>0.0</v>
      </c>
      <c r="G458" s="11">
        <v>44.0</v>
      </c>
      <c r="H458" s="9" t="s">
        <v>26</v>
      </c>
      <c r="I458" s="9" t="s">
        <v>2096</v>
      </c>
      <c r="J458" s="16" t="s">
        <v>2097</v>
      </c>
      <c r="K458" s="9"/>
      <c r="L458" s="9" t="s">
        <v>30</v>
      </c>
      <c r="M458" s="9" t="s">
        <v>31</v>
      </c>
      <c r="N458" s="9" t="s">
        <v>32</v>
      </c>
      <c r="O458" s="12" t="s">
        <v>33</v>
      </c>
      <c r="P458" s="12" t="s">
        <v>34</v>
      </c>
      <c r="Q458" s="9"/>
      <c r="R458" s="18"/>
      <c r="S458" s="18"/>
      <c r="T458" s="18"/>
      <c r="U458" s="18"/>
      <c r="V458" s="18"/>
      <c r="W458" s="15"/>
      <c r="X458" s="15"/>
    </row>
    <row r="459">
      <c r="A459" s="7">
        <v>458.0</v>
      </c>
      <c r="B459" s="8" t="s">
        <v>2098</v>
      </c>
      <c r="C459" s="9" t="s">
        <v>2099</v>
      </c>
      <c r="D459" s="10" t="str">
        <f>HYPERLINK("https://facebook.com/367089020688300_560489981348202", "367089020688300_560489981348202")</f>
        <v>367089020688300_560489981348202</v>
      </c>
      <c r="E459" s="11">
        <v>948.0</v>
      </c>
      <c r="F459" s="11">
        <v>17.0</v>
      </c>
      <c r="G459" s="11">
        <v>452.0</v>
      </c>
      <c r="H459" s="9" t="s">
        <v>26</v>
      </c>
      <c r="I459" s="9" t="s">
        <v>2100</v>
      </c>
      <c r="J459" s="9" t="s">
        <v>2101</v>
      </c>
      <c r="K459" s="9" t="s">
        <v>219</v>
      </c>
      <c r="L459" s="9" t="s">
        <v>30</v>
      </c>
      <c r="M459" s="9" t="s">
        <v>31</v>
      </c>
      <c r="N459" s="9" t="s">
        <v>32</v>
      </c>
      <c r="O459" s="12" t="s">
        <v>33</v>
      </c>
      <c r="P459" s="12" t="s">
        <v>34</v>
      </c>
      <c r="Q459" s="9"/>
      <c r="R459" s="18"/>
      <c r="S459" s="18"/>
      <c r="T459" s="18"/>
      <c r="U459" s="18"/>
      <c r="V459" s="18"/>
      <c r="W459" s="15"/>
      <c r="X459" s="15"/>
    </row>
    <row r="460">
      <c r="A460" s="7">
        <v>459.0</v>
      </c>
      <c r="B460" s="8" t="s">
        <v>2102</v>
      </c>
      <c r="C460" s="9" t="s">
        <v>2103</v>
      </c>
      <c r="D460" s="10" t="str">
        <f>HYPERLINK("https://facebook.com/367089020688300_546169429446924", "367089020688300_546169429446924")</f>
        <v>367089020688300_546169429446924</v>
      </c>
      <c r="E460" s="11">
        <v>260.0</v>
      </c>
      <c r="F460" s="11">
        <v>5.0</v>
      </c>
      <c r="G460" s="11">
        <v>306.0</v>
      </c>
      <c r="H460" s="9" t="s">
        <v>26</v>
      </c>
      <c r="I460" s="9" t="s">
        <v>2104</v>
      </c>
      <c r="J460" s="16" t="s">
        <v>2105</v>
      </c>
      <c r="K460" s="9"/>
      <c r="L460" s="9" t="s">
        <v>30</v>
      </c>
      <c r="M460" s="9" t="s">
        <v>31</v>
      </c>
      <c r="N460" s="9" t="s">
        <v>32</v>
      </c>
      <c r="O460" s="12" t="s">
        <v>33</v>
      </c>
      <c r="P460" s="12" t="s">
        <v>34</v>
      </c>
      <c r="Q460" s="9"/>
      <c r="R460" s="18"/>
      <c r="S460" s="18"/>
      <c r="T460" s="18"/>
      <c r="U460" s="18"/>
      <c r="V460" s="18"/>
      <c r="W460" s="15"/>
      <c r="X460" s="15"/>
    </row>
    <row r="461">
      <c r="A461" s="7">
        <v>460.0</v>
      </c>
      <c r="B461" s="8" t="s">
        <v>2106</v>
      </c>
      <c r="C461" s="9" t="s">
        <v>2107</v>
      </c>
      <c r="D461" s="10" t="str">
        <f>HYPERLINK("https://facebook.com/367089020688300_536417593755441", "367089020688300_536417593755441")</f>
        <v>367089020688300_536417593755441</v>
      </c>
      <c r="E461" s="11">
        <v>1320.0</v>
      </c>
      <c r="F461" s="11">
        <v>23.0</v>
      </c>
      <c r="G461" s="11">
        <v>616.0</v>
      </c>
      <c r="H461" s="9" t="s">
        <v>26</v>
      </c>
      <c r="I461" s="9" t="s">
        <v>2108</v>
      </c>
      <c r="J461" s="16" t="s">
        <v>2109</v>
      </c>
      <c r="K461" s="9"/>
      <c r="L461" s="9" t="s">
        <v>30</v>
      </c>
      <c r="M461" s="9" t="s">
        <v>31</v>
      </c>
      <c r="N461" s="9" t="s">
        <v>32</v>
      </c>
      <c r="O461" s="12" t="s">
        <v>33</v>
      </c>
      <c r="P461" s="12" t="s">
        <v>34</v>
      </c>
      <c r="Q461" s="9"/>
      <c r="R461" s="18"/>
      <c r="S461" s="18"/>
      <c r="T461" s="18"/>
      <c r="U461" s="18"/>
      <c r="V461" s="18"/>
      <c r="W461" s="15"/>
      <c r="X461" s="15"/>
    </row>
    <row r="462">
      <c r="A462" s="7">
        <v>461.0</v>
      </c>
      <c r="B462" s="8" t="s">
        <v>2110</v>
      </c>
      <c r="C462" s="9" t="s">
        <v>2111</v>
      </c>
      <c r="D462" s="10" t="str">
        <f>HYPERLINK("https://facebook.com/367089020688300_522493285147872", "367089020688300_522493285147872")</f>
        <v>367089020688300_522493285147872</v>
      </c>
      <c r="E462" s="11">
        <v>352.0</v>
      </c>
      <c r="F462" s="11">
        <v>42.0</v>
      </c>
      <c r="G462" s="11">
        <v>431.0</v>
      </c>
      <c r="H462" s="9" t="s">
        <v>26</v>
      </c>
      <c r="I462" s="9" t="s">
        <v>2112</v>
      </c>
      <c r="J462" s="16" t="s">
        <v>2113</v>
      </c>
      <c r="K462" s="9"/>
      <c r="L462" s="9" t="s">
        <v>30</v>
      </c>
      <c r="M462" s="9" t="s">
        <v>31</v>
      </c>
      <c r="N462" s="9" t="s">
        <v>32</v>
      </c>
      <c r="O462" s="12" t="s">
        <v>33</v>
      </c>
      <c r="P462" s="12" t="s">
        <v>34</v>
      </c>
      <c r="Q462" s="9"/>
      <c r="R462" s="18"/>
      <c r="S462" s="18"/>
      <c r="T462" s="18"/>
      <c r="U462" s="18"/>
      <c r="V462" s="18"/>
      <c r="W462" s="15"/>
      <c r="X462" s="15"/>
    </row>
    <row r="463">
      <c r="A463" s="7">
        <v>462.0</v>
      </c>
      <c r="B463" s="8" t="s">
        <v>2114</v>
      </c>
      <c r="C463" s="9" t="s">
        <v>2115</v>
      </c>
      <c r="D463" s="10" t="str">
        <f>HYPERLINK("https://facebook.com/367089020688300_554894221907778", "367089020688300_554894221907778")</f>
        <v>367089020688300_554894221907778</v>
      </c>
      <c r="E463" s="11">
        <v>160.0</v>
      </c>
      <c r="F463" s="11">
        <v>8.0</v>
      </c>
      <c r="G463" s="11">
        <v>24.0</v>
      </c>
      <c r="H463" s="9" t="s">
        <v>26</v>
      </c>
      <c r="I463" s="9" t="s">
        <v>993</v>
      </c>
      <c r="J463" s="9" t="s">
        <v>994</v>
      </c>
      <c r="K463" s="9" t="s">
        <v>1214</v>
      </c>
      <c r="L463" s="9" t="s">
        <v>30</v>
      </c>
      <c r="M463" s="9" t="s">
        <v>31</v>
      </c>
      <c r="N463" s="9" t="s">
        <v>32</v>
      </c>
      <c r="O463" s="12" t="s">
        <v>33</v>
      </c>
      <c r="P463" s="12" t="s">
        <v>34</v>
      </c>
      <c r="Q463" s="9"/>
      <c r="R463" s="18"/>
      <c r="S463" s="18"/>
      <c r="T463" s="18"/>
      <c r="U463" s="18"/>
      <c r="V463" s="18"/>
      <c r="W463" s="15"/>
      <c r="X463" s="15"/>
    </row>
    <row r="464">
      <c r="A464" s="7">
        <v>463.0</v>
      </c>
      <c r="B464" s="8" t="s">
        <v>2116</v>
      </c>
      <c r="C464" s="9" t="s">
        <v>2117</v>
      </c>
      <c r="D464" s="10" t="str">
        <f>HYPERLINK("https://facebook.com/367089020688300_521024095294791", "367089020688300_521024095294791")</f>
        <v>367089020688300_521024095294791</v>
      </c>
      <c r="E464" s="11">
        <v>161.0</v>
      </c>
      <c r="F464" s="11">
        <v>0.0</v>
      </c>
      <c r="G464" s="11">
        <v>32.0</v>
      </c>
      <c r="H464" s="9" t="s">
        <v>26</v>
      </c>
      <c r="I464" s="9" t="s">
        <v>2118</v>
      </c>
      <c r="J464" s="16" t="s">
        <v>2119</v>
      </c>
      <c r="K464" s="9"/>
      <c r="L464" s="9" t="s">
        <v>30</v>
      </c>
      <c r="M464" s="9" t="s">
        <v>31</v>
      </c>
      <c r="N464" s="9" t="s">
        <v>32</v>
      </c>
      <c r="O464" s="12" t="s">
        <v>33</v>
      </c>
      <c r="P464" s="12" t="s">
        <v>34</v>
      </c>
      <c r="Q464" s="9"/>
      <c r="R464" s="18"/>
      <c r="S464" s="18"/>
      <c r="T464" s="18"/>
      <c r="U464" s="18"/>
      <c r="V464" s="18"/>
      <c r="W464" s="15"/>
      <c r="X464" s="15"/>
    </row>
    <row r="465">
      <c r="A465" s="7">
        <v>464.0</v>
      </c>
      <c r="B465" s="8" t="s">
        <v>2120</v>
      </c>
      <c r="C465" s="9" t="s">
        <v>2121</v>
      </c>
      <c r="D465" s="10" t="str">
        <f>HYPERLINK("https://facebook.com/367089020688300_557751128288754", "367089020688300_557751128288754")</f>
        <v>367089020688300_557751128288754</v>
      </c>
      <c r="E465" s="11">
        <v>382.0</v>
      </c>
      <c r="F465" s="11">
        <v>0.0</v>
      </c>
      <c r="G465" s="11">
        <v>373.0</v>
      </c>
      <c r="H465" s="9" t="s">
        <v>26</v>
      </c>
      <c r="I465" s="9" t="s">
        <v>2122</v>
      </c>
      <c r="J465" s="16" t="s">
        <v>2123</v>
      </c>
      <c r="K465" s="9"/>
      <c r="L465" s="9" t="s">
        <v>30</v>
      </c>
      <c r="M465" s="9" t="s">
        <v>31</v>
      </c>
      <c r="N465" s="9" t="s">
        <v>32</v>
      </c>
      <c r="O465" s="12" t="s">
        <v>33</v>
      </c>
      <c r="P465" s="12" t="s">
        <v>34</v>
      </c>
      <c r="Q465" s="9"/>
      <c r="R465" s="18"/>
      <c r="S465" s="18"/>
      <c r="T465" s="18"/>
      <c r="U465" s="18"/>
      <c r="V465" s="18"/>
      <c r="W465" s="15"/>
      <c r="X465" s="15"/>
    </row>
    <row r="466">
      <c r="A466" s="7">
        <v>465.0</v>
      </c>
      <c r="B466" s="8" t="s">
        <v>2124</v>
      </c>
      <c r="C466" s="9" t="s">
        <v>2125</v>
      </c>
      <c r="D466" s="10" t="str">
        <f>HYPERLINK("https://facebook.com/367089020688300_532459714151229", "367089020688300_532459714151229")</f>
        <v>367089020688300_532459714151229</v>
      </c>
      <c r="E466" s="11">
        <v>4.0</v>
      </c>
      <c r="F466" s="11">
        <v>0.0</v>
      </c>
      <c r="G466" s="11">
        <v>4.0</v>
      </c>
      <c r="H466" s="9" t="s">
        <v>26</v>
      </c>
      <c r="I466" s="9" t="s">
        <v>2126</v>
      </c>
      <c r="J466" s="9" t="s">
        <v>2127</v>
      </c>
      <c r="K466" s="9" t="s">
        <v>2128</v>
      </c>
      <c r="L466" s="9" t="s">
        <v>30</v>
      </c>
      <c r="M466" s="9" t="s">
        <v>31</v>
      </c>
      <c r="N466" s="9" t="s">
        <v>32</v>
      </c>
      <c r="O466" s="12" t="s">
        <v>33</v>
      </c>
      <c r="P466" s="12" t="s">
        <v>34</v>
      </c>
      <c r="Q466" s="9"/>
      <c r="R466" s="18"/>
      <c r="S466" s="18"/>
      <c r="T466" s="18"/>
      <c r="U466" s="18"/>
      <c r="V466" s="18"/>
      <c r="W466" s="15"/>
      <c r="X466" s="15"/>
    </row>
    <row r="467">
      <c r="A467" s="7">
        <v>466.0</v>
      </c>
      <c r="B467" s="8" t="s">
        <v>2129</v>
      </c>
      <c r="C467" s="9" t="s">
        <v>2130</v>
      </c>
      <c r="D467" s="10" t="str">
        <f>HYPERLINK("https://facebook.com/367089020688300_540378556692678", "367089020688300_540378556692678")</f>
        <v>367089020688300_540378556692678</v>
      </c>
      <c r="E467" s="11">
        <v>232.0</v>
      </c>
      <c r="F467" s="11">
        <v>20.0</v>
      </c>
      <c r="G467" s="11">
        <v>530.0</v>
      </c>
      <c r="H467" s="9" t="s">
        <v>26</v>
      </c>
      <c r="I467" s="9" t="s">
        <v>2131</v>
      </c>
      <c r="J467" s="16" t="s">
        <v>2132</v>
      </c>
      <c r="K467" s="9"/>
      <c r="L467" s="9" t="s">
        <v>30</v>
      </c>
      <c r="M467" s="9" t="s">
        <v>31</v>
      </c>
      <c r="N467" s="9" t="s">
        <v>32</v>
      </c>
      <c r="O467" s="12" t="s">
        <v>33</v>
      </c>
      <c r="P467" s="12" t="s">
        <v>34</v>
      </c>
      <c r="Q467" s="9"/>
      <c r="R467" s="18"/>
      <c r="S467" s="18"/>
      <c r="T467" s="18"/>
      <c r="U467" s="18"/>
      <c r="V467" s="18"/>
      <c r="W467" s="15"/>
      <c r="X467" s="15"/>
    </row>
    <row r="468">
      <c r="A468" s="7">
        <v>467.0</v>
      </c>
      <c r="B468" s="8" t="s">
        <v>2133</v>
      </c>
      <c r="C468" s="9" t="s">
        <v>2134</v>
      </c>
      <c r="D468" s="10" t="str">
        <f>HYPERLINK("https://facebook.com/367089020688300_539914703405730", "367089020688300_539914703405730")</f>
        <v>367089020688300_539914703405730</v>
      </c>
      <c r="E468" s="11">
        <v>36.0</v>
      </c>
      <c r="F468" s="11">
        <v>0.0</v>
      </c>
      <c r="G468" s="11">
        <v>18.0</v>
      </c>
      <c r="H468" s="9" t="s">
        <v>26</v>
      </c>
      <c r="I468" s="9" t="s">
        <v>2135</v>
      </c>
      <c r="J468" s="16" t="s">
        <v>2136</v>
      </c>
      <c r="K468" s="9"/>
      <c r="L468" s="9" t="s">
        <v>30</v>
      </c>
      <c r="M468" s="9" t="s">
        <v>31</v>
      </c>
      <c r="N468" s="9" t="s">
        <v>32</v>
      </c>
      <c r="O468" s="12" t="s">
        <v>33</v>
      </c>
      <c r="P468" s="12" t="s">
        <v>34</v>
      </c>
      <c r="Q468" s="9"/>
      <c r="R468" s="18"/>
      <c r="S468" s="18"/>
      <c r="T468" s="18"/>
      <c r="U468" s="18"/>
      <c r="V468" s="18"/>
      <c r="W468" s="15"/>
      <c r="X468" s="15"/>
    </row>
    <row r="469">
      <c r="A469" s="7">
        <v>468.0</v>
      </c>
      <c r="B469" s="8" t="s">
        <v>2137</v>
      </c>
      <c r="C469" s="9" t="s">
        <v>2138</v>
      </c>
      <c r="D469" s="10" t="str">
        <f>HYPERLINK("https://facebook.com/367089020688300_514137759316758", "367089020688300_514137759316758")</f>
        <v>367089020688300_514137759316758</v>
      </c>
      <c r="E469" s="11">
        <v>197.0</v>
      </c>
      <c r="F469" s="11">
        <v>8.0</v>
      </c>
      <c r="G469" s="11">
        <v>77.0</v>
      </c>
      <c r="H469" s="9" t="s">
        <v>26</v>
      </c>
      <c r="I469" s="9" t="s">
        <v>2139</v>
      </c>
      <c r="J469" s="9" t="s">
        <v>2140</v>
      </c>
      <c r="K469" s="9" t="s">
        <v>2141</v>
      </c>
      <c r="L469" s="9" t="s">
        <v>30</v>
      </c>
      <c r="M469" s="9" t="s">
        <v>31</v>
      </c>
      <c r="N469" s="9" t="s">
        <v>32</v>
      </c>
      <c r="O469" s="12" t="s">
        <v>33</v>
      </c>
      <c r="P469" s="12" t="s">
        <v>34</v>
      </c>
      <c r="Q469" s="9"/>
      <c r="R469" s="18"/>
      <c r="S469" s="18"/>
      <c r="T469" s="18"/>
      <c r="U469" s="18"/>
      <c r="V469" s="18"/>
      <c r="W469" s="15"/>
      <c r="X469" s="15"/>
    </row>
    <row r="470">
      <c r="A470" s="7">
        <v>469.0</v>
      </c>
      <c r="B470" s="8" t="s">
        <v>2142</v>
      </c>
      <c r="C470" s="9" t="s">
        <v>2143</v>
      </c>
      <c r="D470" s="10" t="str">
        <f>HYPERLINK("https://facebook.com/367089020688300_406325236764678", "367089020688300_406325236764678")</f>
        <v>367089020688300_406325236764678</v>
      </c>
      <c r="E470" s="11">
        <v>322.0</v>
      </c>
      <c r="F470" s="11">
        <v>19.0</v>
      </c>
      <c r="G470" s="11">
        <v>290.0</v>
      </c>
      <c r="H470" s="9" t="s">
        <v>26</v>
      </c>
      <c r="I470" s="9" t="s">
        <v>2144</v>
      </c>
      <c r="J470" s="9" t="s">
        <v>2145</v>
      </c>
      <c r="K470" s="9" t="s">
        <v>476</v>
      </c>
      <c r="L470" s="9" t="s">
        <v>30</v>
      </c>
      <c r="M470" s="9" t="s">
        <v>31</v>
      </c>
      <c r="N470" s="9" t="s">
        <v>32</v>
      </c>
      <c r="O470" s="12" t="s">
        <v>33</v>
      </c>
      <c r="P470" s="12" t="s">
        <v>34</v>
      </c>
      <c r="Q470" s="9"/>
      <c r="R470" s="18"/>
      <c r="S470" s="18"/>
      <c r="T470" s="18"/>
      <c r="U470" s="18"/>
      <c r="V470" s="18"/>
      <c r="W470" s="15"/>
      <c r="X470" s="15"/>
    </row>
    <row r="471">
      <c r="A471" s="7">
        <v>470.0</v>
      </c>
      <c r="B471" s="8" t="s">
        <v>2146</v>
      </c>
      <c r="C471" s="9" t="s">
        <v>2147</v>
      </c>
      <c r="D471" s="10" t="str">
        <f>HYPERLINK("https://facebook.com/367089020688300_538590383538162", "367089020688300_538590383538162")</f>
        <v>367089020688300_538590383538162</v>
      </c>
      <c r="E471" s="11">
        <v>126.0</v>
      </c>
      <c r="F471" s="11">
        <v>1.0</v>
      </c>
      <c r="G471" s="11">
        <v>59.0</v>
      </c>
      <c r="H471" s="9" t="s">
        <v>26</v>
      </c>
      <c r="I471" s="9" t="s">
        <v>2148</v>
      </c>
      <c r="J471" s="16" t="s">
        <v>2149</v>
      </c>
      <c r="K471" s="9"/>
      <c r="L471" s="9" t="s">
        <v>30</v>
      </c>
      <c r="M471" s="9" t="s">
        <v>31</v>
      </c>
      <c r="N471" s="9" t="s">
        <v>32</v>
      </c>
      <c r="O471" s="12" t="s">
        <v>33</v>
      </c>
      <c r="P471" s="12" t="s">
        <v>34</v>
      </c>
      <c r="Q471" s="9"/>
      <c r="R471" s="18"/>
      <c r="S471" s="18"/>
      <c r="T471" s="18"/>
      <c r="U471" s="18"/>
      <c r="V471" s="18"/>
      <c r="W471" s="15"/>
      <c r="X471" s="15"/>
    </row>
    <row r="472">
      <c r="A472" s="7">
        <v>471.0</v>
      </c>
      <c r="B472" s="8" t="s">
        <v>2150</v>
      </c>
      <c r="C472" s="9" t="s">
        <v>2151</v>
      </c>
      <c r="D472" s="10" t="str">
        <f>HYPERLINK("https://facebook.com/367089020688300_552152428848624", "367089020688300_552152428848624")</f>
        <v>367089020688300_552152428848624</v>
      </c>
      <c r="E472" s="11">
        <v>126.0</v>
      </c>
      <c r="F472" s="11">
        <v>0.0</v>
      </c>
      <c r="G472" s="11">
        <v>40.0</v>
      </c>
      <c r="H472" s="9" t="s">
        <v>26</v>
      </c>
      <c r="I472" s="9" t="s">
        <v>2152</v>
      </c>
      <c r="J472" s="16" t="s">
        <v>2153</v>
      </c>
      <c r="K472" s="9"/>
      <c r="L472" s="9" t="s">
        <v>30</v>
      </c>
      <c r="M472" s="9" t="s">
        <v>31</v>
      </c>
      <c r="N472" s="9" t="s">
        <v>32</v>
      </c>
      <c r="O472" s="12" t="s">
        <v>33</v>
      </c>
      <c r="P472" s="12" t="s">
        <v>34</v>
      </c>
      <c r="Q472" s="9"/>
      <c r="R472" s="18"/>
      <c r="S472" s="18"/>
      <c r="T472" s="18"/>
      <c r="U472" s="18"/>
      <c r="V472" s="18"/>
      <c r="W472" s="15"/>
      <c r="X472" s="15"/>
    </row>
    <row r="473">
      <c r="A473" s="7">
        <v>472.0</v>
      </c>
      <c r="B473" s="8" t="s">
        <v>2154</v>
      </c>
      <c r="C473" s="9" t="s">
        <v>2155</v>
      </c>
      <c r="D473" s="10" t="str">
        <f>HYPERLINK("https://facebook.com/367089020688300_516030992460768", "367089020688300_516030992460768")</f>
        <v>367089020688300_516030992460768</v>
      </c>
      <c r="E473" s="11">
        <v>455.0</v>
      </c>
      <c r="F473" s="11">
        <v>14.0</v>
      </c>
      <c r="G473" s="11">
        <v>284.0</v>
      </c>
      <c r="H473" s="9" t="s">
        <v>26</v>
      </c>
      <c r="I473" s="9" t="s">
        <v>2156</v>
      </c>
      <c r="J473" s="16" t="s">
        <v>2157</v>
      </c>
      <c r="K473" s="9"/>
      <c r="L473" s="9" t="s">
        <v>30</v>
      </c>
      <c r="M473" s="9" t="s">
        <v>31</v>
      </c>
      <c r="N473" s="9" t="s">
        <v>32</v>
      </c>
      <c r="O473" s="12" t="s">
        <v>33</v>
      </c>
      <c r="P473" s="12" t="s">
        <v>34</v>
      </c>
      <c r="Q473" s="9"/>
      <c r="R473" s="18"/>
      <c r="S473" s="18"/>
      <c r="T473" s="18"/>
      <c r="U473" s="18"/>
      <c r="V473" s="18"/>
      <c r="W473" s="15"/>
      <c r="X473" s="15"/>
    </row>
    <row r="474">
      <c r="A474" s="7">
        <v>473.0</v>
      </c>
      <c r="B474" s="8" t="s">
        <v>2158</v>
      </c>
      <c r="C474" s="9" t="s">
        <v>2159</v>
      </c>
      <c r="D474" s="10" t="str">
        <f>HYPERLINK("https://facebook.com/367089020688300_488063048590896", "367089020688300_488063048590896")</f>
        <v>367089020688300_488063048590896</v>
      </c>
      <c r="E474" s="11">
        <v>249.0</v>
      </c>
      <c r="F474" s="11">
        <v>3.0</v>
      </c>
      <c r="G474" s="11">
        <v>325.0</v>
      </c>
      <c r="H474" s="9" t="s">
        <v>26</v>
      </c>
      <c r="I474" s="9" t="s">
        <v>2160</v>
      </c>
      <c r="J474" s="9" t="s">
        <v>2161</v>
      </c>
      <c r="K474" s="9" t="s">
        <v>2162</v>
      </c>
      <c r="L474" s="9" t="s">
        <v>30</v>
      </c>
      <c r="M474" s="9" t="s">
        <v>31</v>
      </c>
      <c r="N474" s="9" t="s">
        <v>32</v>
      </c>
      <c r="O474" s="12" t="s">
        <v>33</v>
      </c>
      <c r="P474" s="12" t="s">
        <v>34</v>
      </c>
      <c r="Q474" s="9"/>
      <c r="R474" s="18"/>
      <c r="S474" s="18"/>
      <c r="T474" s="18"/>
      <c r="U474" s="18"/>
      <c r="V474" s="18"/>
      <c r="W474" s="15"/>
      <c r="X474" s="15"/>
    </row>
    <row r="475">
      <c r="A475" s="7">
        <v>474.0</v>
      </c>
      <c r="B475" s="8" t="s">
        <v>2163</v>
      </c>
      <c r="C475" s="9" t="s">
        <v>2164</v>
      </c>
      <c r="D475" s="10" t="str">
        <f>HYPERLINK("https://facebook.com/367089020688300_517166649013869", "367089020688300_517166649013869")</f>
        <v>367089020688300_517166649013869</v>
      </c>
      <c r="E475" s="11">
        <v>25.0</v>
      </c>
      <c r="F475" s="11">
        <v>1.0</v>
      </c>
      <c r="G475" s="11">
        <v>22.0</v>
      </c>
      <c r="H475" s="9" t="s">
        <v>26</v>
      </c>
      <c r="I475" s="9" t="s">
        <v>2165</v>
      </c>
      <c r="J475" s="9" t="s">
        <v>2166</v>
      </c>
      <c r="K475" s="9" t="s">
        <v>2167</v>
      </c>
      <c r="L475" s="9" t="s">
        <v>30</v>
      </c>
      <c r="M475" s="9" t="s">
        <v>31</v>
      </c>
      <c r="N475" s="9" t="s">
        <v>32</v>
      </c>
      <c r="O475" s="12" t="s">
        <v>33</v>
      </c>
      <c r="P475" s="12" t="s">
        <v>34</v>
      </c>
      <c r="Q475" s="9"/>
      <c r="R475" s="18"/>
      <c r="S475" s="18"/>
      <c r="T475" s="18"/>
      <c r="U475" s="18"/>
      <c r="V475" s="18"/>
      <c r="W475" s="15"/>
      <c r="X475" s="15"/>
    </row>
    <row r="476">
      <c r="A476" s="7">
        <v>475.0</v>
      </c>
      <c r="B476" s="8" t="s">
        <v>2168</v>
      </c>
      <c r="C476" s="9" t="s">
        <v>2169</v>
      </c>
      <c r="D476" s="10" t="str">
        <f>HYPERLINK("https://facebook.com/367089020688300_543518726378661", "367089020688300_543518726378661")</f>
        <v>367089020688300_543518726378661</v>
      </c>
      <c r="E476" s="11">
        <v>28.0</v>
      </c>
      <c r="F476" s="11">
        <v>0.0</v>
      </c>
      <c r="G476" s="11">
        <v>21.0</v>
      </c>
      <c r="H476" s="9" t="s">
        <v>26</v>
      </c>
      <c r="I476" s="9" t="s">
        <v>2170</v>
      </c>
      <c r="J476" s="16" t="s">
        <v>2171</v>
      </c>
      <c r="K476" s="9"/>
      <c r="L476" s="9" t="s">
        <v>30</v>
      </c>
      <c r="M476" s="9" t="s">
        <v>31</v>
      </c>
      <c r="N476" s="9" t="s">
        <v>32</v>
      </c>
      <c r="O476" s="12" t="s">
        <v>33</v>
      </c>
      <c r="P476" s="12" t="s">
        <v>34</v>
      </c>
      <c r="Q476" s="9"/>
      <c r="R476" s="18"/>
      <c r="S476" s="18"/>
      <c r="T476" s="18"/>
      <c r="U476" s="18"/>
      <c r="V476" s="18"/>
      <c r="W476" s="15"/>
      <c r="X476" s="15"/>
    </row>
    <row r="477">
      <c r="A477" s="7">
        <v>476.0</v>
      </c>
      <c r="B477" s="8" t="s">
        <v>2172</v>
      </c>
      <c r="C477" s="9" t="s">
        <v>2173</v>
      </c>
      <c r="D477" s="10" t="str">
        <f>HYPERLINK("https://facebook.com/367089020688300_515239462539921", "367089020688300_515239462539921")</f>
        <v>367089020688300_515239462539921</v>
      </c>
      <c r="E477" s="11">
        <v>654.0</v>
      </c>
      <c r="F477" s="11">
        <v>9.0</v>
      </c>
      <c r="G477" s="11">
        <v>339.0</v>
      </c>
      <c r="H477" s="9" t="s">
        <v>26</v>
      </c>
      <c r="I477" s="9" t="s">
        <v>2174</v>
      </c>
      <c r="J477" s="16" t="s">
        <v>2175</v>
      </c>
      <c r="K477" s="9"/>
      <c r="L477" s="9" t="s">
        <v>30</v>
      </c>
      <c r="M477" s="9" t="s">
        <v>31</v>
      </c>
      <c r="N477" s="9" t="s">
        <v>32</v>
      </c>
      <c r="O477" s="12" t="s">
        <v>33</v>
      </c>
      <c r="P477" s="12" t="s">
        <v>34</v>
      </c>
      <c r="Q477" s="9"/>
      <c r="R477" s="18"/>
      <c r="S477" s="18"/>
      <c r="T477" s="18"/>
      <c r="U477" s="18"/>
      <c r="V477" s="18"/>
      <c r="W477" s="15"/>
      <c r="X477" s="15"/>
    </row>
    <row r="478">
      <c r="A478" s="7">
        <v>477.0</v>
      </c>
      <c r="B478" s="8" t="s">
        <v>2176</v>
      </c>
      <c r="C478" s="9" t="s">
        <v>2177</v>
      </c>
      <c r="D478" s="10" t="str">
        <f>HYPERLINK("https://facebook.com/367089020688300_533427180721149", "367089020688300_533427180721149")</f>
        <v>367089020688300_533427180721149</v>
      </c>
      <c r="E478" s="11">
        <v>33.0</v>
      </c>
      <c r="F478" s="11">
        <v>0.0</v>
      </c>
      <c r="G478" s="11">
        <v>69.0</v>
      </c>
      <c r="H478" s="9" t="s">
        <v>26</v>
      </c>
      <c r="I478" s="9" t="s">
        <v>474</v>
      </c>
      <c r="J478" s="9" t="s">
        <v>475</v>
      </c>
      <c r="K478" s="9" t="s">
        <v>2178</v>
      </c>
      <c r="L478" s="9" t="s">
        <v>30</v>
      </c>
      <c r="M478" s="9" t="s">
        <v>31</v>
      </c>
      <c r="N478" s="9" t="s">
        <v>32</v>
      </c>
      <c r="O478" s="12" t="s">
        <v>33</v>
      </c>
      <c r="P478" s="12" t="s">
        <v>34</v>
      </c>
      <c r="Q478" s="9"/>
      <c r="R478" s="18"/>
      <c r="S478" s="18"/>
      <c r="T478" s="18"/>
      <c r="U478" s="18"/>
      <c r="V478" s="18"/>
      <c r="W478" s="15"/>
      <c r="X478" s="15"/>
    </row>
    <row r="479">
      <c r="A479" s="7">
        <v>478.0</v>
      </c>
      <c r="B479" s="8" t="s">
        <v>2179</v>
      </c>
      <c r="C479" s="9" t="s">
        <v>2180</v>
      </c>
      <c r="D479" s="10" t="str">
        <f>HYPERLINK("https://facebook.com/367089020688300_546301706100363", "367089020688300_546301706100363")</f>
        <v>367089020688300_546301706100363</v>
      </c>
      <c r="E479" s="11">
        <v>71.0</v>
      </c>
      <c r="F479" s="11">
        <v>1.0</v>
      </c>
      <c r="G479" s="11">
        <v>140.0</v>
      </c>
      <c r="H479" s="9" t="s">
        <v>26</v>
      </c>
      <c r="I479" s="9" t="s">
        <v>2181</v>
      </c>
      <c r="J479" s="16" t="s">
        <v>2182</v>
      </c>
      <c r="K479" s="9"/>
      <c r="L479" s="9" t="s">
        <v>30</v>
      </c>
      <c r="M479" s="9" t="s">
        <v>31</v>
      </c>
      <c r="N479" s="9" t="s">
        <v>32</v>
      </c>
      <c r="O479" s="12" t="s">
        <v>33</v>
      </c>
      <c r="P479" s="12" t="s">
        <v>34</v>
      </c>
      <c r="Q479" s="9"/>
      <c r="R479" s="18"/>
      <c r="S479" s="18"/>
      <c r="T479" s="18"/>
      <c r="U479" s="18"/>
      <c r="V479" s="18"/>
      <c r="W479" s="15"/>
      <c r="X479" s="15"/>
    </row>
    <row r="480">
      <c r="A480" s="7">
        <v>479.0</v>
      </c>
      <c r="B480" s="8" t="s">
        <v>2183</v>
      </c>
      <c r="C480" s="9" t="s">
        <v>2184</v>
      </c>
      <c r="D480" s="10" t="str">
        <f>HYPERLINK("https://facebook.com/367089020688300_541519999911867", "367089020688300_541519999911867")</f>
        <v>367089020688300_541519999911867</v>
      </c>
      <c r="E480" s="11">
        <v>76.0</v>
      </c>
      <c r="F480" s="11">
        <v>1.0</v>
      </c>
      <c r="G480" s="11">
        <v>15.0</v>
      </c>
      <c r="H480" s="9" t="s">
        <v>26</v>
      </c>
      <c r="I480" s="9" t="s">
        <v>2185</v>
      </c>
      <c r="J480" s="9" t="s">
        <v>2186</v>
      </c>
      <c r="K480" s="9" t="s">
        <v>2187</v>
      </c>
      <c r="L480" s="9" t="s">
        <v>30</v>
      </c>
      <c r="M480" s="9" t="s">
        <v>31</v>
      </c>
      <c r="N480" s="9" t="s">
        <v>32</v>
      </c>
      <c r="O480" s="12" t="s">
        <v>33</v>
      </c>
      <c r="P480" s="12" t="s">
        <v>34</v>
      </c>
      <c r="Q480" s="9"/>
      <c r="R480" s="18"/>
      <c r="S480" s="18"/>
      <c r="T480" s="18"/>
      <c r="U480" s="18"/>
      <c r="V480" s="18"/>
      <c r="W480" s="15"/>
      <c r="X480" s="15"/>
    </row>
    <row r="481">
      <c r="A481" s="7">
        <v>480.0</v>
      </c>
      <c r="B481" s="8" t="s">
        <v>2188</v>
      </c>
      <c r="C481" s="9" t="s">
        <v>2189</v>
      </c>
      <c r="D481" s="10" t="str">
        <f>HYPERLINK("https://facebook.com/367089020688300_555355008528366", "367089020688300_555355008528366")</f>
        <v>367089020688300_555355008528366</v>
      </c>
      <c r="E481" s="11">
        <v>357.0</v>
      </c>
      <c r="F481" s="11">
        <v>2.0</v>
      </c>
      <c r="G481" s="11">
        <v>134.0</v>
      </c>
      <c r="H481" s="9" t="s">
        <v>26</v>
      </c>
      <c r="I481" s="9" t="s">
        <v>2190</v>
      </c>
      <c r="J481" s="16" t="s">
        <v>2191</v>
      </c>
      <c r="K481" s="9"/>
      <c r="L481" s="9" t="s">
        <v>30</v>
      </c>
      <c r="M481" s="9" t="s">
        <v>31</v>
      </c>
      <c r="N481" s="9" t="s">
        <v>32</v>
      </c>
      <c r="O481" s="12" t="s">
        <v>33</v>
      </c>
      <c r="P481" s="12" t="s">
        <v>34</v>
      </c>
      <c r="Q481" s="9"/>
      <c r="R481" s="18"/>
      <c r="S481" s="18"/>
      <c r="T481" s="18"/>
      <c r="U481" s="18"/>
      <c r="V481" s="18"/>
      <c r="W481" s="15"/>
      <c r="X481" s="15"/>
    </row>
    <row r="482">
      <c r="A482" s="7">
        <v>481.0</v>
      </c>
      <c r="B482" s="8" t="s">
        <v>2192</v>
      </c>
      <c r="C482" s="9" t="s">
        <v>2193</v>
      </c>
      <c r="D482" s="10" t="str">
        <f>HYPERLINK("https://facebook.com/367089020688300_450710445659490", "367089020688300_450710445659490")</f>
        <v>367089020688300_450710445659490</v>
      </c>
      <c r="E482" s="11">
        <v>32.0</v>
      </c>
      <c r="F482" s="11">
        <v>0.0</v>
      </c>
      <c r="G482" s="11">
        <v>46.0</v>
      </c>
      <c r="H482" s="9" t="s">
        <v>26</v>
      </c>
      <c r="I482" s="9" t="s">
        <v>2194</v>
      </c>
      <c r="J482" s="9" t="s">
        <v>2195</v>
      </c>
      <c r="K482" s="9" t="s">
        <v>2196</v>
      </c>
      <c r="L482" s="9" t="s">
        <v>30</v>
      </c>
      <c r="M482" s="9" t="s">
        <v>31</v>
      </c>
      <c r="N482" s="9" t="s">
        <v>32</v>
      </c>
      <c r="O482" s="12" t="s">
        <v>33</v>
      </c>
      <c r="P482" s="12" t="s">
        <v>34</v>
      </c>
      <c r="Q482" s="9"/>
      <c r="R482" s="18"/>
      <c r="S482" s="18"/>
      <c r="T482" s="18"/>
      <c r="U482" s="18"/>
      <c r="V482" s="18"/>
      <c r="W482" s="15"/>
      <c r="X482" s="15"/>
    </row>
    <row r="483">
      <c r="A483" s="7">
        <v>482.0</v>
      </c>
      <c r="B483" s="8" t="s">
        <v>2197</v>
      </c>
      <c r="C483" s="9" t="s">
        <v>2198</v>
      </c>
      <c r="D483" s="10" t="str">
        <f>HYPERLINK("https://facebook.com/367089020688300_551650775565456", "367089020688300_551650775565456")</f>
        <v>367089020688300_551650775565456</v>
      </c>
      <c r="E483" s="11">
        <v>19.0</v>
      </c>
      <c r="F483" s="11">
        <v>0.0</v>
      </c>
      <c r="G483" s="11">
        <v>22.0</v>
      </c>
      <c r="H483" s="9" t="s">
        <v>26</v>
      </c>
      <c r="I483" s="9" t="s">
        <v>2199</v>
      </c>
      <c r="J483" s="16" t="s">
        <v>2200</v>
      </c>
      <c r="K483" s="9"/>
      <c r="L483" s="9" t="s">
        <v>30</v>
      </c>
      <c r="M483" s="9" t="s">
        <v>31</v>
      </c>
      <c r="N483" s="9" t="s">
        <v>32</v>
      </c>
      <c r="O483" s="12" t="s">
        <v>33</v>
      </c>
      <c r="P483" s="12" t="s">
        <v>34</v>
      </c>
      <c r="Q483" s="9"/>
      <c r="R483" s="18"/>
      <c r="S483" s="18"/>
      <c r="T483" s="18"/>
      <c r="U483" s="18"/>
      <c r="V483" s="18"/>
      <c r="W483" s="15"/>
      <c r="X483" s="15"/>
    </row>
    <row r="484">
      <c r="A484" s="7">
        <v>483.0</v>
      </c>
      <c r="B484" s="8" t="s">
        <v>2201</v>
      </c>
      <c r="C484" s="9" t="s">
        <v>2202</v>
      </c>
      <c r="D484" s="10" t="str">
        <f>HYPERLINK("https://facebook.com/367089020688300_541983099865557", "367089020688300_541983099865557")</f>
        <v>367089020688300_541983099865557</v>
      </c>
      <c r="E484" s="11">
        <v>124.0</v>
      </c>
      <c r="F484" s="11">
        <v>2.0</v>
      </c>
      <c r="G484" s="11">
        <v>126.0</v>
      </c>
      <c r="H484" s="9" t="s">
        <v>26</v>
      </c>
      <c r="I484" s="9" t="s">
        <v>2203</v>
      </c>
      <c r="J484" s="9" t="s">
        <v>2204</v>
      </c>
      <c r="K484" s="9" t="s">
        <v>2205</v>
      </c>
      <c r="L484" s="9" t="s">
        <v>30</v>
      </c>
      <c r="M484" s="9" t="s">
        <v>31</v>
      </c>
      <c r="N484" s="9" t="s">
        <v>32</v>
      </c>
      <c r="O484" s="12" t="s">
        <v>33</v>
      </c>
      <c r="P484" s="12" t="s">
        <v>34</v>
      </c>
      <c r="Q484" s="9"/>
      <c r="R484" s="18"/>
      <c r="S484" s="18"/>
      <c r="T484" s="18"/>
      <c r="U484" s="18"/>
      <c r="V484" s="18"/>
      <c r="W484" s="15"/>
      <c r="X484" s="15"/>
    </row>
    <row r="485">
      <c r="A485" s="7">
        <v>484.0</v>
      </c>
      <c r="B485" s="8" t="s">
        <v>2206</v>
      </c>
      <c r="C485" s="9" t="s">
        <v>2207</v>
      </c>
      <c r="D485" s="10" t="str">
        <f>HYPERLINK("https://facebook.com/367089020688300_523573928373141", "367089020688300_523573928373141")</f>
        <v>367089020688300_523573928373141</v>
      </c>
      <c r="E485" s="11">
        <v>321.0</v>
      </c>
      <c r="F485" s="11">
        <v>2.0</v>
      </c>
      <c r="G485" s="11">
        <v>97.0</v>
      </c>
      <c r="H485" s="9" t="s">
        <v>26</v>
      </c>
      <c r="I485" s="9" t="s">
        <v>2208</v>
      </c>
      <c r="J485" s="9" t="s">
        <v>2209</v>
      </c>
      <c r="K485" s="9" t="s">
        <v>2210</v>
      </c>
      <c r="L485" s="9" t="s">
        <v>30</v>
      </c>
      <c r="M485" s="9" t="s">
        <v>31</v>
      </c>
      <c r="N485" s="9" t="s">
        <v>32</v>
      </c>
      <c r="O485" s="12" t="s">
        <v>33</v>
      </c>
      <c r="P485" s="12" t="s">
        <v>34</v>
      </c>
      <c r="Q485" s="9"/>
      <c r="R485" s="18"/>
      <c r="S485" s="18"/>
      <c r="T485" s="18"/>
      <c r="U485" s="18"/>
      <c r="V485" s="18"/>
      <c r="W485" s="15"/>
      <c r="X485" s="15"/>
    </row>
    <row r="486">
      <c r="A486" s="7">
        <v>485.0</v>
      </c>
      <c r="B486" s="8" t="s">
        <v>2211</v>
      </c>
      <c r="C486" s="9" t="s">
        <v>2212</v>
      </c>
      <c r="D486" s="10" t="str">
        <f>HYPERLINK("https://facebook.com/367089020688300_406616850068850", "367089020688300_406616850068850")</f>
        <v>367089020688300_406616850068850</v>
      </c>
      <c r="E486" s="11">
        <v>3.0</v>
      </c>
      <c r="F486" s="11">
        <v>0.0</v>
      </c>
      <c r="G486" s="11">
        <v>35.0</v>
      </c>
      <c r="H486" s="9" t="s">
        <v>26</v>
      </c>
      <c r="I486" s="9" t="s">
        <v>2213</v>
      </c>
      <c r="J486" s="16" t="s">
        <v>2214</v>
      </c>
      <c r="K486" s="9"/>
      <c r="L486" s="9" t="s">
        <v>30</v>
      </c>
      <c r="M486" s="9" t="s">
        <v>31</v>
      </c>
      <c r="N486" s="9" t="s">
        <v>32</v>
      </c>
      <c r="O486" s="12" t="s">
        <v>33</v>
      </c>
      <c r="P486" s="12" t="s">
        <v>34</v>
      </c>
      <c r="Q486" s="9"/>
      <c r="R486" s="18"/>
      <c r="S486" s="18"/>
      <c r="T486" s="18"/>
      <c r="U486" s="18"/>
      <c r="V486" s="18"/>
      <c r="W486" s="15"/>
      <c r="X486" s="15"/>
    </row>
    <row r="487">
      <c r="A487" s="7">
        <v>486.0</v>
      </c>
      <c r="B487" s="8" t="s">
        <v>2215</v>
      </c>
      <c r="C487" s="9" t="s">
        <v>2216</v>
      </c>
      <c r="D487" s="10" t="str">
        <f>HYPERLINK("https://facebook.com/367089020688300_425809711482897", "367089020688300_425809711482897")</f>
        <v>367089020688300_425809711482897</v>
      </c>
      <c r="E487" s="11">
        <v>21.0</v>
      </c>
      <c r="F487" s="11">
        <v>0.0</v>
      </c>
      <c r="G487" s="11">
        <v>21.0</v>
      </c>
      <c r="H487" s="9" t="s">
        <v>26</v>
      </c>
      <c r="I487" s="9" t="s">
        <v>2217</v>
      </c>
      <c r="J487" s="16" t="s">
        <v>2218</v>
      </c>
      <c r="K487" s="9"/>
      <c r="L487" s="9" t="s">
        <v>30</v>
      </c>
      <c r="M487" s="9" t="s">
        <v>31</v>
      </c>
      <c r="N487" s="9" t="s">
        <v>32</v>
      </c>
      <c r="O487" s="12" t="s">
        <v>33</v>
      </c>
      <c r="P487" s="12" t="s">
        <v>34</v>
      </c>
      <c r="Q487" s="9"/>
      <c r="R487" s="18"/>
      <c r="S487" s="18"/>
      <c r="T487" s="18"/>
      <c r="U487" s="18"/>
      <c r="V487" s="18"/>
      <c r="W487" s="15"/>
      <c r="X487" s="15"/>
    </row>
    <row r="488">
      <c r="A488" s="7">
        <v>487.0</v>
      </c>
      <c r="B488" s="8" t="s">
        <v>2219</v>
      </c>
      <c r="C488" s="9" t="s">
        <v>2220</v>
      </c>
      <c r="D488" s="10" t="str">
        <f>HYPERLINK("https://facebook.com/367089020688300_396321811098354", "367089020688300_396321811098354")</f>
        <v>367089020688300_396321811098354</v>
      </c>
      <c r="E488" s="11">
        <v>136.0</v>
      </c>
      <c r="F488" s="11">
        <v>1.0</v>
      </c>
      <c r="G488" s="11">
        <v>76.0</v>
      </c>
      <c r="H488" s="9" t="s">
        <v>26</v>
      </c>
      <c r="I488" s="9" t="s">
        <v>2221</v>
      </c>
      <c r="J488" s="9" t="s">
        <v>2222</v>
      </c>
      <c r="K488" s="9" t="s">
        <v>2223</v>
      </c>
      <c r="L488" s="9" t="s">
        <v>30</v>
      </c>
      <c r="M488" s="9" t="s">
        <v>31</v>
      </c>
      <c r="N488" s="9" t="s">
        <v>32</v>
      </c>
      <c r="O488" s="12" t="s">
        <v>33</v>
      </c>
      <c r="P488" s="12" t="s">
        <v>34</v>
      </c>
      <c r="Q488" s="9"/>
      <c r="R488" s="18"/>
      <c r="S488" s="18"/>
      <c r="T488" s="18"/>
      <c r="U488" s="18"/>
      <c r="V488" s="18"/>
      <c r="W488" s="15"/>
      <c r="X488" s="15"/>
    </row>
    <row r="489">
      <c r="A489" s="7">
        <v>488.0</v>
      </c>
      <c r="B489" s="8" t="s">
        <v>2224</v>
      </c>
      <c r="C489" s="9" t="s">
        <v>2225</v>
      </c>
      <c r="D489" s="10" t="str">
        <f>HYPERLINK("https://facebook.com/367089020688300_511450696252131", "367089020688300_511450696252131")</f>
        <v>367089020688300_511450696252131</v>
      </c>
      <c r="E489" s="11">
        <v>137.0</v>
      </c>
      <c r="F489" s="11">
        <v>1.0</v>
      </c>
      <c r="G489" s="11">
        <v>71.0</v>
      </c>
      <c r="H489" s="9" t="s">
        <v>26</v>
      </c>
      <c r="I489" s="9" t="s">
        <v>2226</v>
      </c>
      <c r="J489" s="9" t="s">
        <v>2227</v>
      </c>
      <c r="K489" s="9" t="s">
        <v>2228</v>
      </c>
      <c r="L489" s="9" t="s">
        <v>30</v>
      </c>
      <c r="M489" s="9" t="s">
        <v>31</v>
      </c>
      <c r="N489" s="9" t="s">
        <v>32</v>
      </c>
      <c r="O489" s="12" t="s">
        <v>33</v>
      </c>
      <c r="P489" s="12" t="s">
        <v>34</v>
      </c>
      <c r="Q489" s="9"/>
      <c r="R489" s="18"/>
      <c r="S489" s="18"/>
      <c r="T489" s="18"/>
      <c r="U489" s="18"/>
      <c r="V489" s="18"/>
      <c r="W489" s="15"/>
      <c r="X489" s="15"/>
    </row>
    <row r="490">
      <c r="A490" s="7">
        <v>489.0</v>
      </c>
      <c r="B490" s="8" t="s">
        <v>2229</v>
      </c>
      <c r="C490" s="9" t="s">
        <v>2230</v>
      </c>
      <c r="D490" s="10" t="str">
        <f>HYPERLINK("https://facebook.com/367089020688300_538119606918573", "367089020688300_538119606918573")</f>
        <v>367089020688300_538119606918573</v>
      </c>
      <c r="E490" s="11">
        <v>23.0</v>
      </c>
      <c r="F490" s="11">
        <v>0.0</v>
      </c>
      <c r="G490" s="11">
        <v>17.0</v>
      </c>
      <c r="H490" s="9" t="s">
        <v>26</v>
      </c>
      <c r="I490" s="9" t="s">
        <v>2231</v>
      </c>
      <c r="J490" s="16" t="s">
        <v>2232</v>
      </c>
      <c r="K490" s="9"/>
      <c r="L490" s="9" t="s">
        <v>30</v>
      </c>
      <c r="M490" s="9" t="s">
        <v>31</v>
      </c>
      <c r="N490" s="9" t="s">
        <v>32</v>
      </c>
      <c r="O490" s="12" t="s">
        <v>33</v>
      </c>
      <c r="P490" s="12" t="s">
        <v>34</v>
      </c>
      <c r="Q490" s="9"/>
      <c r="R490" s="18"/>
      <c r="S490" s="18"/>
      <c r="T490" s="18"/>
      <c r="U490" s="18"/>
      <c r="V490" s="18"/>
      <c r="W490" s="15"/>
      <c r="X490" s="15"/>
    </row>
    <row r="491">
      <c r="A491" s="7">
        <v>490.0</v>
      </c>
      <c r="B491" s="8" t="s">
        <v>2233</v>
      </c>
      <c r="C491" s="9" t="s">
        <v>2234</v>
      </c>
      <c r="D491" s="10" t="str">
        <f>HYPERLINK("https://facebook.com/367089020688300_543679333029267", "367089020688300_543679333029267")</f>
        <v>367089020688300_543679333029267</v>
      </c>
      <c r="E491" s="11">
        <v>42.0</v>
      </c>
      <c r="F491" s="11">
        <v>1.0</v>
      </c>
      <c r="G491" s="11">
        <v>16.0</v>
      </c>
      <c r="H491" s="9" t="s">
        <v>26</v>
      </c>
      <c r="I491" s="9" t="s">
        <v>2235</v>
      </c>
      <c r="J491" s="16" t="s">
        <v>2236</v>
      </c>
      <c r="K491" s="9"/>
      <c r="L491" s="9" t="s">
        <v>30</v>
      </c>
      <c r="M491" s="9" t="s">
        <v>31</v>
      </c>
      <c r="N491" s="9" t="s">
        <v>32</v>
      </c>
      <c r="O491" s="12" t="s">
        <v>33</v>
      </c>
      <c r="P491" s="12" t="s">
        <v>34</v>
      </c>
      <c r="Q491" s="9"/>
      <c r="R491" s="18"/>
      <c r="S491" s="18"/>
      <c r="T491" s="18"/>
      <c r="U491" s="18"/>
      <c r="V491" s="18"/>
      <c r="W491" s="15"/>
      <c r="X491" s="15"/>
    </row>
    <row r="492">
      <c r="A492" s="7">
        <v>491.0</v>
      </c>
      <c r="B492" s="8" t="s">
        <v>2237</v>
      </c>
      <c r="C492" s="9" t="s">
        <v>2238</v>
      </c>
      <c r="D492" s="10" t="str">
        <f>HYPERLINK("https://facebook.com/367089020688300_541731616557372", "367089020688300_541731616557372")</f>
        <v>367089020688300_541731616557372</v>
      </c>
      <c r="E492" s="11">
        <v>1691.0</v>
      </c>
      <c r="F492" s="11">
        <v>7.0</v>
      </c>
      <c r="G492" s="11">
        <v>1146.0</v>
      </c>
      <c r="H492" s="9" t="s">
        <v>26</v>
      </c>
      <c r="I492" s="9" t="s">
        <v>2239</v>
      </c>
      <c r="J492" s="9" t="s">
        <v>2240</v>
      </c>
      <c r="K492" s="9" t="s">
        <v>249</v>
      </c>
      <c r="L492" s="9" t="s">
        <v>30</v>
      </c>
      <c r="M492" s="9" t="s">
        <v>31</v>
      </c>
      <c r="N492" s="9" t="s">
        <v>32</v>
      </c>
      <c r="O492" s="12" t="s">
        <v>33</v>
      </c>
      <c r="P492" s="12" t="s">
        <v>34</v>
      </c>
      <c r="Q492" s="9"/>
      <c r="R492" s="18"/>
      <c r="S492" s="18"/>
      <c r="T492" s="18"/>
      <c r="U492" s="18"/>
      <c r="V492" s="18"/>
      <c r="W492" s="15"/>
      <c r="X492" s="15"/>
    </row>
    <row r="493">
      <c r="A493" s="7">
        <v>492.0</v>
      </c>
      <c r="B493" s="8" t="s">
        <v>2241</v>
      </c>
      <c r="C493" s="9" t="s">
        <v>2242</v>
      </c>
      <c r="D493" s="10" t="str">
        <f>HYPERLINK("https://facebook.com/367089020688300_551289535601580", "367089020688300_551289535601580")</f>
        <v>367089020688300_551289535601580</v>
      </c>
      <c r="E493" s="11">
        <v>82.0</v>
      </c>
      <c r="F493" s="11">
        <v>0.0</v>
      </c>
      <c r="G493" s="11">
        <v>66.0</v>
      </c>
      <c r="H493" s="9" t="s">
        <v>26</v>
      </c>
      <c r="I493" s="9" t="s">
        <v>2243</v>
      </c>
      <c r="J493" s="16" t="s">
        <v>2244</v>
      </c>
      <c r="K493" s="9"/>
      <c r="L493" s="9" t="s">
        <v>30</v>
      </c>
      <c r="M493" s="9" t="s">
        <v>31</v>
      </c>
      <c r="N493" s="9" t="s">
        <v>32</v>
      </c>
      <c r="O493" s="12" t="s">
        <v>33</v>
      </c>
      <c r="P493" s="12" t="s">
        <v>34</v>
      </c>
      <c r="Q493" s="9"/>
      <c r="R493" s="18"/>
      <c r="S493" s="18"/>
      <c r="T493" s="18"/>
      <c r="U493" s="18"/>
      <c r="V493" s="18"/>
      <c r="W493" s="15"/>
      <c r="X493" s="15"/>
    </row>
    <row r="494">
      <c r="A494" s="7">
        <v>493.0</v>
      </c>
      <c r="B494" s="8" t="s">
        <v>2245</v>
      </c>
      <c r="C494" s="9" t="s">
        <v>2246</v>
      </c>
      <c r="D494" s="10" t="str">
        <f>HYPERLINK("https://facebook.com/367089020688300_529347807795753", "367089020688300_529347807795753")</f>
        <v>367089020688300_529347807795753</v>
      </c>
      <c r="E494" s="11">
        <v>963.0</v>
      </c>
      <c r="F494" s="11">
        <v>39.0</v>
      </c>
      <c r="G494" s="11">
        <v>521.0</v>
      </c>
      <c r="H494" s="9" t="s">
        <v>26</v>
      </c>
      <c r="I494" s="9" t="s">
        <v>2247</v>
      </c>
      <c r="J494" s="9" t="s">
        <v>2248</v>
      </c>
      <c r="K494" s="9" t="s">
        <v>2249</v>
      </c>
      <c r="L494" s="9" t="s">
        <v>30</v>
      </c>
      <c r="M494" s="9" t="s">
        <v>31</v>
      </c>
      <c r="N494" s="9" t="s">
        <v>32</v>
      </c>
      <c r="O494" s="12" t="s">
        <v>33</v>
      </c>
      <c r="P494" s="12" t="s">
        <v>34</v>
      </c>
      <c r="Q494" s="9"/>
      <c r="R494" s="18"/>
      <c r="S494" s="18"/>
      <c r="T494" s="18"/>
      <c r="U494" s="18"/>
      <c r="V494" s="18"/>
      <c r="W494" s="15"/>
      <c r="X494" s="15"/>
    </row>
    <row r="495">
      <c r="A495" s="7">
        <v>494.0</v>
      </c>
      <c r="B495" s="8" t="s">
        <v>2250</v>
      </c>
      <c r="C495" s="9" t="s">
        <v>2251</v>
      </c>
      <c r="D495" s="10" t="str">
        <f>HYPERLINK("https://facebook.com/367089020688300_544977952899405", "367089020688300_544977952899405")</f>
        <v>367089020688300_544977952899405</v>
      </c>
      <c r="E495" s="11">
        <v>374.0</v>
      </c>
      <c r="F495" s="11">
        <v>24.0</v>
      </c>
      <c r="G495" s="11">
        <v>682.0</v>
      </c>
      <c r="H495" s="9" t="s">
        <v>26</v>
      </c>
      <c r="I495" s="9" t="s">
        <v>2252</v>
      </c>
      <c r="J495" s="9" t="s">
        <v>2253</v>
      </c>
      <c r="K495" s="9" t="s">
        <v>219</v>
      </c>
      <c r="L495" s="9" t="s">
        <v>30</v>
      </c>
      <c r="M495" s="9" t="s">
        <v>31</v>
      </c>
      <c r="N495" s="9" t="s">
        <v>32</v>
      </c>
      <c r="O495" s="12" t="s">
        <v>33</v>
      </c>
      <c r="P495" s="12" t="s">
        <v>34</v>
      </c>
      <c r="Q495" s="9"/>
      <c r="R495" s="18"/>
      <c r="S495" s="18"/>
      <c r="T495" s="18"/>
      <c r="U495" s="18"/>
      <c r="V495" s="18"/>
      <c r="W495" s="15"/>
      <c r="X495" s="15"/>
    </row>
    <row r="496">
      <c r="A496" s="7">
        <v>495.0</v>
      </c>
      <c r="B496" s="8" t="s">
        <v>2254</v>
      </c>
      <c r="C496" s="9" t="s">
        <v>2255</v>
      </c>
      <c r="D496" s="10" t="str">
        <f>HYPERLINK("https://facebook.com/367089020688300_552532685477265", "367089020688300_552532685477265")</f>
        <v>367089020688300_552532685477265</v>
      </c>
      <c r="E496" s="11">
        <v>4.0</v>
      </c>
      <c r="F496" s="11">
        <v>0.0</v>
      </c>
      <c r="G496" s="11">
        <v>5.0</v>
      </c>
      <c r="H496" s="9" t="s">
        <v>26</v>
      </c>
      <c r="I496" s="9" t="s">
        <v>2256</v>
      </c>
      <c r="J496" s="16" t="s">
        <v>2257</v>
      </c>
      <c r="K496" s="9"/>
      <c r="L496" s="9" t="s">
        <v>30</v>
      </c>
      <c r="M496" s="9" t="s">
        <v>31</v>
      </c>
      <c r="N496" s="9" t="s">
        <v>32</v>
      </c>
      <c r="O496" s="12" t="s">
        <v>33</v>
      </c>
      <c r="P496" s="12" t="s">
        <v>34</v>
      </c>
      <c r="Q496" s="9"/>
      <c r="R496" s="18"/>
      <c r="S496" s="18"/>
      <c r="T496" s="18"/>
      <c r="U496" s="18"/>
      <c r="V496" s="18"/>
      <c r="W496" s="15"/>
      <c r="X496" s="15"/>
    </row>
    <row r="497">
      <c r="A497" s="7">
        <v>496.0</v>
      </c>
      <c r="B497" s="8" t="s">
        <v>2258</v>
      </c>
      <c r="C497" s="9" t="s">
        <v>2259</v>
      </c>
      <c r="D497" s="10" t="str">
        <f>HYPERLINK("https://facebook.com/367089020688300_549051242492076", "367089020688300_549051242492076")</f>
        <v>367089020688300_549051242492076</v>
      </c>
      <c r="E497" s="11">
        <v>23.0</v>
      </c>
      <c r="F497" s="11">
        <v>0.0</v>
      </c>
      <c r="G497" s="11">
        <v>18.0</v>
      </c>
      <c r="H497" s="9" t="s">
        <v>26</v>
      </c>
      <c r="I497" s="9" t="s">
        <v>2260</v>
      </c>
      <c r="J497" s="16" t="s">
        <v>2261</v>
      </c>
      <c r="K497" s="9"/>
      <c r="L497" s="9" t="s">
        <v>30</v>
      </c>
      <c r="M497" s="9" t="s">
        <v>31</v>
      </c>
      <c r="N497" s="9" t="s">
        <v>32</v>
      </c>
      <c r="O497" s="12" t="s">
        <v>33</v>
      </c>
      <c r="P497" s="12" t="s">
        <v>34</v>
      </c>
      <c r="Q497" s="9"/>
      <c r="R497" s="18"/>
      <c r="S497" s="18"/>
      <c r="T497" s="18"/>
      <c r="U497" s="18"/>
      <c r="V497" s="18"/>
      <c r="W497" s="15"/>
      <c r="X497" s="15"/>
    </row>
    <row r="498">
      <c r="A498" s="7">
        <v>497.0</v>
      </c>
      <c r="B498" s="8" t="s">
        <v>2262</v>
      </c>
      <c r="C498" s="9" t="s">
        <v>2263</v>
      </c>
      <c r="D498" s="10" t="str">
        <f>HYPERLINK("https://facebook.com/367089020688300_560432528020614", "367089020688300_560432528020614")</f>
        <v>367089020688300_560432528020614</v>
      </c>
      <c r="E498" s="11">
        <v>114.0</v>
      </c>
      <c r="F498" s="11">
        <v>1.0</v>
      </c>
      <c r="G498" s="11">
        <v>87.0</v>
      </c>
      <c r="H498" s="9" t="s">
        <v>26</v>
      </c>
      <c r="I498" s="9" t="s">
        <v>2264</v>
      </c>
      <c r="J498" s="9" t="s">
        <v>2265</v>
      </c>
      <c r="K498" s="9" t="s">
        <v>2266</v>
      </c>
      <c r="L498" s="9" t="s">
        <v>30</v>
      </c>
      <c r="M498" s="9" t="s">
        <v>31</v>
      </c>
      <c r="N498" s="9" t="s">
        <v>32</v>
      </c>
      <c r="O498" s="12" t="s">
        <v>33</v>
      </c>
      <c r="P498" s="12" t="s">
        <v>34</v>
      </c>
      <c r="Q498" s="9"/>
      <c r="R498" s="18"/>
      <c r="S498" s="18"/>
      <c r="T498" s="18"/>
      <c r="U498" s="18"/>
      <c r="V498" s="18"/>
      <c r="W498" s="15"/>
      <c r="X498" s="15"/>
    </row>
    <row r="499">
      <c r="A499" s="7">
        <v>498.0</v>
      </c>
      <c r="B499" s="8" t="s">
        <v>2267</v>
      </c>
      <c r="C499" s="9" t="s">
        <v>2268</v>
      </c>
      <c r="D499" s="10" t="str">
        <f>HYPERLINK("https://facebook.com/367089020688300_545115309552336", "367089020688300_545115309552336")</f>
        <v>367089020688300_545115309552336</v>
      </c>
      <c r="E499" s="11">
        <v>6.0</v>
      </c>
      <c r="F499" s="11">
        <v>0.0</v>
      </c>
      <c r="G499" s="11">
        <v>5.0</v>
      </c>
      <c r="H499" s="9" t="s">
        <v>26</v>
      </c>
      <c r="I499" s="9" t="s">
        <v>2269</v>
      </c>
      <c r="J499" s="9" t="s">
        <v>2270</v>
      </c>
      <c r="K499" s="9" t="s">
        <v>2271</v>
      </c>
      <c r="L499" s="9" t="s">
        <v>30</v>
      </c>
      <c r="M499" s="9" t="s">
        <v>31</v>
      </c>
      <c r="N499" s="9" t="s">
        <v>32</v>
      </c>
      <c r="O499" s="12" t="s">
        <v>33</v>
      </c>
      <c r="P499" s="12" t="s">
        <v>34</v>
      </c>
      <c r="Q499" s="9"/>
      <c r="R499" s="18"/>
      <c r="S499" s="18"/>
      <c r="T499" s="18"/>
      <c r="U499" s="18"/>
      <c r="V499" s="18"/>
      <c r="W499" s="15"/>
      <c r="X499" s="15"/>
    </row>
    <row r="500">
      <c r="A500" s="7">
        <v>499.0</v>
      </c>
      <c r="B500" s="8" t="s">
        <v>2272</v>
      </c>
      <c r="C500" s="9" t="s">
        <v>2273</v>
      </c>
      <c r="D500" s="10" t="str">
        <f>HYPERLINK("https://facebook.com/367089020688300_536491587081375", "367089020688300_536491587081375")</f>
        <v>367089020688300_536491587081375</v>
      </c>
      <c r="E500" s="11">
        <v>200.0</v>
      </c>
      <c r="F500" s="11">
        <v>2.0</v>
      </c>
      <c r="G500" s="11">
        <v>122.0</v>
      </c>
      <c r="H500" s="9" t="s">
        <v>26</v>
      </c>
      <c r="I500" s="9" t="s">
        <v>2274</v>
      </c>
      <c r="J500" s="9" t="s">
        <v>2275</v>
      </c>
      <c r="K500" s="9" t="s">
        <v>2276</v>
      </c>
      <c r="L500" s="9" t="s">
        <v>30</v>
      </c>
      <c r="M500" s="9" t="s">
        <v>31</v>
      </c>
      <c r="N500" s="9" t="s">
        <v>32</v>
      </c>
      <c r="O500" s="12" t="s">
        <v>33</v>
      </c>
      <c r="P500" s="12" t="s">
        <v>34</v>
      </c>
      <c r="Q500" s="9"/>
      <c r="R500" s="18"/>
      <c r="S500" s="18"/>
      <c r="T500" s="18"/>
      <c r="U500" s="18"/>
      <c r="V500" s="18"/>
      <c r="W500" s="15"/>
      <c r="X500" s="15"/>
    </row>
    <row r="501">
      <c r="A501" s="7">
        <v>500.0</v>
      </c>
      <c r="B501" s="8" t="s">
        <v>2277</v>
      </c>
      <c r="C501" s="9" t="s">
        <v>2278</v>
      </c>
      <c r="D501" s="10" t="str">
        <f>HYPERLINK("https://facebook.com/367089020688300_527420407988493", "367089020688300_527420407988493")</f>
        <v>367089020688300_527420407988493</v>
      </c>
      <c r="E501" s="11">
        <v>71.0</v>
      </c>
      <c r="F501" s="11">
        <v>0.0</v>
      </c>
      <c r="G501" s="11">
        <v>71.0</v>
      </c>
      <c r="H501" s="9" t="s">
        <v>26</v>
      </c>
      <c r="I501" s="9" t="s">
        <v>2279</v>
      </c>
      <c r="J501" s="9" t="s">
        <v>2280</v>
      </c>
      <c r="K501" s="9" t="s">
        <v>2281</v>
      </c>
      <c r="L501" s="9" t="s">
        <v>30</v>
      </c>
      <c r="M501" s="9" t="s">
        <v>31</v>
      </c>
      <c r="N501" s="9" t="s">
        <v>32</v>
      </c>
      <c r="O501" s="12" t="s">
        <v>33</v>
      </c>
      <c r="P501" s="12" t="s">
        <v>34</v>
      </c>
      <c r="Q501" s="9"/>
      <c r="R501" s="18"/>
      <c r="S501" s="18"/>
      <c r="T501" s="18"/>
      <c r="U501" s="18"/>
      <c r="V501" s="18"/>
      <c r="W501" s="15"/>
      <c r="X501" s="15"/>
    </row>
    <row r="502">
      <c r="A502" s="7">
        <v>501.0</v>
      </c>
      <c r="B502" s="8" t="s">
        <v>2282</v>
      </c>
      <c r="C502" s="9" t="s">
        <v>2283</v>
      </c>
      <c r="D502" s="10" t="str">
        <f>HYPERLINK("https://facebook.com/367089020688300_525821808148353", "367089020688300_525821808148353")</f>
        <v>367089020688300_525821808148353</v>
      </c>
      <c r="E502" s="11">
        <v>48.0</v>
      </c>
      <c r="F502" s="11">
        <v>2.0</v>
      </c>
      <c r="G502" s="11">
        <v>62.0</v>
      </c>
      <c r="H502" s="9" t="s">
        <v>26</v>
      </c>
      <c r="I502" s="9" t="s">
        <v>2284</v>
      </c>
      <c r="J502" s="9" t="s">
        <v>2285</v>
      </c>
      <c r="K502" s="9" t="s">
        <v>2286</v>
      </c>
      <c r="L502" s="9" t="s">
        <v>30</v>
      </c>
      <c r="M502" s="9" t="s">
        <v>31</v>
      </c>
      <c r="N502" s="9" t="s">
        <v>32</v>
      </c>
      <c r="O502" s="12" t="s">
        <v>33</v>
      </c>
      <c r="P502" s="12" t="s">
        <v>34</v>
      </c>
      <c r="Q502" s="9"/>
      <c r="R502" s="18"/>
      <c r="S502" s="18"/>
      <c r="T502" s="18"/>
      <c r="U502" s="18"/>
      <c r="V502" s="18"/>
      <c r="W502" s="15"/>
      <c r="X502" s="15"/>
    </row>
    <row r="503">
      <c r="A503" s="7">
        <v>502.0</v>
      </c>
      <c r="B503" s="8" t="s">
        <v>2287</v>
      </c>
      <c r="C503" s="9" t="s">
        <v>2288</v>
      </c>
      <c r="D503" s="10" t="str">
        <f>HYPERLINK("https://facebook.com/367089020688300_532638460800021", "367089020688300_532638460800021")</f>
        <v>367089020688300_532638460800021</v>
      </c>
      <c r="E503" s="11">
        <v>293.0</v>
      </c>
      <c r="F503" s="11">
        <v>5.0</v>
      </c>
      <c r="G503" s="11">
        <v>90.0</v>
      </c>
      <c r="H503" s="9" t="s">
        <v>26</v>
      </c>
      <c r="I503" s="9" t="s">
        <v>2289</v>
      </c>
      <c r="J503" s="16" t="s">
        <v>2290</v>
      </c>
      <c r="K503" s="9"/>
      <c r="L503" s="9" t="s">
        <v>30</v>
      </c>
      <c r="M503" s="9" t="s">
        <v>31</v>
      </c>
      <c r="N503" s="9" t="s">
        <v>32</v>
      </c>
      <c r="O503" s="12" t="s">
        <v>33</v>
      </c>
      <c r="P503" s="12" t="s">
        <v>34</v>
      </c>
      <c r="Q503" s="9"/>
      <c r="R503" s="18"/>
      <c r="S503" s="18"/>
      <c r="T503" s="18"/>
      <c r="U503" s="18"/>
      <c r="V503" s="18"/>
      <c r="W503" s="15"/>
      <c r="X503" s="15"/>
    </row>
    <row r="504">
      <c r="A504" s="7">
        <v>503.0</v>
      </c>
      <c r="B504" s="8" t="s">
        <v>2291</v>
      </c>
      <c r="C504" s="9" t="s">
        <v>2292</v>
      </c>
      <c r="D504" s="10" t="str">
        <f>HYPERLINK("https://facebook.com/367089020688300_556563848407482", "367089020688300_556563848407482")</f>
        <v>367089020688300_556563848407482</v>
      </c>
      <c r="E504" s="11">
        <v>66.0</v>
      </c>
      <c r="F504" s="11">
        <v>0.0</v>
      </c>
      <c r="G504" s="11">
        <v>54.0</v>
      </c>
      <c r="H504" s="9" t="s">
        <v>26</v>
      </c>
      <c r="I504" s="9" t="s">
        <v>2293</v>
      </c>
      <c r="J504" s="9" t="s">
        <v>2294</v>
      </c>
      <c r="K504" s="9" t="s">
        <v>2295</v>
      </c>
      <c r="L504" s="9" t="s">
        <v>30</v>
      </c>
      <c r="M504" s="9" t="s">
        <v>31</v>
      </c>
      <c r="N504" s="9" t="s">
        <v>32</v>
      </c>
      <c r="O504" s="12" t="s">
        <v>33</v>
      </c>
      <c r="P504" s="12" t="s">
        <v>34</v>
      </c>
      <c r="Q504" s="9"/>
      <c r="R504" s="18"/>
      <c r="S504" s="18"/>
      <c r="T504" s="18"/>
      <c r="U504" s="18"/>
      <c r="V504" s="18"/>
      <c r="W504" s="15"/>
      <c r="X504" s="15"/>
    </row>
    <row r="505">
      <c r="A505" s="7">
        <v>504.0</v>
      </c>
      <c r="B505" s="8" t="s">
        <v>2296</v>
      </c>
      <c r="C505" s="9" t="s">
        <v>2297</v>
      </c>
      <c r="D505" s="10" t="str">
        <f>HYPERLINK("https://facebook.com/367089020688300_536535227077011", "367089020688300_536535227077011")</f>
        <v>367089020688300_536535227077011</v>
      </c>
      <c r="E505" s="11">
        <v>4504.0</v>
      </c>
      <c r="F505" s="11">
        <v>162.0</v>
      </c>
      <c r="G505" s="11">
        <v>1464.0</v>
      </c>
      <c r="H505" s="9" t="s">
        <v>26</v>
      </c>
      <c r="I505" s="9" t="s">
        <v>2298</v>
      </c>
      <c r="J505" s="16" t="s">
        <v>2299</v>
      </c>
      <c r="K505" s="9"/>
      <c r="L505" s="9" t="s">
        <v>30</v>
      </c>
      <c r="M505" s="9" t="s">
        <v>31</v>
      </c>
      <c r="N505" s="9" t="s">
        <v>32</v>
      </c>
      <c r="O505" s="12" t="s">
        <v>33</v>
      </c>
      <c r="P505" s="12" t="s">
        <v>34</v>
      </c>
      <c r="Q505" s="9"/>
      <c r="R505" s="18"/>
      <c r="S505" s="18"/>
      <c r="T505" s="18"/>
      <c r="U505" s="18"/>
      <c r="V505" s="18"/>
      <c r="W505" s="15"/>
      <c r="X505" s="15"/>
    </row>
    <row r="506">
      <c r="A506" s="7">
        <v>505.0</v>
      </c>
      <c r="B506" s="8" t="s">
        <v>2300</v>
      </c>
      <c r="C506" s="9" t="s">
        <v>2301</v>
      </c>
      <c r="D506" s="10" t="str">
        <f>HYPERLINK("https://facebook.com/367089020688300_511404542923413", "367089020688300_511404542923413")</f>
        <v>367089020688300_511404542923413</v>
      </c>
      <c r="E506" s="11">
        <v>17.0</v>
      </c>
      <c r="F506" s="11">
        <v>0.0</v>
      </c>
      <c r="G506" s="11">
        <v>29.0</v>
      </c>
      <c r="H506" s="9" t="s">
        <v>26</v>
      </c>
      <c r="I506" s="9" t="s">
        <v>2302</v>
      </c>
      <c r="J506" s="16" t="s">
        <v>2303</v>
      </c>
      <c r="K506" s="9"/>
      <c r="L506" s="9" t="s">
        <v>30</v>
      </c>
      <c r="M506" s="9" t="s">
        <v>31</v>
      </c>
      <c r="N506" s="9" t="s">
        <v>32</v>
      </c>
      <c r="O506" s="12" t="s">
        <v>33</v>
      </c>
      <c r="P506" s="12" t="s">
        <v>34</v>
      </c>
      <c r="Q506" s="9"/>
      <c r="R506" s="18"/>
      <c r="S506" s="18"/>
      <c r="T506" s="18"/>
      <c r="U506" s="18"/>
      <c r="V506" s="18"/>
      <c r="W506" s="15"/>
      <c r="X506" s="15"/>
    </row>
    <row r="507">
      <c r="A507" s="7">
        <v>506.0</v>
      </c>
      <c r="B507" s="8" t="s">
        <v>2304</v>
      </c>
      <c r="C507" s="9" t="s">
        <v>2305</v>
      </c>
      <c r="D507" s="10" t="str">
        <f>HYPERLINK("https://facebook.com/367089020688300_539515073445693", "367089020688300_539515073445693")</f>
        <v>367089020688300_539515073445693</v>
      </c>
      <c r="E507" s="11">
        <v>9.0</v>
      </c>
      <c r="F507" s="11">
        <v>0.0</v>
      </c>
      <c r="G507" s="11">
        <v>2.0</v>
      </c>
      <c r="H507" s="9" t="s">
        <v>26</v>
      </c>
      <c r="I507" s="9" t="s">
        <v>2306</v>
      </c>
      <c r="J507" s="9" t="s">
        <v>2307</v>
      </c>
      <c r="K507" s="9" t="s">
        <v>2308</v>
      </c>
      <c r="L507" s="9" t="s">
        <v>30</v>
      </c>
      <c r="M507" s="9" t="s">
        <v>31</v>
      </c>
      <c r="N507" s="9" t="s">
        <v>32</v>
      </c>
      <c r="O507" s="12" t="s">
        <v>33</v>
      </c>
      <c r="P507" s="12" t="s">
        <v>34</v>
      </c>
      <c r="Q507" s="9"/>
      <c r="R507" s="18"/>
      <c r="S507" s="18"/>
      <c r="T507" s="18"/>
      <c r="U507" s="18"/>
      <c r="V507" s="18"/>
      <c r="W507" s="15"/>
      <c r="X507" s="15"/>
    </row>
    <row r="508">
      <c r="A508" s="7">
        <v>507.0</v>
      </c>
      <c r="B508" s="8" t="s">
        <v>2309</v>
      </c>
      <c r="C508" s="9" t="s">
        <v>2310</v>
      </c>
      <c r="D508" s="10" t="str">
        <f>HYPERLINK("https://facebook.com/367089020688300_445573922839809", "367089020688300_445573922839809")</f>
        <v>367089020688300_445573922839809</v>
      </c>
      <c r="E508" s="11">
        <v>78.0</v>
      </c>
      <c r="F508" s="11">
        <v>1.0</v>
      </c>
      <c r="G508" s="11">
        <v>78.0</v>
      </c>
      <c r="H508" s="9" t="s">
        <v>26</v>
      </c>
      <c r="I508" s="9" t="s">
        <v>2311</v>
      </c>
      <c r="J508" s="9" t="s">
        <v>2312</v>
      </c>
      <c r="K508" s="9" t="s">
        <v>2313</v>
      </c>
      <c r="L508" s="9" t="s">
        <v>30</v>
      </c>
      <c r="M508" s="9" t="s">
        <v>31</v>
      </c>
      <c r="N508" s="9" t="s">
        <v>32</v>
      </c>
      <c r="O508" s="12" t="s">
        <v>33</v>
      </c>
      <c r="P508" s="12" t="s">
        <v>34</v>
      </c>
      <c r="Q508" s="9"/>
      <c r="R508" s="18"/>
      <c r="S508" s="18"/>
      <c r="T508" s="18"/>
      <c r="U508" s="18"/>
      <c r="V508" s="18"/>
      <c r="W508" s="15"/>
      <c r="X508" s="15"/>
    </row>
    <row r="509">
      <c r="A509" s="7">
        <v>508.0</v>
      </c>
      <c r="B509" s="8" t="s">
        <v>2314</v>
      </c>
      <c r="C509" s="9" t="s">
        <v>2315</v>
      </c>
      <c r="D509" s="10" t="str">
        <f>HYPERLINK("https://facebook.com/367089020688300_540016520062215", "367089020688300_540016520062215")</f>
        <v>367089020688300_540016520062215</v>
      </c>
      <c r="E509" s="11">
        <v>20.0</v>
      </c>
      <c r="F509" s="11">
        <v>0.0</v>
      </c>
      <c r="G509" s="11">
        <v>5.0</v>
      </c>
      <c r="H509" s="9" t="s">
        <v>26</v>
      </c>
      <c r="I509" s="9" t="s">
        <v>2316</v>
      </c>
      <c r="J509" s="9" t="s">
        <v>2317</v>
      </c>
      <c r="K509" s="9" t="s">
        <v>2318</v>
      </c>
      <c r="L509" s="9" t="s">
        <v>30</v>
      </c>
      <c r="M509" s="9" t="s">
        <v>31</v>
      </c>
      <c r="N509" s="9" t="s">
        <v>32</v>
      </c>
      <c r="O509" s="12" t="s">
        <v>33</v>
      </c>
      <c r="P509" s="12" t="s">
        <v>34</v>
      </c>
      <c r="Q509" s="9"/>
      <c r="R509" s="18"/>
      <c r="S509" s="18"/>
      <c r="T509" s="18"/>
      <c r="U509" s="18"/>
      <c r="V509" s="18"/>
      <c r="W509" s="15"/>
      <c r="X509" s="15"/>
    </row>
    <row r="510">
      <c r="A510" s="7">
        <v>509.0</v>
      </c>
      <c r="B510" s="8" t="s">
        <v>2319</v>
      </c>
      <c r="C510" s="9" t="s">
        <v>2320</v>
      </c>
      <c r="D510" s="10" t="str">
        <f>HYPERLINK("https://facebook.com/367089020688300_407300736667128", "367089020688300_407300736667128")</f>
        <v>367089020688300_407300736667128</v>
      </c>
      <c r="E510" s="11">
        <v>88.0</v>
      </c>
      <c r="F510" s="11">
        <v>1.0</v>
      </c>
      <c r="G510" s="11">
        <v>145.0</v>
      </c>
      <c r="H510" s="9" t="s">
        <v>26</v>
      </c>
      <c r="I510" s="9" t="s">
        <v>2321</v>
      </c>
      <c r="J510" s="9" t="s">
        <v>2322</v>
      </c>
      <c r="K510" s="9" t="s">
        <v>2323</v>
      </c>
      <c r="L510" s="9" t="s">
        <v>30</v>
      </c>
      <c r="M510" s="9" t="s">
        <v>31</v>
      </c>
      <c r="N510" s="9" t="s">
        <v>32</v>
      </c>
      <c r="O510" s="12" t="s">
        <v>33</v>
      </c>
      <c r="P510" s="12" t="s">
        <v>34</v>
      </c>
      <c r="Q510" s="9"/>
      <c r="R510" s="18"/>
      <c r="S510" s="18"/>
      <c r="T510" s="18"/>
      <c r="U510" s="18"/>
      <c r="V510" s="18"/>
      <c r="W510" s="15"/>
      <c r="X510" s="15"/>
    </row>
    <row r="511">
      <c r="A511" s="7">
        <v>510.0</v>
      </c>
      <c r="B511" s="8" t="s">
        <v>2324</v>
      </c>
      <c r="C511" s="9" t="s">
        <v>2325</v>
      </c>
      <c r="D511" s="10" t="str">
        <f>HYPERLINK("https://facebook.com/367089020688300_553165385413995", "367089020688300_553165385413995")</f>
        <v>367089020688300_553165385413995</v>
      </c>
      <c r="E511" s="11">
        <v>171.0</v>
      </c>
      <c r="F511" s="11">
        <v>0.0</v>
      </c>
      <c r="G511" s="11">
        <v>216.0</v>
      </c>
      <c r="H511" s="9" t="s">
        <v>26</v>
      </c>
      <c r="I511" s="9" t="s">
        <v>2326</v>
      </c>
      <c r="J511" s="16" t="s">
        <v>2327</v>
      </c>
      <c r="K511" s="9"/>
      <c r="L511" s="9" t="s">
        <v>30</v>
      </c>
      <c r="M511" s="9" t="s">
        <v>31</v>
      </c>
      <c r="N511" s="9" t="s">
        <v>32</v>
      </c>
      <c r="O511" s="12" t="s">
        <v>33</v>
      </c>
      <c r="P511" s="12" t="s">
        <v>34</v>
      </c>
      <c r="Q511" s="9"/>
      <c r="R511" s="18"/>
      <c r="S511" s="18"/>
      <c r="T511" s="18"/>
      <c r="U511" s="18"/>
      <c r="V511" s="18"/>
      <c r="W511" s="15"/>
      <c r="X511" s="15"/>
    </row>
    <row r="512">
      <c r="A512" s="7">
        <v>511.0</v>
      </c>
      <c r="B512" s="8" t="s">
        <v>2328</v>
      </c>
      <c r="C512" s="9" t="s">
        <v>2329</v>
      </c>
      <c r="D512" s="10" t="str">
        <f>HYPERLINK("https://facebook.com/367089020688300_532809747449559", "367089020688300_532809747449559")</f>
        <v>367089020688300_532809747449559</v>
      </c>
      <c r="E512" s="11">
        <v>456.0</v>
      </c>
      <c r="F512" s="11">
        <v>9.0</v>
      </c>
      <c r="G512" s="11">
        <v>480.0</v>
      </c>
      <c r="H512" s="9" t="s">
        <v>26</v>
      </c>
      <c r="I512" s="9" t="s">
        <v>2330</v>
      </c>
      <c r="J512" s="9" t="s">
        <v>2331</v>
      </c>
      <c r="K512" s="9" t="s">
        <v>2332</v>
      </c>
      <c r="L512" s="9" t="s">
        <v>30</v>
      </c>
      <c r="M512" s="9" t="s">
        <v>31</v>
      </c>
      <c r="N512" s="9" t="s">
        <v>32</v>
      </c>
      <c r="O512" s="12" t="s">
        <v>33</v>
      </c>
      <c r="P512" s="12" t="s">
        <v>34</v>
      </c>
      <c r="Q512" s="9"/>
      <c r="R512" s="18"/>
      <c r="S512" s="18"/>
      <c r="T512" s="18"/>
      <c r="U512" s="18"/>
      <c r="V512" s="18"/>
      <c r="W512" s="15"/>
      <c r="X512" s="15"/>
    </row>
    <row r="513">
      <c r="A513" s="7">
        <v>512.0</v>
      </c>
      <c r="B513" s="8" t="s">
        <v>2333</v>
      </c>
      <c r="C513" s="9" t="s">
        <v>2334</v>
      </c>
      <c r="D513" s="10" t="str">
        <f>HYPERLINK("https://facebook.com/367089020688300_560882287975638", "367089020688300_560882287975638")</f>
        <v>367089020688300_560882287975638</v>
      </c>
      <c r="E513" s="11">
        <v>98.0</v>
      </c>
      <c r="F513" s="11">
        <v>0.0</v>
      </c>
      <c r="G513" s="11">
        <v>39.0</v>
      </c>
      <c r="H513" s="9" t="s">
        <v>26</v>
      </c>
      <c r="I513" s="9" t="s">
        <v>2335</v>
      </c>
      <c r="J513" s="16" t="s">
        <v>2336</v>
      </c>
      <c r="K513" s="9"/>
      <c r="L513" s="9" t="s">
        <v>30</v>
      </c>
      <c r="M513" s="9" t="s">
        <v>31</v>
      </c>
      <c r="N513" s="9" t="s">
        <v>32</v>
      </c>
      <c r="O513" s="12" t="s">
        <v>33</v>
      </c>
      <c r="P513" s="12" t="s">
        <v>34</v>
      </c>
      <c r="Q513" s="9"/>
      <c r="R513" s="18"/>
      <c r="S513" s="18"/>
      <c r="T513" s="18"/>
      <c r="U513" s="18"/>
      <c r="V513" s="18"/>
      <c r="W513" s="15"/>
      <c r="X513" s="15"/>
    </row>
    <row r="514">
      <c r="A514" s="7">
        <v>513.0</v>
      </c>
      <c r="B514" s="8" t="s">
        <v>2337</v>
      </c>
      <c r="C514" s="9" t="s">
        <v>2338</v>
      </c>
      <c r="D514" s="10" t="str">
        <f>HYPERLINK("https://facebook.com/367089020688300_560355434694990", "367089020688300_560355434694990")</f>
        <v>367089020688300_560355434694990</v>
      </c>
      <c r="E514" s="11">
        <v>26.0</v>
      </c>
      <c r="F514" s="11">
        <v>0.0</v>
      </c>
      <c r="G514" s="11">
        <v>11.0</v>
      </c>
      <c r="H514" s="9" t="s">
        <v>26</v>
      </c>
      <c r="I514" s="9" t="s">
        <v>2339</v>
      </c>
      <c r="J514" s="9" t="s">
        <v>2340</v>
      </c>
      <c r="K514" s="9" t="s">
        <v>2341</v>
      </c>
      <c r="L514" s="9" t="s">
        <v>30</v>
      </c>
      <c r="M514" s="9" t="s">
        <v>31</v>
      </c>
      <c r="N514" s="9" t="s">
        <v>32</v>
      </c>
      <c r="O514" s="12" t="s">
        <v>33</v>
      </c>
      <c r="P514" s="12" t="s">
        <v>34</v>
      </c>
      <c r="Q514" s="9"/>
      <c r="R514" s="18"/>
      <c r="S514" s="18"/>
      <c r="T514" s="18"/>
      <c r="U514" s="18"/>
      <c r="V514" s="18"/>
      <c r="W514" s="15"/>
      <c r="X514" s="15"/>
    </row>
    <row r="515">
      <c r="A515" s="7">
        <v>514.0</v>
      </c>
      <c r="B515" s="8" t="s">
        <v>2342</v>
      </c>
      <c r="C515" s="9" t="s">
        <v>2343</v>
      </c>
      <c r="D515" s="10" t="str">
        <f>HYPERLINK("https://facebook.com/367089020688300_558701894860344", "367089020688300_558701894860344")</f>
        <v>367089020688300_558701894860344</v>
      </c>
      <c r="E515" s="11">
        <v>59.0</v>
      </c>
      <c r="F515" s="11">
        <v>0.0</v>
      </c>
      <c r="G515" s="11">
        <v>49.0</v>
      </c>
      <c r="H515" s="9" t="s">
        <v>26</v>
      </c>
      <c r="I515" s="9" t="s">
        <v>2344</v>
      </c>
      <c r="J515" s="9" t="s">
        <v>2345</v>
      </c>
      <c r="K515" s="9" t="s">
        <v>249</v>
      </c>
      <c r="L515" s="9" t="s">
        <v>30</v>
      </c>
      <c r="M515" s="9" t="s">
        <v>31</v>
      </c>
      <c r="N515" s="9" t="s">
        <v>32</v>
      </c>
      <c r="O515" s="12" t="s">
        <v>33</v>
      </c>
      <c r="P515" s="12" t="s">
        <v>34</v>
      </c>
      <c r="Q515" s="9"/>
      <c r="R515" s="18"/>
      <c r="S515" s="18"/>
      <c r="T515" s="18"/>
      <c r="U515" s="18"/>
      <c r="V515" s="18"/>
      <c r="W515" s="15"/>
      <c r="X515" s="15"/>
    </row>
    <row r="516">
      <c r="A516" s="7">
        <v>515.0</v>
      </c>
      <c r="B516" s="8" t="s">
        <v>2346</v>
      </c>
      <c r="C516" s="9" t="s">
        <v>2347</v>
      </c>
      <c r="D516" s="10" t="str">
        <f>HYPERLINK("https://facebook.com/367089020688300_421608315236370", "367089020688300_421608315236370")</f>
        <v>367089020688300_421608315236370</v>
      </c>
      <c r="E516" s="11">
        <v>698.0</v>
      </c>
      <c r="F516" s="11">
        <v>53.0</v>
      </c>
      <c r="G516" s="11">
        <v>947.0</v>
      </c>
      <c r="H516" s="9" t="s">
        <v>26</v>
      </c>
      <c r="I516" s="9" t="s">
        <v>2348</v>
      </c>
      <c r="J516" s="9" t="s">
        <v>2349</v>
      </c>
      <c r="K516" s="9" t="s">
        <v>341</v>
      </c>
      <c r="L516" s="9" t="s">
        <v>30</v>
      </c>
      <c r="M516" s="9" t="s">
        <v>31</v>
      </c>
      <c r="N516" s="9" t="s">
        <v>32</v>
      </c>
      <c r="O516" s="12" t="s">
        <v>33</v>
      </c>
      <c r="P516" s="12" t="s">
        <v>34</v>
      </c>
      <c r="Q516" s="9"/>
      <c r="R516" s="18"/>
      <c r="S516" s="18"/>
      <c r="T516" s="18"/>
      <c r="U516" s="18"/>
      <c r="V516" s="18"/>
      <c r="W516" s="15"/>
      <c r="X516" s="15"/>
    </row>
    <row r="517">
      <c r="A517" s="7">
        <v>516.0</v>
      </c>
      <c r="B517" s="8" t="s">
        <v>2350</v>
      </c>
      <c r="C517" s="9" t="s">
        <v>2351</v>
      </c>
      <c r="D517" s="10" t="str">
        <f>HYPERLINK("https://facebook.com/367089020688300_424607118269823", "367089020688300_424607118269823")</f>
        <v>367089020688300_424607118269823</v>
      </c>
      <c r="E517" s="11">
        <v>1505.0</v>
      </c>
      <c r="F517" s="11">
        <v>30.0</v>
      </c>
      <c r="G517" s="11">
        <v>1089.0</v>
      </c>
      <c r="H517" s="9" t="s">
        <v>26</v>
      </c>
      <c r="I517" s="9" t="s">
        <v>2352</v>
      </c>
      <c r="J517" s="9" t="s">
        <v>2353</v>
      </c>
      <c r="K517" s="9" t="s">
        <v>2354</v>
      </c>
      <c r="L517" s="9" t="s">
        <v>30</v>
      </c>
      <c r="M517" s="9" t="s">
        <v>31</v>
      </c>
      <c r="N517" s="9" t="s">
        <v>32</v>
      </c>
      <c r="O517" s="12" t="s">
        <v>33</v>
      </c>
      <c r="P517" s="12" t="s">
        <v>34</v>
      </c>
      <c r="Q517" s="9"/>
      <c r="R517" s="18"/>
      <c r="S517" s="18"/>
      <c r="T517" s="18"/>
      <c r="U517" s="18"/>
      <c r="V517" s="18"/>
      <c r="W517" s="15"/>
      <c r="X517" s="15"/>
    </row>
    <row r="518">
      <c r="A518" s="7">
        <v>517.0</v>
      </c>
      <c r="B518" s="8" t="s">
        <v>2355</v>
      </c>
      <c r="C518" s="9" t="s">
        <v>2356</v>
      </c>
      <c r="D518" s="10" t="str">
        <f>HYPERLINK("https://facebook.com/367089020688300_494172251313309", "367089020688300_494172251313309")</f>
        <v>367089020688300_494172251313309</v>
      </c>
      <c r="E518" s="11">
        <v>1711.0</v>
      </c>
      <c r="F518" s="11">
        <v>98.0</v>
      </c>
      <c r="G518" s="11">
        <v>949.0</v>
      </c>
      <c r="H518" s="9" t="s">
        <v>26</v>
      </c>
      <c r="I518" s="9" t="s">
        <v>2357</v>
      </c>
      <c r="J518" s="9" t="s">
        <v>2358</v>
      </c>
      <c r="K518" s="9" t="s">
        <v>920</v>
      </c>
      <c r="L518" s="9" t="s">
        <v>30</v>
      </c>
      <c r="M518" s="9" t="s">
        <v>31</v>
      </c>
      <c r="N518" s="9" t="s">
        <v>32</v>
      </c>
      <c r="O518" s="12" t="s">
        <v>33</v>
      </c>
      <c r="P518" s="12" t="s">
        <v>34</v>
      </c>
      <c r="Q518" s="9"/>
      <c r="R518" s="18"/>
      <c r="S518" s="18"/>
      <c r="T518" s="18"/>
      <c r="U518" s="18"/>
      <c r="V518" s="18"/>
      <c r="W518" s="15"/>
      <c r="X518" s="15"/>
    </row>
    <row r="519">
      <c r="A519" s="7">
        <v>518.0</v>
      </c>
      <c r="B519" s="8" t="s">
        <v>2359</v>
      </c>
      <c r="C519" s="9" t="s">
        <v>2360</v>
      </c>
      <c r="D519" s="10" t="str">
        <f>HYPERLINK("https://facebook.com/367089020688300_552113772185823", "367089020688300_552113772185823")</f>
        <v>367089020688300_552113772185823</v>
      </c>
      <c r="E519" s="11">
        <v>10.0</v>
      </c>
      <c r="F519" s="11">
        <v>0.0</v>
      </c>
      <c r="G519" s="11">
        <v>4.0</v>
      </c>
      <c r="H519" s="9" t="s">
        <v>26</v>
      </c>
      <c r="I519" s="9" t="s">
        <v>2361</v>
      </c>
      <c r="J519" s="16" t="s">
        <v>2362</v>
      </c>
      <c r="K519" s="9"/>
      <c r="L519" s="9" t="s">
        <v>30</v>
      </c>
      <c r="M519" s="9" t="s">
        <v>31</v>
      </c>
      <c r="N519" s="9" t="s">
        <v>32</v>
      </c>
      <c r="O519" s="12" t="s">
        <v>33</v>
      </c>
      <c r="P519" s="12" t="s">
        <v>34</v>
      </c>
      <c r="Q519" s="9"/>
      <c r="R519" s="18"/>
      <c r="S519" s="18"/>
      <c r="T519" s="18"/>
      <c r="U519" s="18"/>
      <c r="V519" s="18"/>
      <c r="W519" s="15"/>
      <c r="X519" s="15"/>
    </row>
    <row r="520">
      <c r="A520" s="7">
        <v>519.0</v>
      </c>
      <c r="B520" s="8" t="s">
        <v>2363</v>
      </c>
      <c r="C520" s="9" t="s">
        <v>2364</v>
      </c>
      <c r="D520" s="10" t="str">
        <f>HYPERLINK("https://facebook.com/367089020688300_537334306997103", "367089020688300_537334306997103")</f>
        <v>367089020688300_537334306997103</v>
      </c>
      <c r="E520" s="11">
        <v>15.0</v>
      </c>
      <c r="F520" s="11">
        <v>0.0</v>
      </c>
      <c r="G520" s="11">
        <v>10.0</v>
      </c>
      <c r="H520" s="9" t="s">
        <v>26</v>
      </c>
      <c r="I520" s="9" t="s">
        <v>2365</v>
      </c>
      <c r="J520" s="9" t="s">
        <v>2366</v>
      </c>
      <c r="K520" s="9" t="s">
        <v>2367</v>
      </c>
      <c r="L520" s="9" t="s">
        <v>30</v>
      </c>
      <c r="M520" s="9" t="s">
        <v>31</v>
      </c>
      <c r="N520" s="9" t="s">
        <v>32</v>
      </c>
      <c r="O520" s="12" t="s">
        <v>33</v>
      </c>
      <c r="P520" s="12" t="s">
        <v>34</v>
      </c>
      <c r="Q520" s="9"/>
      <c r="R520" s="18"/>
      <c r="S520" s="18"/>
      <c r="T520" s="18"/>
      <c r="U520" s="18"/>
      <c r="V520" s="18"/>
      <c r="W520" s="15"/>
      <c r="X520" s="15"/>
    </row>
    <row r="521">
      <c r="A521" s="7">
        <v>520.0</v>
      </c>
      <c r="B521" s="8" t="s">
        <v>2368</v>
      </c>
      <c r="C521" s="9" t="s">
        <v>2369</v>
      </c>
      <c r="D521" s="10" t="str">
        <f>HYPERLINK("https://facebook.com/367089020688300_493492781381256", "367089020688300_493492781381256")</f>
        <v>367089020688300_493492781381256</v>
      </c>
      <c r="E521" s="11">
        <v>56.0</v>
      </c>
      <c r="F521" s="11">
        <v>0.0</v>
      </c>
      <c r="G521" s="11">
        <v>68.0</v>
      </c>
      <c r="H521" s="9" t="s">
        <v>26</v>
      </c>
      <c r="I521" s="9" t="s">
        <v>2370</v>
      </c>
      <c r="J521" s="9" t="s">
        <v>2371</v>
      </c>
      <c r="K521" s="9" t="s">
        <v>2372</v>
      </c>
      <c r="L521" s="9" t="s">
        <v>30</v>
      </c>
      <c r="M521" s="9" t="s">
        <v>31</v>
      </c>
      <c r="N521" s="9" t="s">
        <v>32</v>
      </c>
      <c r="O521" s="12" t="s">
        <v>33</v>
      </c>
      <c r="P521" s="12" t="s">
        <v>34</v>
      </c>
      <c r="Q521" s="9"/>
      <c r="R521" s="18"/>
      <c r="S521" s="18"/>
      <c r="T521" s="18"/>
      <c r="U521" s="18"/>
      <c r="V521" s="18"/>
      <c r="W521" s="15"/>
      <c r="X521" s="15"/>
    </row>
    <row r="522">
      <c r="A522" s="7">
        <v>521.0</v>
      </c>
      <c r="B522" s="8" t="s">
        <v>2373</v>
      </c>
      <c r="C522" s="9" t="s">
        <v>2374</v>
      </c>
      <c r="D522" s="10" t="str">
        <f>HYPERLINK("https://facebook.com/367089020688300_555819311815269", "367089020688300_555819311815269")</f>
        <v>367089020688300_555819311815269</v>
      </c>
      <c r="E522" s="11">
        <v>359.0</v>
      </c>
      <c r="F522" s="11">
        <v>3.0</v>
      </c>
      <c r="G522" s="11">
        <v>372.0</v>
      </c>
      <c r="H522" s="9" t="s">
        <v>26</v>
      </c>
      <c r="I522" s="9" t="s">
        <v>2375</v>
      </c>
      <c r="J522" s="16" t="s">
        <v>2376</v>
      </c>
      <c r="K522" s="9"/>
      <c r="L522" s="9" t="s">
        <v>30</v>
      </c>
      <c r="M522" s="9" t="s">
        <v>31</v>
      </c>
      <c r="N522" s="9" t="s">
        <v>32</v>
      </c>
      <c r="O522" s="12" t="s">
        <v>33</v>
      </c>
      <c r="P522" s="12" t="s">
        <v>34</v>
      </c>
      <c r="Q522" s="9"/>
      <c r="R522" s="18"/>
      <c r="S522" s="18"/>
      <c r="T522" s="18"/>
      <c r="U522" s="18"/>
      <c r="V522" s="18"/>
      <c r="W522" s="15"/>
      <c r="X522" s="15"/>
    </row>
    <row r="523">
      <c r="A523" s="7">
        <v>522.0</v>
      </c>
      <c r="B523" s="8" t="s">
        <v>2377</v>
      </c>
      <c r="C523" s="9" t="s">
        <v>2378</v>
      </c>
      <c r="D523" s="10" t="str">
        <f>HYPERLINK("https://facebook.com/367089020688300_554388768624990", "367089020688300_554388768624990")</f>
        <v>367089020688300_554388768624990</v>
      </c>
      <c r="E523" s="11">
        <v>49.0</v>
      </c>
      <c r="F523" s="11">
        <v>0.0</v>
      </c>
      <c r="G523" s="11">
        <v>32.0</v>
      </c>
      <c r="H523" s="9" t="s">
        <v>26</v>
      </c>
      <c r="I523" s="9" t="s">
        <v>2379</v>
      </c>
      <c r="J523" s="16" t="s">
        <v>2380</v>
      </c>
      <c r="K523" s="9"/>
      <c r="L523" s="9" t="s">
        <v>30</v>
      </c>
      <c r="M523" s="9" t="s">
        <v>31</v>
      </c>
      <c r="N523" s="9" t="s">
        <v>32</v>
      </c>
      <c r="O523" s="12" t="s">
        <v>33</v>
      </c>
      <c r="P523" s="12" t="s">
        <v>34</v>
      </c>
      <c r="Q523" s="9"/>
      <c r="R523" s="18"/>
      <c r="S523" s="18"/>
      <c r="T523" s="18"/>
      <c r="U523" s="18"/>
      <c r="V523" s="18"/>
      <c r="W523" s="15"/>
      <c r="X523" s="15"/>
    </row>
    <row r="524">
      <c r="A524" s="7">
        <v>523.0</v>
      </c>
      <c r="B524" s="8" t="s">
        <v>2381</v>
      </c>
      <c r="C524" s="9" t="s">
        <v>2382</v>
      </c>
      <c r="D524" s="10" t="str">
        <f>HYPERLINK("https://facebook.com/367089020688300_546896396040894", "367089020688300_546896396040894")</f>
        <v>367089020688300_546896396040894</v>
      </c>
      <c r="E524" s="11">
        <v>10.0</v>
      </c>
      <c r="F524" s="11">
        <v>0.0</v>
      </c>
      <c r="G524" s="11">
        <v>2.0</v>
      </c>
      <c r="H524" s="9" t="s">
        <v>26</v>
      </c>
      <c r="I524" s="9" t="s">
        <v>2383</v>
      </c>
      <c r="J524" s="9" t="s">
        <v>2384</v>
      </c>
      <c r="K524" s="9" t="s">
        <v>2385</v>
      </c>
      <c r="L524" s="9" t="s">
        <v>30</v>
      </c>
      <c r="M524" s="9" t="s">
        <v>31</v>
      </c>
      <c r="N524" s="9" t="s">
        <v>32</v>
      </c>
      <c r="O524" s="12" t="s">
        <v>33</v>
      </c>
      <c r="P524" s="12" t="s">
        <v>34</v>
      </c>
      <c r="Q524" s="9"/>
      <c r="R524" s="18"/>
      <c r="S524" s="18"/>
      <c r="T524" s="18"/>
      <c r="U524" s="18"/>
      <c r="V524" s="18"/>
      <c r="W524" s="15"/>
      <c r="X524" s="15"/>
    </row>
    <row r="525">
      <c r="A525" s="7">
        <v>524.0</v>
      </c>
      <c r="B525" s="8" t="s">
        <v>2386</v>
      </c>
      <c r="C525" s="9" t="s">
        <v>2387</v>
      </c>
      <c r="D525" s="10" t="str">
        <f>HYPERLINK("https://facebook.com/367089020688300_507256363338231", "367089020688300_507256363338231")</f>
        <v>367089020688300_507256363338231</v>
      </c>
      <c r="E525" s="11">
        <v>156.0</v>
      </c>
      <c r="F525" s="11">
        <v>3.0</v>
      </c>
      <c r="G525" s="11">
        <v>268.0</v>
      </c>
      <c r="H525" s="9" t="s">
        <v>26</v>
      </c>
      <c r="I525" s="9" t="s">
        <v>2388</v>
      </c>
      <c r="J525" s="9" t="s">
        <v>2389</v>
      </c>
      <c r="K525" s="9" t="s">
        <v>2390</v>
      </c>
      <c r="L525" s="9" t="s">
        <v>30</v>
      </c>
      <c r="M525" s="9" t="s">
        <v>31</v>
      </c>
      <c r="N525" s="9" t="s">
        <v>32</v>
      </c>
      <c r="O525" s="12" t="s">
        <v>33</v>
      </c>
      <c r="P525" s="12" t="s">
        <v>34</v>
      </c>
      <c r="Q525" s="9"/>
      <c r="R525" s="18"/>
      <c r="S525" s="18"/>
      <c r="T525" s="18"/>
      <c r="U525" s="18"/>
      <c r="V525" s="18"/>
      <c r="W525" s="15"/>
      <c r="X525" s="15"/>
    </row>
    <row r="526">
      <c r="A526" s="7">
        <v>525.0</v>
      </c>
      <c r="B526" s="8" t="s">
        <v>2391</v>
      </c>
      <c r="C526" s="9" t="s">
        <v>2392</v>
      </c>
      <c r="D526" s="10" t="str">
        <f>HYPERLINK("https://facebook.com/367089020688300_513921766005024", "367089020688300_513921766005024")</f>
        <v>367089020688300_513921766005024</v>
      </c>
      <c r="E526" s="11">
        <v>40.0</v>
      </c>
      <c r="F526" s="11">
        <v>1.0</v>
      </c>
      <c r="G526" s="11">
        <v>80.0</v>
      </c>
      <c r="H526" s="9" t="s">
        <v>26</v>
      </c>
      <c r="I526" s="9" t="s">
        <v>2393</v>
      </c>
      <c r="J526" s="9" t="s">
        <v>2394</v>
      </c>
      <c r="K526" s="9" t="s">
        <v>2395</v>
      </c>
      <c r="L526" s="9" t="s">
        <v>30</v>
      </c>
      <c r="M526" s="9" t="s">
        <v>31</v>
      </c>
      <c r="N526" s="9" t="s">
        <v>32</v>
      </c>
      <c r="O526" s="12" t="s">
        <v>33</v>
      </c>
      <c r="P526" s="12" t="s">
        <v>34</v>
      </c>
      <c r="Q526" s="9"/>
      <c r="R526" s="18"/>
      <c r="S526" s="18"/>
      <c r="T526" s="18"/>
      <c r="U526" s="18"/>
      <c r="V526" s="18"/>
      <c r="W526" s="15"/>
      <c r="X526" s="15"/>
    </row>
    <row r="527">
      <c r="A527" s="7">
        <v>526.0</v>
      </c>
      <c r="B527" s="8" t="s">
        <v>2396</v>
      </c>
      <c r="C527" s="9" t="s">
        <v>2397</v>
      </c>
      <c r="D527" s="10" t="str">
        <f>HYPERLINK("https://facebook.com/367089020688300_561420537921813", "367089020688300_561420537921813")</f>
        <v>367089020688300_561420537921813</v>
      </c>
      <c r="E527" s="11">
        <v>445.0</v>
      </c>
      <c r="F527" s="11">
        <v>5.0</v>
      </c>
      <c r="G527" s="11">
        <v>320.0</v>
      </c>
      <c r="H527" s="9" t="s">
        <v>26</v>
      </c>
      <c r="I527" s="9" t="s">
        <v>2398</v>
      </c>
      <c r="J527" s="16" t="s">
        <v>2399</v>
      </c>
      <c r="K527" s="9"/>
      <c r="L527" s="9" t="s">
        <v>30</v>
      </c>
      <c r="M527" s="9" t="s">
        <v>31</v>
      </c>
      <c r="N527" s="9" t="s">
        <v>32</v>
      </c>
      <c r="O527" s="12" t="s">
        <v>33</v>
      </c>
      <c r="P527" s="12" t="s">
        <v>34</v>
      </c>
      <c r="Q527" s="9"/>
      <c r="R527" s="18"/>
      <c r="S527" s="18"/>
      <c r="T527" s="18"/>
      <c r="U527" s="18"/>
      <c r="V527" s="18"/>
      <c r="W527" s="15"/>
      <c r="X527" s="15"/>
    </row>
    <row r="528">
      <c r="A528" s="7">
        <v>527.0</v>
      </c>
      <c r="B528" s="8" t="s">
        <v>2400</v>
      </c>
      <c r="C528" s="9" t="s">
        <v>2401</v>
      </c>
      <c r="D528" s="10" t="str">
        <f>HYPERLINK("https://facebook.com/367089020688300_505293923534475", "367089020688300_505293923534475")</f>
        <v>367089020688300_505293923534475</v>
      </c>
      <c r="E528" s="11">
        <v>225.0</v>
      </c>
      <c r="F528" s="11">
        <v>7.0</v>
      </c>
      <c r="G528" s="11">
        <v>117.0</v>
      </c>
      <c r="H528" s="9" t="s">
        <v>26</v>
      </c>
      <c r="I528" s="9" t="s">
        <v>2402</v>
      </c>
      <c r="J528" s="9" t="s">
        <v>2403</v>
      </c>
      <c r="K528" s="9" t="s">
        <v>249</v>
      </c>
      <c r="L528" s="9" t="s">
        <v>30</v>
      </c>
      <c r="M528" s="9" t="s">
        <v>31</v>
      </c>
      <c r="N528" s="9" t="s">
        <v>32</v>
      </c>
      <c r="O528" s="12" t="s">
        <v>33</v>
      </c>
      <c r="P528" s="12" t="s">
        <v>34</v>
      </c>
      <c r="Q528" s="9"/>
      <c r="R528" s="18"/>
      <c r="S528" s="18"/>
      <c r="T528" s="18"/>
      <c r="U528" s="18"/>
      <c r="V528" s="18"/>
      <c r="W528" s="15"/>
      <c r="X528" s="15"/>
    </row>
    <row r="529">
      <c r="A529" s="7">
        <v>528.0</v>
      </c>
      <c r="B529" s="8" t="s">
        <v>2404</v>
      </c>
      <c r="C529" s="9" t="s">
        <v>2405</v>
      </c>
      <c r="D529" s="10" t="str">
        <f>HYPERLINK("https://facebook.com/367089020688300_528650397865494", "367089020688300_528650397865494")</f>
        <v>367089020688300_528650397865494</v>
      </c>
      <c r="E529" s="11">
        <v>167.0</v>
      </c>
      <c r="F529" s="11">
        <v>16.0</v>
      </c>
      <c r="G529" s="11">
        <v>312.0</v>
      </c>
      <c r="H529" s="9" t="s">
        <v>26</v>
      </c>
      <c r="I529" s="9" t="s">
        <v>2406</v>
      </c>
      <c r="J529" s="16" t="s">
        <v>2407</v>
      </c>
      <c r="K529" s="9"/>
      <c r="L529" s="9" t="s">
        <v>30</v>
      </c>
      <c r="M529" s="9" t="s">
        <v>31</v>
      </c>
      <c r="N529" s="9" t="s">
        <v>32</v>
      </c>
      <c r="O529" s="12" t="s">
        <v>33</v>
      </c>
      <c r="P529" s="12" t="s">
        <v>34</v>
      </c>
      <c r="Q529" s="9"/>
      <c r="R529" s="18"/>
      <c r="S529" s="18"/>
      <c r="T529" s="18"/>
      <c r="U529" s="18"/>
      <c r="V529" s="18"/>
      <c r="W529" s="15"/>
      <c r="X529" s="15"/>
    </row>
    <row r="530">
      <c r="A530" s="7">
        <v>529.0</v>
      </c>
      <c r="B530" s="8" t="s">
        <v>2408</v>
      </c>
      <c r="C530" s="9" t="s">
        <v>2409</v>
      </c>
      <c r="D530" s="10" t="str">
        <f>HYPERLINK("https://facebook.com/367089020688300_467879903942544", "367089020688300_467879903942544")</f>
        <v>367089020688300_467879903942544</v>
      </c>
      <c r="E530" s="11">
        <v>49.0</v>
      </c>
      <c r="F530" s="11">
        <v>2.0</v>
      </c>
      <c r="G530" s="11">
        <v>40.0</v>
      </c>
      <c r="H530" s="9" t="s">
        <v>26</v>
      </c>
      <c r="I530" s="9" t="s">
        <v>2410</v>
      </c>
      <c r="J530" s="9" t="s">
        <v>2411</v>
      </c>
      <c r="K530" s="9" t="s">
        <v>2412</v>
      </c>
      <c r="L530" s="9" t="s">
        <v>30</v>
      </c>
      <c r="M530" s="9" t="s">
        <v>31</v>
      </c>
      <c r="N530" s="9" t="s">
        <v>32</v>
      </c>
      <c r="O530" s="12" t="s">
        <v>33</v>
      </c>
      <c r="P530" s="12" t="s">
        <v>34</v>
      </c>
      <c r="Q530" s="9"/>
      <c r="R530" s="18"/>
      <c r="S530" s="18"/>
      <c r="T530" s="18"/>
      <c r="U530" s="18"/>
      <c r="V530" s="18"/>
      <c r="W530" s="15"/>
      <c r="X530" s="15"/>
    </row>
    <row r="531">
      <c r="A531" s="7">
        <v>530.0</v>
      </c>
      <c r="B531" s="8" t="s">
        <v>2413</v>
      </c>
      <c r="C531" s="9" t="s">
        <v>2414</v>
      </c>
      <c r="D531" s="10" t="str">
        <f>HYPERLINK("https://facebook.com/367089020688300_551430285587505", "367089020688300_551430285587505")</f>
        <v>367089020688300_551430285587505</v>
      </c>
      <c r="E531" s="11">
        <v>8.0</v>
      </c>
      <c r="F531" s="11">
        <v>1.0</v>
      </c>
      <c r="G531" s="11">
        <v>7.0</v>
      </c>
      <c r="H531" s="9" t="s">
        <v>26</v>
      </c>
      <c r="I531" s="9" t="s">
        <v>1723</v>
      </c>
      <c r="J531" s="9" t="s">
        <v>1724</v>
      </c>
      <c r="K531" s="9" t="s">
        <v>2415</v>
      </c>
      <c r="L531" s="9" t="s">
        <v>30</v>
      </c>
      <c r="M531" s="9" t="s">
        <v>31</v>
      </c>
      <c r="N531" s="9" t="s">
        <v>32</v>
      </c>
      <c r="O531" s="12" t="s">
        <v>33</v>
      </c>
      <c r="P531" s="12" t="s">
        <v>34</v>
      </c>
      <c r="Q531" s="9"/>
      <c r="R531" s="18"/>
      <c r="S531" s="18"/>
      <c r="T531" s="18"/>
      <c r="U531" s="18"/>
      <c r="V531" s="18"/>
      <c r="W531" s="15"/>
      <c r="X531" s="15"/>
    </row>
    <row r="532">
      <c r="A532" s="7">
        <v>531.0</v>
      </c>
      <c r="B532" s="8" t="s">
        <v>2416</v>
      </c>
      <c r="C532" s="9" t="s">
        <v>2417</v>
      </c>
      <c r="D532" s="10" t="str">
        <f>HYPERLINK("https://facebook.com/367089020688300_551281565602377", "367089020688300_551281565602377")</f>
        <v>367089020688300_551281565602377</v>
      </c>
      <c r="E532" s="11">
        <v>59.0</v>
      </c>
      <c r="F532" s="11">
        <v>0.0</v>
      </c>
      <c r="G532" s="11">
        <v>57.0</v>
      </c>
      <c r="H532" s="9" t="s">
        <v>26</v>
      </c>
      <c r="I532" s="9" t="s">
        <v>2418</v>
      </c>
      <c r="J532" s="16" t="s">
        <v>2419</v>
      </c>
      <c r="K532" s="9"/>
      <c r="L532" s="9" t="s">
        <v>30</v>
      </c>
      <c r="M532" s="9" t="s">
        <v>31</v>
      </c>
      <c r="N532" s="9" t="s">
        <v>32</v>
      </c>
      <c r="O532" s="12" t="s">
        <v>33</v>
      </c>
      <c r="P532" s="12" t="s">
        <v>34</v>
      </c>
      <c r="Q532" s="9"/>
      <c r="R532" s="18"/>
      <c r="S532" s="18"/>
      <c r="T532" s="18"/>
      <c r="U532" s="18"/>
      <c r="V532" s="18"/>
      <c r="W532" s="15"/>
      <c r="X532" s="15"/>
    </row>
    <row r="533">
      <c r="A533" s="7">
        <v>532.0</v>
      </c>
      <c r="B533" s="8" t="s">
        <v>2420</v>
      </c>
      <c r="C533" s="9" t="s">
        <v>2421</v>
      </c>
      <c r="D533" s="10" t="str">
        <f>HYPERLINK("https://facebook.com/367089020688300_549847442412456", "367089020688300_549847442412456")</f>
        <v>367089020688300_549847442412456</v>
      </c>
      <c r="E533" s="11">
        <v>76.0</v>
      </c>
      <c r="F533" s="11">
        <v>1.0</v>
      </c>
      <c r="G533" s="11">
        <v>162.0</v>
      </c>
      <c r="H533" s="9" t="s">
        <v>26</v>
      </c>
      <c r="I533" s="9" t="s">
        <v>2422</v>
      </c>
      <c r="J533" s="9" t="s">
        <v>2423</v>
      </c>
      <c r="K533" s="9" t="s">
        <v>2424</v>
      </c>
      <c r="L533" s="9" t="s">
        <v>30</v>
      </c>
      <c r="M533" s="9" t="s">
        <v>31</v>
      </c>
      <c r="N533" s="9" t="s">
        <v>32</v>
      </c>
      <c r="O533" s="12" t="s">
        <v>33</v>
      </c>
      <c r="P533" s="12" t="s">
        <v>34</v>
      </c>
      <c r="Q533" s="9"/>
      <c r="R533" s="18"/>
      <c r="S533" s="18"/>
      <c r="T533" s="18"/>
      <c r="U533" s="18"/>
      <c r="V533" s="18"/>
      <c r="W533" s="15"/>
      <c r="X533" s="15"/>
    </row>
    <row r="534">
      <c r="A534" s="7">
        <v>533.0</v>
      </c>
      <c r="B534" s="8" t="s">
        <v>2425</v>
      </c>
      <c r="C534" s="9" t="s">
        <v>2426</v>
      </c>
      <c r="D534" s="10" t="str">
        <f>HYPERLINK("https://facebook.com/367089020688300_537349373662263", "367089020688300_537349373662263")</f>
        <v>367089020688300_537349373662263</v>
      </c>
      <c r="E534" s="11">
        <v>124.0</v>
      </c>
      <c r="F534" s="11">
        <v>2.0</v>
      </c>
      <c r="G534" s="11">
        <v>96.0</v>
      </c>
      <c r="H534" s="9" t="s">
        <v>26</v>
      </c>
      <c r="I534" s="9" t="s">
        <v>2427</v>
      </c>
      <c r="J534" s="9" t="s">
        <v>2428</v>
      </c>
      <c r="K534" s="9" t="s">
        <v>2429</v>
      </c>
      <c r="L534" s="9" t="s">
        <v>30</v>
      </c>
      <c r="M534" s="9" t="s">
        <v>31</v>
      </c>
      <c r="N534" s="9" t="s">
        <v>32</v>
      </c>
      <c r="O534" s="12" t="s">
        <v>33</v>
      </c>
      <c r="P534" s="12" t="s">
        <v>34</v>
      </c>
      <c r="Q534" s="9"/>
      <c r="R534" s="18"/>
      <c r="S534" s="18"/>
      <c r="T534" s="18"/>
      <c r="U534" s="18"/>
      <c r="V534" s="18"/>
      <c r="W534" s="15"/>
      <c r="X534" s="15"/>
    </row>
    <row r="535">
      <c r="A535" s="7">
        <v>534.0</v>
      </c>
      <c r="B535" s="8" t="s">
        <v>2430</v>
      </c>
      <c r="C535" s="9" t="s">
        <v>2431</v>
      </c>
      <c r="D535" s="10" t="str">
        <f>HYPERLINK("https://facebook.com/367089020688300_483444795719388", "367089020688300_483444795719388")</f>
        <v>367089020688300_483444795719388</v>
      </c>
      <c r="E535" s="11">
        <v>132.0</v>
      </c>
      <c r="F535" s="11">
        <v>3.0</v>
      </c>
      <c r="G535" s="11">
        <v>66.0</v>
      </c>
      <c r="H535" s="9" t="s">
        <v>26</v>
      </c>
      <c r="I535" s="9" t="s">
        <v>2432</v>
      </c>
      <c r="J535" s="9" t="s">
        <v>2433</v>
      </c>
      <c r="K535" s="9" t="s">
        <v>577</v>
      </c>
      <c r="L535" s="9" t="s">
        <v>30</v>
      </c>
      <c r="M535" s="9" t="s">
        <v>31</v>
      </c>
      <c r="N535" s="9" t="s">
        <v>32</v>
      </c>
      <c r="O535" s="12" t="s">
        <v>33</v>
      </c>
      <c r="P535" s="12" t="s">
        <v>34</v>
      </c>
      <c r="Q535" s="9"/>
      <c r="R535" s="18"/>
      <c r="S535" s="18"/>
      <c r="T535" s="18"/>
      <c r="U535" s="18"/>
      <c r="V535" s="18"/>
      <c r="W535" s="15"/>
      <c r="X535" s="15"/>
    </row>
    <row r="536">
      <c r="A536" s="7">
        <v>535.0</v>
      </c>
      <c r="B536" s="8" t="s">
        <v>2434</v>
      </c>
      <c r="C536" s="9" t="s">
        <v>2435</v>
      </c>
      <c r="D536" s="10" t="str">
        <f>HYPERLINK("https://facebook.com/367089020688300_532938334103367", "367089020688300_532938334103367")</f>
        <v>367089020688300_532938334103367</v>
      </c>
      <c r="E536" s="11">
        <v>3770.0</v>
      </c>
      <c r="F536" s="11">
        <v>35.0</v>
      </c>
      <c r="G536" s="11">
        <v>2077.0</v>
      </c>
      <c r="H536" s="9" t="s">
        <v>26</v>
      </c>
      <c r="I536" s="9" t="s">
        <v>2436</v>
      </c>
      <c r="J536" s="9" t="s">
        <v>2437</v>
      </c>
      <c r="K536" s="9" t="s">
        <v>2438</v>
      </c>
      <c r="L536" s="9" t="s">
        <v>30</v>
      </c>
      <c r="M536" s="9" t="s">
        <v>31</v>
      </c>
      <c r="N536" s="9" t="s">
        <v>32</v>
      </c>
      <c r="O536" s="12" t="s">
        <v>33</v>
      </c>
      <c r="P536" s="12" t="s">
        <v>34</v>
      </c>
      <c r="Q536" s="9"/>
      <c r="R536" s="18"/>
      <c r="S536" s="18"/>
      <c r="T536" s="18"/>
      <c r="U536" s="18"/>
      <c r="V536" s="18"/>
      <c r="W536" s="15"/>
      <c r="X536" s="15"/>
    </row>
    <row r="537">
      <c r="A537" s="7">
        <v>536.0</v>
      </c>
      <c r="B537" s="8" t="s">
        <v>2439</v>
      </c>
      <c r="C537" s="9" t="s">
        <v>2440</v>
      </c>
      <c r="D537" s="10" t="str">
        <f>HYPERLINK("https://facebook.com/367089020688300_560665014664032", "367089020688300_560665014664032")</f>
        <v>367089020688300_560665014664032</v>
      </c>
      <c r="E537" s="11">
        <v>73.0</v>
      </c>
      <c r="F537" s="11">
        <v>2.0</v>
      </c>
      <c r="G537" s="11">
        <v>22.0</v>
      </c>
      <c r="H537" s="9" t="s">
        <v>26</v>
      </c>
      <c r="I537" s="9" t="s">
        <v>2441</v>
      </c>
      <c r="J537" s="16" t="s">
        <v>2442</v>
      </c>
      <c r="K537" s="9"/>
      <c r="L537" s="9" t="s">
        <v>30</v>
      </c>
      <c r="M537" s="9" t="s">
        <v>31</v>
      </c>
      <c r="N537" s="9" t="s">
        <v>32</v>
      </c>
      <c r="O537" s="12" t="s">
        <v>33</v>
      </c>
      <c r="P537" s="12" t="s">
        <v>34</v>
      </c>
      <c r="Q537" s="9"/>
      <c r="R537" s="18"/>
      <c r="S537" s="18"/>
      <c r="T537" s="18"/>
      <c r="U537" s="18"/>
      <c r="V537" s="18"/>
      <c r="W537" s="15"/>
      <c r="X537" s="15"/>
    </row>
    <row r="538">
      <c r="A538" s="7">
        <v>537.0</v>
      </c>
      <c r="B538" s="8" t="s">
        <v>2443</v>
      </c>
      <c r="C538" s="9" t="s">
        <v>2444</v>
      </c>
      <c r="D538" s="10" t="str">
        <f>HYPERLINK("https://facebook.com/367089020688300_520235942040273", "367089020688300_520235942040273")</f>
        <v>367089020688300_520235942040273</v>
      </c>
      <c r="E538" s="11">
        <v>939.0</v>
      </c>
      <c r="F538" s="11">
        <v>17.0</v>
      </c>
      <c r="G538" s="11">
        <v>499.0</v>
      </c>
      <c r="H538" s="9" t="s">
        <v>26</v>
      </c>
      <c r="I538" s="9" t="s">
        <v>2445</v>
      </c>
      <c r="J538" s="9" t="s">
        <v>2446</v>
      </c>
      <c r="K538" s="9" t="s">
        <v>476</v>
      </c>
      <c r="L538" s="9" t="s">
        <v>30</v>
      </c>
      <c r="M538" s="9" t="s">
        <v>31</v>
      </c>
      <c r="N538" s="9" t="s">
        <v>32</v>
      </c>
      <c r="O538" s="12" t="s">
        <v>33</v>
      </c>
      <c r="P538" s="12" t="s">
        <v>34</v>
      </c>
      <c r="Q538" s="9"/>
      <c r="R538" s="18"/>
      <c r="S538" s="18"/>
      <c r="T538" s="18"/>
      <c r="U538" s="18"/>
      <c r="V538" s="18"/>
      <c r="W538" s="15"/>
      <c r="X538" s="15"/>
    </row>
    <row r="539">
      <c r="A539" s="7">
        <v>538.0</v>
      </c>
      <c r="B539" s="8" t="s">
        <v>2447</v>
      </c>
      <c r="C539" s="9" t="s">
        <v>2448</v>
      </c>
      <c r="D539" s="10" t="str">
        <f>HYPERLINK("https://facebook.com/367089020688300_517955882268279", "367089020688300_517955882268279")</f>
        <v>367089020688300_517955882268279</v>
      </c>
      <c r="E539" s="11">
        <v>314.0</v>
      </c>
      <c r="F539" s="11">
        <v>4.0</v>
      </c>
      <c r="G539" s="11">
        <v>281.0</v>
      </c>
      <c r="H539" s="9" t="s">
        <v>26</v>
      </c>
      <c r="I539" s="9" t="s">
        <v>2449</v>
      </c>
      <c r="J539" s="9" t="s">
        <v>2450</v>
      </c>
      <c r="K539" s="9" t="s">
        <v>2451</v>
      </c>
      <c r="L539" s="9" t="s">
        <v>30</v>
      </c>
      <c r="M539" s="9" t="s">
        <v>31</v>
      </c>
      <c r="N539" s="9" t="s">
        <v>32</v>
      </c>
      <c r="O539" s="12" t="s">
        <v>33</v>
      </c>
      <c r="P539" s="12" t="s">
        <v>34</v>
      </c>
      <c r="Q539" s="9"/>
      <c r="R539" s="18"/>
      <c r="S539" s="18"/>
      <c r="T539" s="18"/>
      <c r="U539" s="18"/>
      <c r="V539" s="18"/>
      <c r="W539" s="15"/>
      <c r="X539" s="15"/>
    </row>
    <row r="540">
      <c r="A540" s="7">
        <v>539.0</v>
      </c>
      <c r="B540" s="8" t="s">
        <v>2452</v>
      </c>
      <c r="C540" s="9" t="s">
        <v>2453</v>
      </c>
      <c r="D540" s="10" t="str">
        <f>HYPERLINK("https://facebook.com/367089020688300_412849012778967", "367089020688300_412849012778967")</f>
        <v>367089020688300_412849012778967</v>
      </c>
      <c r="E540" s="11">
        <v>658.0</v>
      </c>
      <c r="F540" s="11">
        <v>20.0</v>
      </c>
      <c r="G540" s="11">
        <v>341.0</v>
      </c>
      <c r="H540" s="9" t="s">
        <v>26</v>
      </c>
      <c r="I540" s="9" t="s">
        <v>2454</v>
      </c>
      <c r="J540" s="9" t="s">
        <v>2455</v>
      </c>
      <c r="K540" s="9" t="s">
        <v>2456</v>
      </c>
      <c r="L540" s="9" t="s">
        <v>30</v>
      </c>
      <c r="M540" s="9" t="s">
        <v>31</v>
      </c>
      <c r="N540" s="9" t="s">
        <v>32</v>
      </c>
      <c r="O540" s="12" t="s">
        <v>33</v>
      </c>
      <c r="P540" s="12" t="s">
        <v>34</v>
      </c>
      <c r="Q540" s="9"/>
      <c r="R540" s="18"/>
      <c r="S540" s="18"/>
      <c r="T540" s="18"/>
      <c r="U540" s="18"/>
      <c r="V540" s="18"/>
      <c r="W540" s="15"/>
      <c r="X540" s="15"/>
    </row>
    <row r="541">
      <c r="A541" s="7">
        <v>540.0</v>
      </c>
      <c r="B541" s="8" t="s">
        <v>2457</v>
      </c>
      <c r="C541" s="9" t="s">
        <v>2458</v>
      </c>
      <c r="D541" s="10" t="str">
        <f>HYPERLINK("https://facebook.com/367089020688300_554088291988371", "367089020688300_554088291988371")</f>
        <v>367089020688300_554088291988371</v>
      </c>
      <c r="E541" s="11">
        <v>41.0</v>
      </c>
      <c r="F541" s="11">
        <v>0.0</v>
      </c>
      <c r="G541" s="11">
        <v>18.0</v>
      </c>
      <c r="H541" s="9" t="s">
        <v>26</v>
      </c>
      <c r="I541" s="9" t="s">
        <v>936</v>
      </c>
      <c r="J541" s="16" t="s">
        <v>937</v>
      </c>
      <c r="K541" s="9"/>
      <c r="L541" s="9" t="s">
        <v>30</v>
      </c>
      <c r="M541" s="9" t="s">
        <v>31</v>
      </c>
      <c r="N541" s="9" t="s">
        <v>32</v>
      </c>
      <c r="O541" s="12" t="s">
        <v>33</v>
      </c>
      <c r="P541" s="12" t="s">
        <v>34</v>
      </c>
      <c r="Q541" s="9"/>
      <c r="R541" s="18"/>
      <c r="S541" s="18"/>
      <c r="T541" s="18"/>
      <c r="U541" s="18"/>
      <c r="V541" s="18"/>
      <c r="W541" s="15"/>
      <c r="X541" s="15"/>
    </row>
    <row r="542">
      <c r="A542" s="7">
        <v>541.0</v>
      </c>
      <c r="B542" s="8" t="s">
        <v>2459</v>
      </c>
      <c r="C542" s="9" t="s">
        <v>2460</v>
      </c>
      <c r="D542" s="10" t="str">
        <f>HYPERLINK("https://facebook.com/367089020688300_512026716194529", "367089020688300_512026716194529")</f>
        <v>367089020688300_512026716194529</v>
      </c>
      <c r="E542" s="11">
        <v>562.0</v>
      </c>
      <c r="F542" s="11">
        <v>27.0</v>
      </c>
      <c r="G542" s="11">
        <v>644.0</v>
      </c>
      <c r="H542" s="9" t="s">
        <v>26</v>
      </c>
      <c r="I542" s="9" t="s">
        <v>2461</v>
      </c>
      <c r="J542" s="16" t="s">
        <v>2462</v>
      </c>
      <c r="K542" s="9"/>
      <c r="L542" s="9" t="s">
        <v>30</v>
      </c>
      <c r="M542" s="9" t="s">
        <v>31</v>
      </c>
      <c r="N542" s="9" t="s">
        <v>32</v>
      </c>
      <c r="O542" s="12" t="s">
        <v>33</v>
      </c>
      <c r="P542" s="12" t="s">
        <v>34</v>
      </c>
      <c r="Q542" s="9"/>
      <c r="R542" s="18"/>
      <c r="S542" s="18"/>
      <c r="T542" s="18"/>
      <c r="U542" s="18"/>
      <c r="V542" s="18"/>
      <c r="W542" s="15"/>
      <c r="X542" s="15"/>
    </row>
    <row r="543">
      <c r="A543" s="7">
        <v>542.0</v>
      </c>
      <c r="B543" s="8" t="s">
        <v>2463</v>
      </c>
      <c r="C543" s="9" t="s">
        <v>2464</v>
      </c>
      <c r="D543" s="10" t="str">
        <f>HYPERLINK("https://facebook.com/367089020688300_550782248985642", "367089020688300_550782248985642")</f>
        <v>367089020688300_550782248985642</v>
      </c>
      <c r="E543" s="11">
        <v>19.0</v>
      </c>
      <c r="F543" s="11">
        <v>1.0</v>
      </c>
      <c r="G543" s="11">
        <v>28.0</v>
      </c>
      <c r="H543" s="9" t="s">
        <v>26</v>
      </c>
      <c r="I543" s="9" t="s">
        <v>2465</v>
      </c>
      <c r="J543" s="9" t="s">
        <v>2466</v>
      </c>
      <c r="K543" s="9" t="s">
        <v>1355</v>
      </c>
      <c r="L543" s="9" t="s">
        <v>30</v>
      </c>
      <c r="M543" s="9" t="s">
        <v>31</v>
      </c>
      <c r="N543" s="9" t="s">
        <v>32</v>
      </c>
      <c r="O543" s="12" t="s">
        <v>33</v>
      </c>
      <c r="P543" s="12" t="s">
        <v>34</v>
      </c>
      <c r="Q543" s="9"/>
      <c r="R543" s="18"/>
      <c r="S543" s="18"/>
      <c r="T543" s="18"/>
      <c r="U543" s="18"/>
      <c r="V543" s="18"/>
      <c r="W543" s="15"/>
      <c r="X543" s="15"/>
    </row>
    <row r="544">
      <c r="A544" s="7">
        <v>543.0</v>
      </c>
      <c r="B544" s="8" t="s">
        <v>2467</v>
      </c>
      <c r="C544" s="9" t="s">
        <v>2468</v>
      </c>
      <c r="D544" s="10" t="str">
        <f>HYPERLINK("https://facebook.com/367089020688300_453183835412151", "367089020688300_453183835412151")</f>
        <v>367089020688300_453183835412151</v>
      </c>
      <c r="E544" s="11">
        <v>127.0</v>
      </c>
      <c r="F544" s="11">
        <v>2.0</v>
      </c>
      <c r="G544" s="11">
        <v>93.0</v>
      </c>
      <c r="H544" s="9" t="s">
        <v>26</v>
      </c>
      <c r="I544" s="9" t="s">
        <v>2469</v>
      </c>
      <c r="J544" s="9" t="s">
        <v>2470</v>
      </c>
      <c r="K544" s="9" t="s">
        <v>2471</v>
      </c>
      <c r="L544" s="9" t="s">
        <v>30</v>
      </c>
      <c r="M544" s="9" t="s">
        <v>31</v>
      </c>
      <c r="N544" s="9" t="s">
        <v>32</v>
      </c>
      <c r="O544" s="12" t="s">
        <v>33</v>
      </c>
      <c r="P544" s="12" t="s">
        <v>34</v>
      </c>
      <c r="Q544" s="9"/>
      <c r="R544" s="18"/>
      <c r="S544" s="18"/>
      <c r="T544" s="18"/>
      <c r="U544" s="18"/>
      <c r="V544" s="18"/>
      <c r="W544" s="15"/>
      <c r="X544" s="15"/>
    </row>
    <row r="545">
      <c r="A545" s="7">
        <v>544.0</v>
      </c>
      <c r="B545" s="8" t="s">
        <v>2472</v>
      </c>
      <c r="C545" s="9" t="s">
        <v>2473</v>
      </c>
      <c r="D545" s="10" t="str">
        <f>HYPERLINK("https://facebook.com/367089020688300_551858645544669", "367089020688300_551858645544669")</f>
        <v>367089020688300_551858645544669</v>
      </c>
      <c r="E545" s="11">
        <v>135.0</v>
      </c>
      <c r="F545" s="11">
        <v>0.0</v>
      </c>
      <c r="G545" s="11">
        <v>47.0</v>
      </c>
      <c r="H545" s="9" t="s">
        <v>26</v>
      </c>
      <c r="I545" s="9" t="s">
        <v>2474</v>
      </c>
      <c r="J545" s="16" t="s">
        <v>2475</v>
      </c>
      <c r="K545" s="9"/>
      <c r="L545" s="9" t="s">
        <v>30</v>
      </c>
      <c r="M545" s="9" t="s">
        <v>31</v>
      </c>
      <c r="N545" s="9" t="s">
        <v>32</v>
      </c>
      <c r="O545" s="12" t="s">
        <v>33</v>
      </c>
      <c r="P545" s="12" t="s">
        <v>34</v>
      </c>
      <c r="Q545" s="9"/>
      <c r="R545" s="18"/>
      <c r="S545" s="18"/>
      <c r="T545" s="18"/>
      <c r="U545" s="18"/>
      <c r="V545" s="18"/>
      <c r="W545" s="15"/>
      <c r="X545" s="15"/>
    </row>
    <row r="546">
      <c r="A546" s="7">
        <v>545.0</v>
      </c>
      <c r="B546" s="8" t="s">
        <v>2476</v>
      </c>
      <c r="C546" s="9" t="s">
        <v>2477</v>
      </c>
      <c r="D546" s="10" t="str">
        <f>HYPERLINK("https://facebook.com/367089020688300_541139353283265", "367089020688300_541139353283265")</f>
        <v>367089020688300_541139353283265</v>
      </c>
      <c r="E546" s="11">
        <v>201.0</v>
      </c>
      <c r="F546" s="11">
        <v>10.0</v>
      </c>
      <c r="G546" s="11">
        <v>183.0</v>
      </c>
      <c r="H546" s="9" t="s">
        <v>26</v>
      </c>
      <c r="I546" s="9" t="s">
        <v>2478</v>
      </c>
      <c r="J546" s="9" t="s">
        <v>2479</v>
      </c>
      <c r="K546" s="9" t="s">
        <v>2480</v>
      </c>
      <c r="L546" s="9" t="s">
        <v>30</v>
      </c>
      <c r="M546" s="9" t="s">
        <v>31</v>
      </c>
      <c r="N546" s="9" t="s">
        <v>32</v>
      </c>
      <c r="O546" s="12" t="s">
        <v>33</v>
      </c>
      <c r="P546" s="12" t="s">
        <v>34</v>
      </c>
      <c r="Q546" s="9"/>
      <c r="R546" s="18"/>
      <c r="S546" s="18"/>
      <c r="T546" s="18"/>
      <c r="U546" s="18"/>
      <c r="V546" s="18"/>
      <c r="W546" s="15"/>
      <c r="X546" s="15"/>
    </row>
    <row r="547">
      <c r="A547" s="7">
        <v>546.0</v>
      </c>
      <c r="B547" s="8" t="s">
        <v>2481</v>
      </c>
      <c r="C547" s="9" t="s">
        <v>2482</v>
      </c>
      <c r="D547" s="10" t="str">
        <f>HYPERLINK("https://facebook.com/367089020688300_549806462416554", "367089020688300_549806462416554")</f>
        <v>367089020688300_549806462416554</v>
      </c>
      <c r="E547" s="11">
        <v>181.0</v>
      </c>
      <c r="F547" s="11">
        <v>7.0</v>
      </c>
      <c r="G547" s="11">
        <v>96.0</v>
      </c>
      <c r="H547" s="9" t="s">
        <v>26</v>
      </c>
      <c r="I547" s="9" t="s">
        <v>2483</v>
      </c>
      <c r="J547" s="9" t="s">
        <v>2484</v>
      </c>
      <c r="K547" s="9" t="s">
        <v>2485</v>
      </c>
      <c r="L547" s="9" t="s">
        <v>30</v>
      </c>
      <c r="M547" s="9" t="s">
        <v>31</v>
      </c>
      <c r="N547" s="9" t="s">
        <v>32</v>
      </c>
      <c r="O547" s="12" t="s">
        <v>33</v>
      </c>
      <c r="P547" s="12" t="s">
        <v>34</v>
      </c>
      <c r="Q547" s="9"/>
      <c r="R547" s="18"/>
      <c r="S547" s="18"/>
      <c r="T547" s="18"/>
      <c r="U547" s="18"/>
      <c r="V547" s="18"/>
      <c r="W547" s="15"/>
      <c r="X547" s="15"/>
    </row>
    <row r="548">
      <c r="A548" s="7">
        <v>547.0</v>
      </c>
      <c r="B548" s="8" t="s">
        <v>2486</v>
      </c>
      <c r="C548" s="9" t="s">
        <v>2487</v>
      </c>
      <c r="D548" s="10" t="str">
        <f>HYPERLINK("https://facebook.com/367089020688300_560221038041763", "367089020688300_560221038041763")</f>
        <v>367089020688300_560221038041763</v>
      </c>
      <c r="E548" s="11">
        <v>34.0</v>
      </c>
      <c r="F548" s="11">
        <v>0.0</v>
      </c>
      <c r="G548" s="11">
        <v>3.0</v>
      </c>
      <c r="H548" s="9" t="s">
        <v>26</v>
      </c>
      <c r="I548" s="9" t="s">
        <v>2488</v>
      </c>
      <c r="J548" s="9" t="s">
        <v>2489</v>
      </c>
      <c r="K548" s="9" t="s">
        <v>219</v>
      </c>
      <c r="L548" s="9" t="s">
        <v>30</v>
      </c>
      <c r="M548" s="9" t="s">
        <v>31</v>
      </c>
      <c r="N548" s="9" t="s">
        <v>32</v>
      </c>
      <c r="O548" s="12" t="s">
        <v>33</v>
      </c>
      <c r="P548" s="12" t="s">
        <v>34</v>
      </c>
      <c r="Q548" s="9"/>
      <c r="R548" s="18"/>
      <c r="S548" s="18"/>
      <c r="T548" s="18"/>
      <c r="U548" s="18"/>
      <c r="V548" s="18"/>
      <c r="W548" s="15"/>
      <c r="X548" s="15"/>
    </row>
    <row r="549">
      <c r="A549" s="7">
        <v>548.0</v>
      </c>
      <c r="B549" s="8" t="s">
        <v>2490</v>
      </c>
      <c r="C549" s="9" t="s">
        <v>2491</v>
      </c>
      <c r="D549" s="10" t="str">
        <f>HYPERLINK("https://facebook.com/367089020688300_544986322898568", "367089020688300_544986322898568")</f>
        <v>367089020688300_544986322898568</v>
      </c>
      <c r="E549" s="11">
        <v>55.0</v>
      </c>
      <c r="F549" s="11">
        <v>0.0</v>
      </c>
      <c r="G549" s="11">
        <v>30.0</v>
      </c>
      <c r="H549" s="9" t="s">
        <v>26</v>
      </c>
      <c r="I549" s="9" t="s">
        <v>2492</v>
      </c>
      <c r="J549" s="16" t="s">
        <v>2493</v>
      </c>
      <c r="K549" s="9"/>
      <c r="L549" s="9" t="s">
        <v>30</v>
      </c>
      <c r="M549" s="9" t="s">
        <v>31</v>
      </c>
      <c r="N549" s="9" t="s">
        <v>32</v>
      </c>
      <c r="O549" s="12" t="s">
        <v>33</v>
      </c>
      <c r="P549" s="12" t="s">
        <v>34</v>
      </c>
      <c r="Q549" s="9"/>
      <c r="R549" s="18"/>
      <c r="S549" s="18"/>
      <c r="T549" s="18"/>
      <c r="U549" s="18"/>
      <c r="V549" s="18"/>
      <c r="W549" s="15"/>
      <c r="X549" s="15"/>
    </row>
    <row r="550">
      <c r="A550" s="7">
        <v>549.0</v>
      </c>
      <c r="B550" s="8" t="s">
        <v>2494</v>
      </c>
      <c r="C550" s="9" t="s">
        <v>2495</v>
      </c>
      <c r="D550" s="10" t="str">
        <f>HYPERLINK("https://facebook.com/367089020688300_534629433934257", "367089020688300_534629433934257")</f>
        <v>367089020688300_534629433934257</v>
      </c>
      <c r="E550" s="11">
        <v>581.0</v>
      </c>
      <c r="F550" s="11">
        <v>10.0</v>
      </c>
      <c r="G550" s="11">
        <v>369.0</v>
      </c>
      <c r="H550" s="9" t="s">
        <v>26</v>
      </c>
      <c r="I550" s="9" t="s">
        <v>2496</v>
      </c>
      <c r="J550" s="9" t="s">
        <v>2497</v>
      </c>
      <c r="K550" s="9" t="s">
        <v>2498</v>
      </c>
      <c r="L550" s="9" t="s">
        <v>30</v>
      </c>
      <c r="M550" s="9" t="s">
        <v>31</v>
      </c>
      <c r="N550" s="9" t="s">
        <v>32</v>
      </c>
      <c r="O550" s="12" t="s">
        <v>33</v>
      </c>
      <c r="P550" s="12" t="s">
        <v>34</v>
      </c>
      <c r="Q550" s="9"/>
      <c r="R550" s="18"/>
      <c r="S550" s="18"/>
      <c r="T550" s="18"/>
      <c r="U550" s="18"/>
      <c r="V550" s="18"/>
      <c r="W550" s="15"/>
      <c r="X550" s="15"/>
    </row>
    <row r="551">
      <c r="A551" s="7">
        <v>550.0</v>
      </c>
      <c r="B551" s="8" t="s">
        <v>2499</v>
      </c>
      <c r="C551" s="9" t="s">
        <v>2500</v>
      </c>
      <c r="D551" s="10" t="str">
        <f>HYPERLINK("https://facebook.com/367089020688300_563164041080796", "367089020688300_563164041080796")</f>
        <v>367089020688300_563164041080796</v>
      </c>
      <c r="E551" s="11">
        <v>40.0</v>
      </c>
      <c r="F551" s="11">
        <v>0.0</v>
      </c>
      <c r="G551" s="11">
        <v>19.0</v>
      </c>
      <c r="H551" s="9" t="s">
        <v>26</v>
      </c>
      <c r="I551" s="9" t="s">
        <v>2501</v>
      </c>
      <c r="J551" s="16" t="s">
        <v>2502</v>
      </c>
      <c r="K551" s="9"/>
      <c r="L551" s="9" t="s">
        <v>30</v>
      </c>
      <c r="M551" s="9" t="s">
        <v>31</v>
      </c>
      <c r="N551" s="9" t="s">
        <v>32</v>
      </c>
      <c r="O551" s="12" t="s">
        <v>33</v>
      </c>
      <c r="P551" s="12" t="s">
        <v>34</v>
      </c>
      <c r="Q551" s="9"/>
      <c r="R551" s="18"/>
      <c r="S551" s="18"/>
      <c r="T551" s="18"/>
      <c r="U551" s="18"/>
      <c r="V551" s="18"/>
      <c r="W551" s="15"/>
      <c r="X551" s="15"/>
    </row>
    <row r="552">
      <c r="A552" s="7">
        <v>551.0</v>
      </c>
      <c r="B552" s="8" t="s">
        <v>2503</v>
      </c>
      <c r="C552" s="9" t="s">
        <v>2504</v>
      </c>
      <c r="D552" s="10" t="str">
        <f>HYPERLINK("https://facebook.com/367089020688300_536402993756901", "367089020688300_536402993756901")</f>
        <v>367089020688300_536402993756901</v>
      </c>
      <c r="E552" s="11">
        <v>952.0</v>
      </c>
      <c r="F552" s="11">
        <v>41.0</v>
      </c>
      <c r="G552" s="11">
        <v>241.0</v>
      </c>
      <c r="H552" s="9" t="s">
        <v>26</v>
      </c>
      <c r="I552" s="9" t="s">
        <v>2505</v>
      </c>
      <c r="J552" s="9" t="s">
        <v>2506</v>
      </c>
      <c r="K552" s="9" t="s">
        <v>2507</v>
      </c>
      <c r="L552" s="9" t="s">
        <v>30</v>
      </c>
      <c r="M552" s="9" t="s">
        <v>31</v>
      </c>
      <c r="N552" s="9" t="s">
        <v>32</v>
      </c>
      <c r="O552" s="12" t="s">
        <v>33</v>
      </c>
      <c r="P552" s="12" t="s">
        <v>34</v>
      </c>
      <c r="Q552" s="9"/>
      <c r="R552" s="18"/>
      <c r="S552" s="18"/>
      <c r="T552" s="18"/>
      <c r="U552" s="18"/>
      <c r="V552" s="18"/>
      <c r="W552" s="15"/>
      <c r="X552" s="15"/>
    </row>
    <row r="553">
      <c r="A553" s="7">
        <v>552.0</v>
      </c>
      <c r="B553" s="8" t="s">
        <v>2508</v>
      </c>
      <c r="C553" s="9" t="s">
        <v>2509</v>
      </c>
      <c r="D553" s="10" t="str">
        <f>HYPERLINK("https://facebook.com/367089020688300_553421302055070", "367089020688300_553421302055070")</f>
        <v>367089020688300_553421302055070</v>
      </c>
      <c r="E553" s="11">
        <v>96.0</v>
      </c>
      <c r="F553" s="11">
        <v>0.0</v>
      </c>
      <c r="G553" s="11">
        <v>25.0</v>
      </c>
      <c r="H553" s="9" t="s">
        <v>26</v>
      </c>
      <c r="I553" s="9" t="s">
        <v>2510</v>
      </c>
      <c r="J553" s="16" t="s">
        <v>2511</v>
      </c>
      <c r="K553" s="9"/>
      <c r="L553" s="9" t="s">
        <v>30</v>
      </c>
      <c r="M553" s="9" t="s">
        <v>31</v>
      </c>
      <c r="N553" s="9" t="s">
        <v>32</v>
      </c>
      <c r="O553" s="27" t="s">
        <v>33</v>
      </c>
      <c r="P553" s="12" t="s">
        <v>34</v>
      </c>
      <c r="Q553" s="9"/>
      <c r="R553" s="18"/>
      <c r="S553" s="18"/>
      <c r="T553" s="18"/>
      <c r="U553" s="18"/>
      <c r="V553" s="18"/>
      <c r="W553" s="15"/>
      <c r="X553" s="15"/>
    </row>
    <row r="554">
      <c r="A554" s="7">
        <v>553.0</v>
      </c>
      <c r="B554" s="8" t="s">
        <v>2512</v>
      </c>
      <c r="C554" s="9" t="s">
        <v>2513</v>
      </c>
      <c r="D554" s="10" t="str">
        <f>HYPERLINK("https://facebook.com/367089020688300_528383407892193", "367089020688300_528383407892193")</f>
        <v>367089020688300_528383407892193</v>
      </c>
      <c r="E554" s="11">
        <v>0.0</v>
      </c>
      <c r="F554" s="11">
        <v>0.0</v>
      </c>
      <c r="G554" s="11">
        <v>9.0</v>
      </c>
      <c r="H554" s="9" t="s">
        <v>26</v>
      </c>
      <c r="I554" s="9" t="s">
        <v>2514</v>
      </c>
      <c r="J554" s="16" t="s">
        <v>2515</v>
      </c>
      <c r="K554" s="9"/>
      <c r="L554" s="9" t="s">
        <v>30</v>
      </c>
      <c r="M554" s="9" t="s">
        <v>31</v>
      </c>
      <c r="N554" s="9" t="s">
        <v>32</v>
      </c>
      <c r="O554" s="12" t="s">
        <v>33</v>
      </c>
      <c r="P554" s="12" t="s">
        <v>34</v>
      </c>
      <c r="Q554" s="9"/>
      <c r="R554" s="18"/>
      <c r="S554" s="18"/>
      <c r="T554" s="18"/>
      <c r="U554" s="18"/>
      <c r="V554" s="18"/>
      <c r="W554" s="15"/>
      <c r="X554" s="15"/>
    </row>
    <row r="555">
      <c r="A555" s="7">
        <v>554.0</v>
      </c>
      <c r="B555" s="8" t="s">
        <v>2516</v>
      </c>
      <c r="C555" s="9" t="s">
        <v>2517</v>
      </c>
      <c r="D555" s="10" t="str">
        <f>HYPERLINK("https://facebook.com/367089020688300_543437023053498", "367089020688300_543437023053498")</f>
        <v>367089020688300_543437023053498</v>
      </c>
      <c r="E555" s="11">
        <v>3550.0</v>
      </c>
      <c r="F555" s="11">
        <v>108.0</v>
      </c>
      <c r="G555" s="11">
        <v>546.0</v>
      </c>
      <c r="H555" s="9" t="s">
        <v>26</v>
      </c>
      <c r="I555" s="9" t="s">
        <v>1177</v>
      </c>
      <c r="J555" s="16" t="s">
        <v>1178</v>
      </c>
      <c r="K555" s="9"/>
      <c r="L555" s="9" t="s">
        <v>30</v>
      </c>
      <c r="M555" s="9" t="s">
        <v>31</v>
      </c>
      <c r="N555" s="9" t="s">
        <v>32</v>
      </c>
      <c r="O555" s="12" t="s">
        <v>33</v>
      </c>
      <c r="P555" s="12" t="s">
        <v>34</v>
      </c>
      <c r="Q555" s="9"/>
      <c r="R555" s="18"/>
      <c r="S555" s="18"/>
      <c r="T555" s="18"/>
      <c r="U555" s="18"/>
      <c r="V555" s="18"/>
      <c r="W555" s="15"/>
      <c r="X555" s="15"/>
    </row>
    <row r="556">
      <c r="A556" s="7">
        <v>555.0</v>
      </c>
      <c r="B556" s="8" t="s">
        <v>2518</v>
      </c>
      <c r="C556" s="9" t="s">
        <v>2519</v>
      </c>
      <c r="D556" s="10" t="str">
        <f>HYPERLINK("https://facebook.com/367089020688300_527914711272396", "367089020688300_527914711272396")</f>
        <v>367089020688300_527914711272396</v>
      </c>
      <c r="E556" s="11">
        <v>4.0</v>
      </c>
      <c r="F556" s="11">
        <v>0.0</v>
      </c>
      <c r="G556" s="11">
        <v>14.0</v>
      </c>
      <c r="H556" s="9" t="s">
        <v>26</v>
      </c>
      <c r="I556" s="9" t="s">
        <v>2520</v>
      </c>
      <c r="J556" s="16" t="s">
        <v>2521</v>
      </c>
      <c r="K556" s="9"/>
      <c r="L556" s="9" t="s">
        <v>30</v>
      </c>
      <c r="M556" s="9" t="s">
        <v>31</v>
      </c>
      <c r="N556" s="9" t="s">
        <v>32</v>
      </c>
      <c r="O556" s="12" t="s">
        <v>33</v>
      </c>
      <c r="P556" s="12" t="s">
        <v>34</v>
      </c>
      <c r="Q556" s="9"/>
      <c r="R556" s="18"/>
      <c r="S556" s="18"/>
      <c r="T556" s="18"/>
      <c r="U556" s="18"/>
      <c r="V556" s="18"/>
      <c r="W556" s="15"/>
      <c r="X556" s="15"/>
    </row>
    <row r="557">
      <c r="A557" s="7">
        <v>556.0</v>
      </c>
      <c r="B557" s="8" t="s">
        <v>2522</v>
      </c>
      <c r="C557" s="9" t="s">
        <v>2523</v>
      </c>
      <c r="D557" s="10" t="str">
        <f>HYPERLINK("https://facebook.com/367089020688300_549594635771070", "367089020688300_549594635771070")</f>
        <v>367089020688300_549594635771070</v>
      </c>
      <c r="E557" s="11">
        <v>2570.0</v>
      </c>
      <c r="F557" s="11">
        <v>159.0</v>
      </c>
      <c r="G557" s="11">
        <v>463.0</v>
      </c>
      <c r="H557" s="9" t="s">
        <v>26</v>
      </c>
      <c r="I557" s="9" t="s">
        <v>2524</v>
      </c>
      <c r="J557" s="9" t="s">
        <v>2525</v>
      </c>
      <c r="K557" s="9" t="s">
        <v>2526</v>
      </c>
      <c r="L557" s="9" t="s">
        <v>30</v>
      </c>
      <c r="M557" s="9" t="s">
        <v>31</v>
      </c>
      <c r="N557" s="9" t="s">
        <v>32</v>
      </c>
      <c r="O557" s="12" t="s">
        <v>33</v>
      </c>
      <c r="P557" s="12" t="s">
        <v>34</v>
      </c>
      <c r="Q557" s="9"/>
      <c r="R557" s="18"/>
      <c r="S557" s="18"/>
      <c r="T557" s="18"/>
      <c r="U557" s="18"/>
      <c r="V557" s="18"/>
      <c r="W557" s="15"/>
      <c r="X557" s="15"/>
    </row>
    <row r="558">
      <c r="A558" s="7">
        <v>557.0</v>
      </c>
      <c r="B558" s="8" t="s">
        <v>2527</v>
      </c>
      <c r="C558" s="9" t="s">
        <v>2528</v>
      </c>
      <c r="D558" s="10" t="str">
        <f>HYPERLINK("https://facebook.com/367089020688300_563230984407435", "367089020688300_563230984407435")</f>
        <v>367089020688300_563230984407435</v>
      </c>
      <c r="E558" s="11">
        <v>1.0</v>
      </c>
      <c r="F558" s="11">
        <v>0.0</v>
      </c>
      <c r="G558" s="11">
        <v>12.0</v>
      </c>
      <c r="H558" s="9" t="s">
        <v>26</v>
      </c>
      <c r="I558" s="9" t="s">
        <v>2529</v>
      </c>
      <c r="J558" s="9" t="s">
        <v>2530</v>
      </c>
      <c r="K558" s="9" t="s">
        <v>2531</v>
      </c>
      <c r="L558" s="9" t="s">
        <v>30</v>
      </c>
      <c r="M558" s="9" t="s">
        <v>31</v>
      </c>
      <c r="N558" s="9" t="s">
        <v>32</v>
      </c>
      <c r="O558" s="12" t="s">
        <v>33</v>
      </c>
      <c r="P558" s="12" t="s">
        <v>34</v>
      </c>
      <c r="Q558" s="9"/>
      <c r="R558" s="18"/>
      <c r="S558" s="18"/>
      <c r="T558" s="18"/>
      <c r="U558" s="18"/>
      <c r="V558" s="18"/>
      <c r="W558" s="15"/>
      <c r="X558" s="15"/>
    </row>
    <row r="559">
      <c r="A559" s="7">
        <v>558.0</v>
      </c>
      <c r="B559" s="8" t="s">
        <v>2532</v>
      </c>
      <c r="C559" s="9" t="s">
        <v>2533</v>
      </c>
      <c r="D559" s="10" t="str">
        <f>HYPERLINK("https://facebook.com/367089020688300_416646929065842", "367089020688300_416646929065842")</f>
        <v>367089020688300_416646929065842</v>
      </c>
      <c r="E559" s="11">
        <v>34.0</v>
      </c>
      <c r="F559" s="11">
        <v>0.0</v>
      </c>
      <c r="G559" s="11">
        <v>38.0</v>
      </c>
      <c r="H559" s="9" t="s">
        <v>26</v>
      </c>
      <c r="I559" s="9" t="s">
        <v>2534</v>
      </c>
      <c r="J559" s="9" t="s">
        <v>2535</v>
      </c>
      <c r="K559" s="9" t="s">
        <v>2536</v>
      </c>
      <c r="L559" s="9" t="s">
        <v>30</v>
      </c>
      <c r="M559" s="9" t="s">
        <v>31</v>
      </c>
      <c r="N559" s="9" t="s">
        <v>32</v>
      </c>
      <c r="O559" s="12" t="s">
        <v>33</v>
      </c>
      <c r="P559" s="12" t="s">
        <v>34</v>
      </c>
      <c r="Q559" s="9"/>
      <c r="R559" s="18"/>
      <c r="S559" s="18"/>
      <c r="T559" s="18"/>
      <c r="U559" s="18"/>
      <c r="V559" s="18"/>
      <c r="W559" s="15"/>
      <c r="X559" s="15"/>
    </row>
    <row r="560">
      <c r="A560" s="7">
        <v>559.0</v>
      </c>
      <c r="B560" s="8" t="s">
        <v>2537</v>
      </c>
      <c r="C560" s="9" t="s">
        <v>2538</v>
      </c>
      <c r="D560" s="10" t="str">
        <f>HYPERLINK("https://facebook.com/367089020688300_529198984477302", "367089020688300_529198984477302")</f>
        <v>367089020688300_529198984477302</v>
      </c>
      <c r="E560" s="11">
        <v>23.0</v>
      </c>
      <c r="F560" s="11">
        <v>0.0</v>
      </c>
      <c r="G560" s="11">
        <v>50.0</v>
      </c>
      <c r="H560" s="9" t="s">
        <v>26</v>
      </c>
      <c r="I560" s="9" t="s">
        <v>2539</v>
      </c>
      <c r="J560" s="9" t="s">
        <v>2540</v>
      </c>
      <c r="K560" s="9" t="s">
        <v>2541</v>
      </c>
      <c r="L560" s="9" t="s">
        <v>30</v>
      </c>
      <c r="M560" s="9" t="s">
        <v>31</v>
      </c>
      <c r="N560" s="9" t="s">
        <v>32</v>
      </c>
      <c r="O560" s="12" t="s">
        <v>33</v>
      </c>
      <c r="P560" s="12" t="s">
        <v>34</v>
      </c>
      <c r="Q560" s="9"/>
      <c r="R560" s="18"/>
      <c r="S560" s="18"/>
      <c r="T560" s="18"/>
      <c r="U560" s="18"/>
      <c r="V560" s="18"/>
      <c r="W560" s="15"/>
      <c r="X560" s="15"/>
    </row>
    <row r="561">
      <c r="A561" s="7">
        <v>560.0</v>
      </c>
      <c r="B561" s="8" t="s">
        <v>2542</v>
      </c>
      <c r="C561" s="9" t="s">
        <v>2543</v>
      </c>
      <c r="D561" s="10" t="str">
        <f>HYPERLINK("https://facebook.com/367089020688300_534467203950480", "367089020688300_534467203950480")</f>
        <v>367089020688300_534467203950480</v>
      </c>
      <c r="E561" s="11">
        <v>307.0</v>
      </c>
      <c r="F561" s="11">
        <v>6.0</v>
      </c>
      <c r="G561" s="11">
        <v>211.0</v>
      </c>
      <c r="H561" s="9" t="s">
        <v>26</v>
      </c>
      <c r="I561" s="9" t="s">
        <v>2544</v>
      </c>
      <c r="J561" s="9" t="s">
        <v>2545</v>
      </c>
      <c r="K561" s="9" t="s">
        <v>2546</v>
      </c>
      <c r="L561" s="9" t="s">
        <v>30</v>
      </c>
      <c r="M561" s="9" t="s">
        <v>31</v>
      </c>
      <c r="N561" s="9" t="s">
        <v>32</v>
      </c>
      <c r="O561" s="12" t="s">
        <v>33</v>
      </c>
      <c r="P561" s="12" t="s">
        <v>34</v>
      </c>
      <c r="Q561" s="9"/>
      <c r="R561" s="18"/>
      <c r="S561" s="18"/>
      <c r="T561" s="18"/>
      <c r="U561" s="18"/>
      <c r="V561" s="18"/>
      <c r="W561" s="15"/>
      <c r="X561" s="15"/>
    </row>
    <row r="562">
      <c r="A562" s="7">
        <v>561.0</v>
      </c>
      <c r="B562" s="8" t="s">
        <v>2547</v>
      </c>
      <c r="C562" s="9" t="s">
        <v>2548</v>
      </c>
      <c r="D562" s="10" t="str">
        <f>HYPERLINK("https://facebook.com/367089020688300_540567330007134", "367089020688300_540567330007134")</f>
        <v>367089020688300_540567330007134</v>
      </c>
      <c r="E562" s="11">
        <v>15.0</v>
      </c>
      <c r="F562" s="11">
        <v>0.0</v>
      </c>
      <c r="G562" s="11">
        <v>9.0</v>
      </c>
      <c r="H562" s="9" t="s">
        <v>26</v>
      </c>
      <c r="I562" s="9" t="s">
        <v>2549</v>
      </c>
      <c r="J562" s="9" t="s">
        <v>2550</v>
      </c>
      <c r="K562" s="9" t="s">
        <v>2551</v>
      </c>
      <c r="L562" s="9" t="s">
        <v>30</v>
      </c>
      <c r="M562" s="9" t="s">
        <v>31</v>
      </c>
      <c r="N562" s="9" t="s">
        <v>32</v>
      </c>
      <c r="O562" s="12" t="s">
        <v>33</v>
      </c>
      <c r="P562" s="12" t="s">
        <v>34</v>
      </c>
      <c r="Q562" s="9"/>
      <c r="R562" s="18"/>
      <c r="S562" s="18"/>
      <c r="T562" s="18"/>
      <c r="U562" s="18"/>
      <c r="V562" s="18"/>
      <c r="W562" s="15"/>
      <c r="X562" s="15"/>
    </row>
    <row r="563">
      <c r="A563" s="7">
        <v>562.0</v>
      </c>
      <c r="B563" s="8" t="s">
        <v>2552</v>
      </c>
      <c r="C563" s="9" t="s">
        <v>2553</v>
      </c>
      <c r="D563" s="10" t="str">
        <f>HYPERLINK("https://facebook.com/367089020688300_529453027785231", "367089020688300_529453027785231")</f>
        <v>367089020688300_529453027785231</v>
      </c>
      <c r="E563" s="11">
        <v>76.0</v>
      </c>
      <c r="F563" s="11">
        <v>0.0</v>
      </c>
      <c r="G563" s="11">
        <v>165.0</v>
      </c>
      <c r="H563" s="9" t="s">
        <v>26</v>
      </c>
      <c r="I563" s="9" t="s">
        <v>2554</v>
      </c>
      <c r="J563" s="9" t="s">
        <v>2555</v>
      </c>
      <c r="K563" s="9" t="s">
        <v>2556</v>
      </c>
      <c r="L563" s="9" t="s">
        <v>30</v>
      </c>
      <c r="M563" s="9" t="s">
        <v>31</v>
      </c>
      <c r="N563" s="9" t="s">
        <v>32</v>
      </c>
      <c r="O563" s="12" t="s">
        <v>33</v>
      </c>
      <c r="P563" s="12" t="s">
        <v>34</v>
      </c>
      <c r="Q563" s="9"/>
      <c r="R563" s="18"/>
      <c r="S563" s="18"/>
      <c r="T563" s="18"/>
      <c r="U563" s="18"/>
      <c r="V563" s="18"/>
      <c r="W563" s="15"/>
      <c r="X563" s="15"/>
    </row>
    <row r="564">
      <c r="A564" s="7">
        <v>563.0</v>
      </c>
      <c r="B564" s="8" t="s">
        <v>2557</v>
      </c>
      <c r="C564" s="9" t="s">
        <v>2558</v>
      </c>
      <c r="D564" s="10" t="str">
        <f>HYPERLINK("https://facebook.com/367089020688300_558808744849659", "367089020688300_558808744849659")</f>
        <v>367089020688300_558808744849659</v>
      </c>
      <c r="E564" s="11">
        <v>3.0</v>
      </c>
      <c r="F564" s="11">
        <v>0.0</v>
      </c>
      <c r="G564" s="11">
        <v>1.0</v>
      </c>
      <c r="H564" s="9" t="s">
        <v>26</v>
      </c>
      <c r="I564" s="9" t="s">
        <v>2559</v>
      </c>
      <c r="J564" s="9" t="s">
        <v>2560</v>
      </c>
      <c r="K564" s="9" t="s">
        <v>2561</v>
      </c>
      <c r="L564" s="9" t="s">
        <v>30</v>
      </c>
      <c r="M564" s="9" t="s">
        <v>31</v>
      </c>
      <c r="N564" s="9" t="s">
        <v>32</v>
      </c>
      <c r="O564" s="12" t="s">
        <v>33</v>
      </c>
      <c r="P564" s="12" t="s">
        <v>34</v>
      </c>
      <c r="Q564" s="9"/>
      <c r="R564" s="18"/>
      <c r="S564" s="18"/>
      <c r="T564" s="18"/>
      <c r="U564" s="18"/>
      <c r="V564" s="18"/>
      <c r="W564" s="15"/>
      <c r="X564" s="15"/>
    </row>
    <row r="565">
      <c r="A565" s="7">
        <v>564.0</v>
      </c>
      <c r="B565" s="8" t="s">
        <v>2562</v>
      </c>
      <c r="C565" s="9" t="s">
        <v>2563</v>
      </c>
      <c r="D565" s="10" t="str">
        <f>HYPERLINK("https://facebook.com/367089020688300_550458635684670", "367089020688300_550458635684670")</f>
        <v>367089020688300_550458635684670</v>
      </c>
      <c r="E565" s="11">
        <v>127.0</v>
      </c>
      <c r="F565" s="11">
        <v>1.0</v>
      </c>
      <c r="G565" s="11">
        <v>40.0</v>
      </c>
      <c r="H565" s="9" t="s">
        <v>26</v>
      </c>
      <c r="I565" s="9" t="s">
        <v>2564</v>
      </c>
      <c r="J565" s="9" t="s">
        <v>2565</v>
      </c>
      <c r="K565" s="9" t="s">
        <v>2566</v>
      </c>
      <c r="L565" s="9" t="s">
        <v>30</v>
      </c>
      <c r="M565" s="9" t="s">
        <v>31</v>
      </c>
      <c r="N565" s="9" t="s">
        <v>32</v>
      </c>
      <c r="O565" s="12" t="s">
        <v>33</v>
      </c>
      <c r="P565" s="12" t="s">
        <v>34</v>
      </c>
      <c r="Q565" s="9"/>
      <c r="R565" s="18"/>
      <c r="S565" s="18"/>
      <c r="T565" s="18"/>
      <c r="U565" s="18"/>
      <c r="V565" s="18"/>
      <c r="W565" s="15"/>
      <c r="X565" s="15"/>
    </row>
    <row r="566">
      <c r="A566" s="7">
        <v>565.0</v>
      </c>
      <c r="B566" s="8" t="s">
        <v>2567</v>
      </c>
      <c r="C566" s="9" t="s">
        <v>2568</v>
      </c>
      <c r="D566" s="10" t="str">
        <f>HYPERLINK("https://facebook.com/367089020688300_552670255463508", "367089020688300_552670255463508")</f>
        <v>367089020688300_552670255463508</v>
      </c>
      <c r="E566" s="11">
        <v>6.0</v>
      </c>
      <c r="F566" s="11">
        <v>0.0</v>
      </c>
      <c r="G566" s="11">
        <v>0.0</v>
      </c>
      <c r="H566" s="9" t="s">
        <v>26</v>
      </c>
      <c r="I566" s="9" t="s">
        <v>2569</v>
      </c>
      <c r="J566" s="16" t="s">
        <v>2570</v>
      </c>
      <c r="K566" s="9"/>
      <c r="L566" s="9" t="s">
        <v>30</v>
      </c>
      <c r="M566" s="9" t="s">
        <v>31</v>
      </c>
      <c r="N566" s="9" t="s">
        <v>32</v>
      </c>
      <c r="O566" s="12" t="s">
        <v>33</v>
      </c>
      <c r="P566" s="12" t="s">
        <v>34</v>
      </c>
      <c r="Q566" s="9"/>
      <c r="R566" s="18"/>
      <c r="S566" s="18"/>
      <c r="T566" s="18"/>
      <c r="U566" s="18"/>
      <c r="V566" s="18"/>
      <c r="W566" s="15"/>
      <c r="X566" s="15"/>
    </row>
    <row r="567">
      <c r="A567" s="7">
        <v>566.0</v>
      </c>
      <c r="B567" s="8" t="s">
        <v>2571</v>
      </c>
      <c r="C567" s="9" t="s">
        <v>2572</v>
      </c>
      <c r="D567" s="10" t="str">
        <f>HYPERLINK("https://facebook.com/367089020688300_562024591194741", "367089020688300_562024591194741")</f>
        <v>367089020688300_562024591194741</v>
      </c>
      <c r="E567" s="11">
        <v>63.0</v>
      </c>
      <c r="F567" s="11">
        <v>1.0</v>
      </c>
      <c r="G567" s="11">
        <v>39.0</v>
      </c>
      <c r="H567" s="9" t="s">
        <v>26</v>
      </c>
      <c r="I567" s="9" t="s">
        <v>2573</v>
      </c>
      <c r="J567" s="16" t="s">
        <v>2574</v>
      </c>
      <c r="K567" s="9"/>
      <c r="L567" s="9" t="s">
        <v>30</v>
      </c>
      <c r="M567" s="9" t="s">
        <v>31</v>
      </c>
      <c r="N567" s="9" t="s">
        <v>32</v>
      </c>
      <c r="O567" s="12" t="s">
        <v>33</v>
      </c>
      <c r="P567" s="12" t="s">
        <v>34</v>
      </c>
      <c r="Q567" s="9"/>
      <c r="R567" s="18"/>
      <c r="S567" s="18"/>
      <c r="T567" s="18"/>
      <c r="U567" s="18"/>
      <c r="V567" s="18"/>
      <c r="W567" s="15"/>
      <c r="X567" s="15"/>
    </row>
    <row r="568">
      <c r="A568" s="7">
        <v>567.0</v>
      </c>
      <c r="B568" s="8" t="s">
        <v>2575</v>
      </c>
      <c r="C568" s="9" t="s">
        <v>2576</v>
      </c>
      <c r="D568" s="10" t="str">
        <f>HYPERLINK("https://facebook.com/367089020688300_557706531626547", "367089020688300_557706531626547")</f>
        <v>367089020688300_557706531626547</v>
      </c>
      <c r="E568" s="11">
        <v>117.0</v>
      </c>
      <c r="F568" s="11">
        <v>17.0</v>
      </c>
      <c r="G568" s="11">
        <v>100.0</v>
      </c>
      <c r="H568" s="9" t="s">
        <v>26</v>
      </c>
      <c r="I568" s="9" t="s">
        <v>2577</v>
      </c>
      <c r="J568" s="16" t="s">
        <v>2578</v>
      </c>
      <c r="K568" s="9"/>
      <c r="L568" s="9" t="s">
        <v>30</v>
      </c>
      <c r="M568" s="9" t="s">
        <v>31</v>
      </c>
      <c r="N568" s="9" t="s">
        <v>32</v>
      </c>
      <c r="O568" s="12" t="s">
        <v>33</v>
      </c>
      <c r="P568" s="12" t="s">
        <v>34</v>
      </c>
      <c r="Q568" s="9"/>
      <c r="R568" s="18"/>
      <c r="S568" s="18"/>
      <c r="T568" s="18"/>
      <c r="U568" s="18"/>
      <c r="V568" s="18"/>
      <c r="W568" s="15"/>
      <c r="X568" s="15"/>
    </row>
    <row r="569">
      <c r="A569" s="7">
        <v>568.0</v>
      </c>
      <c r="B569" s="8" t="s">
        <v>2579</v>
      </c>
      <c r="C569" s="9" t="s">
        <v>2580</v>
      </c>
      <c r="D569" s="10" t="str">
        <f>HYPERLINK("https://facebook.com/367089020688300_514726332591234", "367089020688300_514726332591234")</f>
        <v>367089020688300_514726332591234</v>
      </c>
      <c r="E569" s="11">
        <v>649.0</v>
      </c>
      <c r="F569" s="11">
        <v>21.0</v>
      </c>
      <c r="G569" s="11">
        <v>225.0</v>
      </c>
      <c r="H569" s="9" t="s">
        <v>26</v>
      </c>
      <c r="I569" s="9" t="s">
        <v>2581</v>
      </c>
      <c r="J569" s="9" t="s">
        <v>2582</v>
      </c>
      <c r="K569" s="9" t="s">
        <v>341</v>
      </c>
      <c r="L569" s="9" t="s">
        <v>30</v>
      </c>
      <c r="M569" s="9" t="s">
        <v>31</v>
      </c>
      <c r="N569" s="9" t="s">
        <v>32</v>
      </c>
      <c r="O569" s="12" t="s">
        <v>33</v>
      </c>
      <c r="P569" s="12" t="s">
        <v>34</v>
      </c>
      <c r="Q569" s="9"/>
      <c r="R569" s="18"/>
      <c r="S569" s="18"/>
      <c r="T569" s="18"/>
      <c r="U569" s="18"/>
      <c r="V569" s="18"/>
      <c r="W569" s="15"/>
      <c r="X569" s="15"/>
    </row>
    <row r="570">
      <c r="A570" s="7">
        <v>569.0</v>
      </c>
      <c r="B570" s="8" t="s">
        <v>2583</v>
      </c>
      <c r="C570" s="9" t="s">
        <v>2584</v>
      </c>
      <c r="D570" s="10" t="str">
        <f>HYPERLINK("https://facebook.com/367089020688300_424883341575534", "367089020688300_424883341575534")</f>
        <v>367089020688300_424883341575534</v>
      </c>
      <c r="E570" s="11">
        <v>138.0</v>
      </c>
      <c r="F570" s="11">
        <v>0.0</v>
      </c>
      <c r="G570" s="11">
        <v>76.0</v>
      </c>
      <c r="H570" s="9" t="s">
        <v>26</v>
      </c>
      <c r="I570" s="9" t="s">
        <v>2585</v>
      </c>
      <c r="J570" s="9" t="s">
        <v>2586</v>
      </c>
      <c r="K570" s="9" t="s">
        <v>493</v>
      </c>
      <c r="L570" s="9" t="s">
        <v>30</v>
      </c>
      <c r="M570" s="9" t="s">
        <v>31</v>
      </c>
      <c r="N570" s="9" t="s">
        <v>32</v>
      </c>
      <c r="O570" s="12" t="s">
        <v>33</v>
      </c>
      <c r="P570" s="12" t="s">
        <v>34</v>
      </c>
      <c r="Q570" s="9"/>
      <c r="R570" s="18"/>
      <c r="S570" s="18"/>
      <c r="T570" s="18"/>
      <c r="U570" s="18"/>
      <c r="V570" s="18"/>
      <c r="W570" s="15"/>
      <c r="X570" s="15"/>
    </row>
    <row r="571">
      <c r="A571" s="7">
        <v>570.0</v>
      </c>
      <c r="B571" s="8" t="s">
        <v>2587</v>
      </c>
      <c r="C571" s="9" t="s">
        <v>2588</v>
      </c>
      <c r="D571" s="10" t="str">
        <f>HYPERLINK("https://facebook.com/367089020688300_551311778932689", "367089020688300_551311778932689")</f>
        <v>367089020688300_551311778932689</v>
      </c>
      <c r="E571" s="11">
        <v>5.0</v>
      </c>
      <c r="F571" s="11">
        <v>0.0</v>
      </c>
      <c r="G571" s="11">
        <v>11.0</v>
      </c>
      <c r="H571" s="9" t="s">
        <v>26</v>
      </c>
      <c r="I571" s="9" t="s">
        <v>2589</v>
      </c>
      <c r="J571" s="16" t="s">
        <v>2590</v>
      </c>
      <c r="K571" s="9"/>
      <c r="L571" s="9" t="s">
        <v>30</v>
      </c>
      <c r="M571" s="9" t="s">
        <v>31</v>
      </c>
      <c r="N571" s="9" t="s">
        <v>32</v>
      </c>
      <c r="O571" s="12" t="s">
        <v>33</v>
      </c>
      <c r="P571" s="12" t="s">
        <v>34</v>
      </c>
      <c r="Q571" s="9"/>
      <c r="R571" s="18"/>
      <c r="S571" s="18"/>
      <c r="T571" s="18"/>
      <c r="U571" s="18"/>
      <c r="V571" s="18"/>
      <c r="W571" s="15"/>
      <c r="X571" s="15"/>
    </row>
    <row r="572">
      <c r="A572" s="7">
        <v>571.0</v>
      </c>
      <c r="B572" s="8" t="s">
        <v>2591</v>
      </c>
      <c r="C572" s="9" t="s">
        <v>2592</v>
      </c>
      <c r="D572" s="10" t="str">
        <f>HYPERLINK("https://facebook.com/367089020688300_506115290119005", "367089020688300_506115290119005")</f>
        <v>367089020688300_506115290119005</v>
      </c>
      <c r="E572" s="11">
        <v>150.0</v>
      </c>
      <c r="F572" s="11">
        <v>7.0</v>
      </c>
      <c r="G572" s="11">
        <v>105.0</v>
      </c>
      <c r="H572" s="9" t="s">
        <v>26</v>
      </c>
      <c r="I572" s="9" t="s">
        <v>2593</v>
      </c>
      <c r="J572" s="9" t="s">
        <v>2594</v>
      </c>
      <c r="K572" s="9" t="s">
        <v>219</v>
      </c>
      <c r="L572" s="9" t="s">
        <v>30</v>
      </c>
      <c r="M572" s="9" t="s">
        <v>31</v>
      </c>
      <c r="N572" s="9" t="s">
        <v>32</v>
      </c>
      <c r="O572" s="12" t="s">
        <v>33</v>
      </c>
      <c r="P572" s="12" t="s">
        <v>34</v>
      </c>
      <c r="Q572" s="9"/>
      <c r="R572" s="18"/>
      <c r="S572" s="18"/>
      <c r="T572" s="18"/>
      <c r="U572" s="18"/>
      <c r="V572" s="18"/>
      <c r="W572" s="15"/>
      <c r="X572" s="15"/>
    </row>
    <row r="573">
      <c r="A573" s="7">
        <v>572.0</v>
      </c>
      <c r="B573" s="8" t="s">
        <v>2595</v>
      </c>
      <c r="C573" s="9" t="s">
        <v>2596</v>
      </c>
      <c r="D573" s="10" t="str">
        <f>HYPERLINK("https://facebook.com/367089020688300_448534922543709", "367089020688300_448534922543709")</f>
        <v>367089020688300_448534922543709</v>
      </c>
      <c r="E573" s="11">
        <v>281.0</v>
      </c>
      <c r="F573" s="11">
        <v>7.0</v>
      </c>
      <c r="G573" s="11">
        <v>171.0</v>
      </c>
      <c r="H573" s="9" t="s">
        <v>26</v>
      </c>
      <c r="I573" s="9" t="s">
        <v>2597</v>
      </c>
      <c r="J573" s="9" t="s">
        <v>2598</v>
      </c>
      <c r="K573" s="9" t="s">
        <v>2599</v>
      </c>
      <c r="L573" s="9" t="s">
        <v>30</v>
      </c>
      <c r="M573" s="9" t="s">
        <v>31</v>
      </c>
      <c r="N573" s="9" t="s">
        <v>32</v>
      </c>
      <c r="O573" s="12" t="s">
        <v>33</v>
      </c>
      <c r="P573" s="12" t="s">
        <v>34</v>
      </c>
      <c r="Q573" s="9"/>
      <c r="R573" s="18"/>
      <c r="S573" s="18"/>
      <c r="T573" s="18"/>
      <c r="U573" s="18"/>
      <c r="V573" s="18"/>
      <c r="W573" s="15"/>
      <c r="X573" s="15"/>
    </row>
    <row r="574">
      <c r="A574" s="7">
        <v>573.0</v>
      </c>
      <c r="B574" s="8" t="s">
        <v>2600</v>
      </c>
      <c r="C574" s="9" t="s">
        <v>2601</v>
      </c>
      <c r="D574" s="10" t="str">
        <f>HYPERLINK("https://facebook.com/367089020688300_555007538563113", "367089020688300_555007538563113")</f>
        <v>367089020688300_555007538563113</v>
      </c>
      <c r="E574" s="11">
        <v>6.0</v>
      </c>
      <c r="F574" s="11">
        <v>0.0</v>
      </c>
      <c r="G574" s="11">
        <v>3.0</v>
      </c>
      <c r="H574" s="9" t="s">
        <v>26</v>
      </c>
      <c r="I574" s="9" t="s">
        <v>2602</v>
      </c>
      <c r="J574" s="16" t="s">
        <v>2603</v>
      </c>
      <c r="K574" s="9"/>
      <c r="L574" s="9" t="s">
        <v>30</v>
      </c>
      <c r="M574" s="9" t="s">
        <v>31</v>
      </c>
      <c r="N574" s="9" t="s">
        <v>32</v>
      </c>
      <c r="O574" s="12" t="s">
        <v>33</v>
      </c>
      <c r="P574" s="12" t="s">
        <v>34</v>
      </c>
      <c r="Q574" s="9"/>
      <c r="R574" s="18"/>
      <c r="S574" s="18"/>
      <c r="T574" s="18"/>
      <c r="U574" s="18"/>
      <c r="V574" s="18"/>
      <c r="W574" s="15"/>
      <c r="X574" s="15"/>
    </row>
    <row r="575">
      <c r="A575" s="7">
        <v>574.0</v>
      </c>
      <c r="B575" s="8" t="s">
        <v>2604</v>
      </c>
      <c r="C575" s="9" t="s">
        <v>2605</v>
      </c>
      <c r="D575" s="10" t="str">
        <f>HYPERLINK("https://facebook.com/367089020688300_455194805211054", "367089020688300_455194805211054")</f>
        <v>367089020688300_455194805211054</v>
      </c>
      <c r="E575" s="11">
        <v>179.0</v>
      </c>
      <c r="F575" s="11">
        <v>10.0</v>
      </c>
      <c r="G575" s="11">
        <v>215.0</v>
      </c>
      <c r="H575" s="9" t="s">
        <v>26</v>
      </c>
      <c r="I575" s="9" t="s">
        <v>2606</v>
      </c>
      <c r="J575" s="9" t="s">
        <v>2607</v>
      </c>
      <c r="K575" s="9" t="s">
        <v>2608</v>
      </c>
      <c r="L575" s="9" t="s">
        <v>30</v>
      </c>
      <c r="M575" s="9" t="s">
        <v>31</v>
      </c>
      <c r="N575" s="9" t="s">
        <v>32</v>
      </c>
      <c r="O575" s="27" t="s">
        <v>33</v>
      </c>
      <c r="P575" s="12" t="s">
        <v>34</v>
      </c>
      <c r="Q575" s="9"/>
      <c r="R575" s="18"/>
      <c r="S575" s="18"/>
      <c r="T575" s="18"/>
      <c r="U575" s="18"/>
      <c r="V575" s="18"/>
      <c r="W575" s="15"/>
      <c r="X575" s="15"/>
    </row>
    <row r="576">
      <c r="A576" s="7">
        <v>575.0</v>
      </c>
      <c r="B576" s="8" t="s">
        <v>2609</v>
      </c>
      <c r="C576" s="9" t="s">
        <v>2610</v>
      </c>
      <c r="D576" s="10" t="str">
        <f>HYPERLINK("https://facebook.com/367089020688300_543401623057038", "367089020688300_543401623057038")</f>
        <v>367089020688300_543401623057038</v>
      </c>
      <c r="E576" s="11">
        <v>1468.0</v>
      </c>
      <c r="F576" s="11">
        <v>9.0</v>
      </c>
      <c r="G576" s="11">
        <v>566.0</v>
      </c>
      <c r="H576" s="9" t="s">
        <v>26</v>
      </c>
      <c r="I576" s="9" t="s">
        <v>2611</v>
      </c>
      <c r="J576" s="16" t="s">
        <v>2612</v>
      </c>
      <c r="K576" s="9"/>
      <c r="L576" s="9" t="s">
        <v>30</v>
      </c>
      <c r="M576" s="9" t="s">
        <v>31</v>
      </c>
      <c r="N576" s="9" t="s">
        <v>32</v>
      </c>
      <c r="O576" s="12" t="s">
        <v>33</v>
      </c>
      <c r="P576" s="12" t="s">
        <v>34</v>
      </c>
      <c r="Q576" s="9"/>
      <c r="R576" s="18"/>
      <c r="S576" s="18"/>
      <c r="T576" s="18"/>
      <c r="U576" s="18"/>
      <c r="V576" s="18"/>
      <c r="W576" s="15"/>
      <c r="X576" s="15"/>
    </row>
    <row r="577">
      <c r="A577" s="7">
        <v>576.0</v>
      </c>
      <c r="B577" s="8" t="s">
        <v>2613</v>
      </c>
      <c r="C577" s="9" t="s">
        <v>2614</v>
      </c>
      <c r="D577" s="10" t="str">
        <f>HYPERLINK("https://facebook.com/367089020688300_461430421254159", "367089020688300_461430421254159")</f>
        <v>367089020688300_461430421254159</v>
      </c>
      <c r="E577" s="11">
        <v>650.0</v>
      </c>
      <c r="F577" s="11">
        <v>10.0</v>
      </c>
      <c r="G577" s="11">
        <v>580.0</v>
      </c>
      <c r="H577" s="9" t="s">
        <v>26</v>
      </c>
      <c r="I577" s="9" t="s">
        <v>2615</v>
      </c>
      <c r="J577" s="9" t="s">
        <v>2616</v>
      </c>
      <c r="K577" s="9" t="s">
        <v>2617</v>
      </c>
      <c r="L577" s="9" t="s">
        <v>30</v>
      </c>
      <c r="M577" s="9" t="s">
        <v>31</v>
      </c>
      <c r="N577" s="9" t="s">
        <v>32</v>
      </c>
      <c r="O577" s="12" t="s">
        <v>33</v>
      </c>
      <c r="P577" s="12" t="s">
        <v>34</v>
      </c>
      <c r="Q577" s="9"/>
      <c r="R577" s="18"/>
      <c r="S577" s="18"/>
      <c r="T577" s="18"/>
      <c r="U577" s="18"/>
      <c r="V577" s="18"/>
      <c r="W577" s="15"/>
      <c r="X577" s="15"/>
    </row>
    <row r="578">
      <c r="A578" s="7">
        <v>577.0</v>
      </c>
      <c r="B578" s="8" t="s">
        <v>2618</v>
      </c>
      <c r="C578" s="9" t="s">
        <v>2619</v>
      </c>
      <c r="D578" s="10" t="str">
        <f>HYPERLINK("https://facebook.com/367089020688300_507787773285090", "367089020688300_507787773285090")</f>
        <v>367089020688300_507787773285090</v>
      </c>
      <c r="E578" s="11">
        <v>432.0</v>
      </c>
      <c r="F578" s="11">
        <v>24.0</v>
      </c>
      <c r="G578" s="11">
        <v>749.0</v>
      </c>
      <c r="H578" s="9" t="s">
        <v>26</v>
      </c>
      <c r="I578" s="9" t="s">
        <v>2620</v>
      </c>
      <c r="J578" s="9" t="s">
        <v>2621</v>
      </c>
      <c r="K578" s="9" t="s">
        <v>2622</v>
      </c>
      <c r="L578" s="9" t="s">
        <v>30</v>
      </c>
      <c r="M578" s="9" t="s">
        <v>31</v>
      </c>
      <c r="N578" s="9" t="s">
        <v>32</v>
      </c>
      <c r="O578" s="12" t="s">
        <v>33</v>
      </c>
      <c r="P578" s="12" t="s">
        <v>34</v>
      </c>
      <c r="Q578" s="9"/>
      <c r="R578" s="18"/>
      <c r="S578" s="18"/>
      <c r="T578" s="18"/>
      <c r="U578" s="18"/>
      <c r="V578" s="18"/>
      <c r="W578" s="15"/>
      <c r="X578" s="15"/>
    </row>
    <row r="579">
      <c r="A579" s="7">
        <v>578.0</v>
      </c>
      <c r="B579" s="8" t="s">
        <v>2623</v>
      </c>
      <c r="C579" s="9" t="s">
        <v>2624</v>
      </c>
      <c r="D579" s="10" t="str">
        <f>HYPERLINK("https://facebook.com/367089020688300_546681236062410", "367089020688300_546681236062410")</f>
        <v>367089020688300_546681236062410</v>
      </c>
      <c r="E579" s="11">
        <v>19.0</v>
      </c>
      <c r="F579" s="11">
        <v>0.0</v>
      </c>
      <c r="G579" s="11">
        <v>5.0</v>
      </c>
      <c r="H579" s="9" t="s">
        <v>26</v>
      </c>
      <c r="I579" s="9" t="s">
        <v>2625</v>
      </c>
      <c r="J579" s="9" t="s">
        <v>2626</v>
      </c>
      <c r="K579" s="9" t="s">
        <v>249</v>
      </c>
      <c r="L579" s="9" t="s">
        <v>30</v>
      </c>
      <c r="M579" s="9" t="s">
        <v>31</v>
      </c>
      <c r="N579" s="9" t="s">
        <v>32</v>
      </c>
      <c r="O579" s="12" t="s">
        <v>33</v>
      </c>
      <c r="P579" s="12" t="s">
        <v>34</v>
      </c>
      <c r="Q579" s="9"/>
      <c r="R579" s="18"/>
      <c r="S579" s="18"/>
      <c r="T579" s="18"/>
      <c r="U579" s="18"/>
      <c r="V579" s="18"/>
      <c r="W579" s="15"/>
      <c r="X579" s="15"/>
    </row>
    <row r="580">
      <c r="A580" s="7">
        <v>579.0</v>
      </c>
      <c r="B580" s="8" t="s">
        <v>2627</v>
      </c>
      <c r="C580" s="9" t="s">
        <v>2628</v>
      </c>
      <c r="D580" s="10" t="str">
        <f>HYPERLINK("https://facebook.com/367089020688300_543219999741867", "367089020688300_543219999741867")</f>
        <v>367089020688300_543219999741867</v>
      </c>
      <c r="E580" s="11">
        <v>133.0</v>
      </c>
      <c r="F580" s="11">
        <v>7.0</v>
      </c>
      <c r="G580" s="11">
        <v>3.0</v>
      </c>
      <c r="H580" s="9" t="s">
        <v>26</v>
      </c>
      <c r="I580" s="9" t="s">
        <v>993</v>
      </c>
      <c r="J580" s="9" t="s">
        <v>994</v>
      </c>
      <c r="K580" s="9" t="s">
        <v>995</v>
      </c>
      <c r="L580" s="9" t="s">
        <v>30</v>
      </c>
      <c r="M580" s="9" t="s">
        <v>31</v>
      </c>
      <c r="N580" s="9" t="s">
        <v>32</v>
      </c>
      <c r="O580" s="12" t="s">
        <v>33</v>
      </c>
      <c r="P580" s="12" t="s">
        <v>34</v>
      </c>
      <c r="Q580" s="9"/>
      <c r="R580" s="18"/>
      <c r="S580" s="18"/>
      <c r="T580" s="18"/>
      <c r="U580" s="18"/>
      <c r="V580" s="18"/>
      <c r="W580" s="15"/>
      <c r="X580" s="15"/>
    </row>
    <row r="581">
      <c r="A581" s="7">
        <v>580.0</v>
      </c>
      <c r="B581" s="8" t="s">
        <v>2629</v>
      </c>
      <c r="C581" s="9" t="s">
        <v>2630</v>
      </c>
      <c r="D581" s="10" t="str">
        <f>HYPERLINK("https://facebook.com/367089020688300_558454141551786", "367089020688300_558454141551786")</f>
        <v>367089020688300_558454141551786</v>
      </c>
      <c r="E581" s="11">
        <v>246.0</v>
      </c>
      <c r="F581" s="11">
        <v>8.0</v>
      </c>
      <c r="G581" s="11">
        <v>272.0</v>
      </c>
      <c r="H581" s="9" t="s">
        <v>26</v>
      </c>
      <c r="I581" s="9" t="s">
        <v>2631</v>
      </c>
      <c r="J581" s="9" t="s">
        <v>2632</v>
      </c>
      <c r="K581" s="9" t="s">
        <v>51</v>
      </c>
      <c r="L581" s="9" t="s">
        <v>30</v>
      </c>
      <c r="M581" s="9" t="s">
        <v>31</v>
      </c>
      <c r="N581" s="9" t="s">
        <v>32</v>
      </c>
      <c r="O581" s="12" t="s">
        <v>33</v>
      </c>
      <c r="P581" s="12" t="s">
        <v>34</v>
      </c>
      <c r="Q581" s="9"/>
      <c r="R581" s="18"/>
      <c r="S581" s="18"/>
      <c r="T581" s="18"/>
      <c r="U581" s="18"/>
      <c r="V581" s="18"/>
      <c r="W581" s="15"/>
      <c r="X581" s="15"/>
    </row>
    <row r="582">
      <c r="A582" s="7">
        <v>581.0</v>
      </c>
      <c r="B582" s="8" t="s">
        <v>2633</v>
      </c>
      <c r="C582" s="9" t="s">
        <v>2634</v>
      </c>
      <c r="D582" s="10" t="str">
        <f>HYPERLINK("https://facebook.com/367089020688300_542587229805144", "367089020688300_542587229805144")</f>
        <v>367089020688300_542587229805144</v>
      </c>
      <c r="E582" s="11">
        <v>11.0</v>
      </c>
      <c r="F582" s="11">
        <v>0.0</v>
      </c>
      <c r="G582" s="11">
        <v>3.0</v>
      </c>
      <c r="H582" s="9" t="s">
        <v>26</v>
      </c>
      <c r="I582" s="9" t="s">
        <v>2635</v>
      </c>
      <c r="J582" s="9" t="s">
        <v>2636</v>
      </c>
      <c r="K582" s="9" t="s">
        <v>2637</v>
      </c>
      <c r="L582" s="9" t="s">
        <v>30</v>
      </c>
      <c r="M582" s="9" t="s">
        <v>31</v>
      </c>
      <c r="N582" s="9" t="s">
        <v>32</v>
      </c>
      <c r="O582" s="12" t="s">
        <v>33</v>
      </c>
      <c r="P582" s="12" t="s">
        <v>34</v>
      </c>
      <c r="Q582" s="9"/>
      <c r="R582" s="18"/>
      <c r="S582" s="18"/>
      <c r="T582" s="18"/>
      <c r="U582" s="18"/>
      <c r="V582" s="18"/>
      <c r="W582" s="15"/>
      <c r="X582" s="15"/>
    </row>
    <row r="583">
      <c r="A583" s="7">
        <v>582.0</v>
      </c>
      <c r="B583" s="8" t="s">
        <v>2638</v>
      </c>
      <c r="C583" s="9" t="s">
        <v>2639</v>
      </c>
      <c r="D583" s="10" t="str">
        <f>HYPERLINK("https://facebook.com/367089020688300_534394847291049", "367089020688300_534394847291049")</f>
        <v>367089020688300_534394847291049</v>
      </c>
      <c r="E583" s="11">
        <v>197.0</v>
      </c>
      <c r="F583" s="11">
        <v>0.0</v>
      </c>
      <c r="G583" s="11">
        <v>190.0</v>
      </c>
      <c r="H583" s="9" t="s">
        <v>26</v>
      </c>
      <c r="I583" s="9" t="s">
        <v>2640</v>
      </c>
      <c r="J583" s="9" t="s">
        <v>2641</v>
      </c>
      <c r="K583" s="9" t="s">
        <v>2642</v>
      </c>
      <c r="L583" s="9" t="s">
        <v>30</v>
      </c>
      <c r="M583" s="9" t="s">
        <v>31</v>
      </c>
      <c r="N583" s="9" t="s">
        <v>32</v>
      </c>
      <c r="O583" s="12" t="s">
        <v>33</v>
      </c>
      <c r="P583" s="12" t="s">
        <v>34</v>
      </c>
      <c r="Q583" s="9"/>
      <c r="R583" s="18"/>
      <c r="S583" s="18"/>
      <c r="T583" s="18"/>
      <c r="U583" s="18"/>
      <c r="V583" s="18"/>
      <c r="W583" s="15"/>
      <c r="X583" s="15"/>
    </row>
    <row r="584">
      <c r="A584" s="7">
        <v>583.0</v>
      </c>
      <c r="B584" s="8" t="s">
        <v>2643</v>
      </c>
      <c r="C584" s="9" t="s">
        <v>2644</v>
      </c>
      <c r="D584" s="10" t="str">
        <f>HYPERLINK("https://facebook.com/367089020688300_432991367431398", "367089020688300_432991367431398")</f>
        <v>367089020688300_432991367431398</v>
      </c>
      <c r="E584" s="11">
        <v>292.0</v>
      </c>
      <c r="F584" s="11">
        <v>5.0</v>
      </c>
      <c r="G584" s="11">
        <v>306.0</v>
      </c>
      <c r="H584" s="9" t="s">
        <v>26</v>
      </c>
      <c r="I584" s="9" t="s">
        <v>2645</v>
      </c>
      <c r="J584" s="9" t="s">
        <v>2646</v>
      </c>
      <c r="K584" s="9" t="s">
        <v>2647</v>
      </c>
      <c r="L584" s="9" t="s">
        <v>30</v>
      </c>
      <c r="M584" s="9" t="s">
        <v>31</v>
      </c>
      <c r="N584" s="9" t="s">
        <v>32</v>
      </c>
      <c r="O584" s="12" t="s">
        <v>33</v>
      </c>
      <c r="P584" s="12" t="s">
        <v>34</v>
      </c>
      <c r="Q584" s="9"/>
      <c r="R584" s="18"/>
      <c r="S584" s="18"/>
      <c r="T584" s="18"/>
      <c r="U584" s="18"/>
      <c r="V584" s="18"/>
      <c r="W584" s="15"/>
      <c r="X584" s="15"/>
    </row>
    <row r="585">
      <c r="A585" s="7">
        <v>584.0</v>
      </c>
      <c r="B585" s="8" t="s">
        <v>2648</v>
      </c>
      <c r="C585" s="9" t="s">
        <v>2649</v>
      </c>
      <c r="D585" s="10" t="str">
        <f>HYPERLINK("https://facebook.com/367089020688300_552428458821021", "367089020688300_552428458821021")</f>
        <v>367089020688300_552428458821021</v>
      </c>
      <c r="E585" s="11">
        <v>28.0</v>
      </c>
      <c r="F585" s="11">
        <v>1.0</v>
      </c>
      <c r="G585" s="11">
        <v>19.0</v>
      </c>
      <c r="H585" s="9" t="s">
        <v>26</v>
      </c>
      <c r="I585" s="9" t="s">
        <v>2650</v>
      </c>
      <c r="J585" s="9" t="s">
        <v>2651</v>
      </c>
      <c r="K585" s="9" t="s">
        <v>2652</v>
      </c>
      <c r="L585" s="9" t="s">
        <v>30</v>
      </c>
      <c r="M585" s="9" t="s">
        <v>31</v>
      </c>
      <c r="N585" s="9" t="s">
        <v>32</v>
      </c>
      <c r="O585" s="12" t="s">
        <v>33</v>
      </c>
      <c r="P585" s="12" t="s">
        <v>34</v>
      </c>
      <c r="Q585" s="9"/>
      <c r="R585" s="18"/>
      <c r="S585" s="18"/>
      <c r="T585" s="18"/>
      <c r="U585" s="18"/>
      <c r="V585" s="18"/>
      <c r="W585" s="15"/>
      <c r="X585" s="15"/>
    </row>
    <row r="586">
      <c r="A586" s="7">
        <v>585.0</v>
      </c>
      <c r="B586" s="8" t="s">
        <v>2653</v>
      </c>
      <c r="C586" s="9" t="s">
        <v>2654</v>
      </c>
      <c r="D586" s="10" t="str">
        <f>HYPERLINK("https://facebook.com/367089020688300_542671853130015", "367089020688300_542671853130015")</f>
        <v>367089020688300_542671853130015</v>
      </c>
      <c r="E586" s="11">
        <v>6.0</v>
      </c>
      <c r="F586" s="11">
        <v>0.0</v>
      </c>
      <c r="G586" s="11">
        <v>2.0</v>
      </c>
      <c r="H586" s="9" t="s">
        <v>26</v>
      </c>
      <c r="I586" s="9" t="s">
        <v>2655</v>
      </c>
      <c r="J586" s="16" t="s">
        <v>2656</v>
      </c>
      <c r="K586" s="9"/>
      <c r="L586" s="9" t="s">
        <v>30</v>
      </c>
      <c r="M586" s="9" t="s">
        <v>31</v>
      </c>
      <c r="N586" s="9" t="s">
        <v>32</v>
      </c>
      <c r="O586" s="12" t="s">
        <v>33</v>
      </c>
      <c r="P586" s="12" t="s">
        <v>34</v>
      </c>
      <c r="Q586" s="9"/>
      <c r="R586" s="18"/>
      <c r="S586" s="18"/>
      <c r="T586" s="18"/>
      <c r="U586" s="18"/>
      <c r="V586" s="18"/>
      <c r="W586" s="15"/>
      <c r="X586" s="15"/>
    </row>
    <row r="587">
      <c r="A587" s="7">
        <v>586.0</v>
      </c>
      <c r="B587" s="8" t="s">
        <v>2657</v>
      </c>
      <c r="C587" s="9" t="s">
        <v>2658</v>
      </c>
      <c r="D587" s="10" t="str">
        <f>HYPERLINK("https://facebook.com/367089020688300_557947154935818", "367089020688300_557947154935818")</f>
        <v>367089020688300_557947154935818</v>
      </c>
      <c r="E587" s="11">
        <v>10.0</v>
      </c>
      <c r="F587" s="11">
        <v>0.0</v>
      </c>
      <c r="G587" s="11">
        <v>4.0</v>
      </c>
      <c r="H587" s="9" t="s">
        <v>26</v>
      </c>
      <c r="I587" s="9" t="s">
        <v>2659</v>
      </c>
      <c r="J587" s="9" t="s">
        <v>2660</v>
      </c>
      <c r="K587" s="9" t="s">
        <v>663</v>
      </c>
      <c r="L587" s="9" t="s">
        <v>30</v>
      </c>
      <c r="M587" s="9" t="s">
        <v>31</v>
      </c>
      <c r="N587" s="9" t="s">
        <v>32</v>
      </c>
      <c r="O587" s="12" t="s">
        <v>33</v>
      </c>
      <c r="P587" s="12" t="s">
        <v>34</v>
      </c>
      <c r="Q587" s="9"/>
      <c r="R587" s="18"/>
      <c r="S587" s="18"/>
      <c r="T587" s="18"/>
      <c r="U587" s="18"/>
      <c r="V587" s="18"/>
      <c r="W587" s="15"/>
      <c r="X587" s="15"/>
    </row>
    <row r="588">
      <c r="A588" s="7">
        <v>587.0</v>
      </c>
      <c r="B588" s="8" t="s">
        <v>2661</v>
      </c>
      <c r="C588" s="9" t="s">
        <v>2662</v>
      </c>
      <c r="D588" s="10" t="str">
        <f>HYPERLINK("https://facebook.com/367089020688300_527768204620380", "367089020688300_527768204620380")</f>
        <v>367089020688300_527768204620380</v>
      </c>
      <c r="E588" s="11">
        <v>160.0</v>
      </c>
      <c r="F588" s="11">
        <v>8.0</v>
      </c>
      <c r="G588" s="11">
        <v>264.0</v>
      </c>
      <c r="H588" s="9" t="s">
        <v>26</v>
      </c>
      <c r="I588" s="9" t="s">
        <v>2663</v>
      </c>
      <c r="J588" s="9" t="s">
        <v>2664</v>
      </c>
      <c r="K588" s="9" t="s">
        <v>2665</v>
      </c>
      <c r="L588" s="9" t="s">
        <v>30</v>
      </c>
      <c r="M588" s="9" t="s">
        <v>31</v>
      </c>
      <c r="N588" s="9" t="s">
        <v>32</v>
      </c>
      <c r="O588" s="12" t="s">
        <v>33</v>
      </c>
      <c r="P588" s="12" t="s">
        <v>34</v>
      </c>
      <c r="Q588" s="9"/>
      <c r="R588" s="18"/>
      <c r="S588" s="18"/>
      <c r="T588" s="18"/>
      <c r="U588" s="18"/>
      <c r="V588" s="18"/>
      <c r="W588" s="15"/>
      <c r="X588" s="15"/>
    </row>
    <row r="589">
      <c r="A589" s="7">
        <v>588.0</v>
      </c>
      <c r="B589" s="8" t="s">
        <v>2666</v>
      </c>
      <c r="C589" s="9" t="s">
        <v>2667</v>
      </c>
      <c r="D589" s="10" t="str">
        <f>HYPERLINK("https://facebook.com/367089020688300_514409475956253", "367089020688300_514409475956253")</f>
        <v>367089020688300_514409475956253</v>
      </c>
      <c r="E589" s="11">
        <v>47.0</v>
      </c>
      <c r="F589" s="11">
        <v>0.0</v>
      </c>
      <c r="G589" s="11">
        <v>69.0</v>
      </c>
      <c r="H589" s="9" t="s">
        <v>26</v>
      </c>
      <c r="I589" s="9" t="s">
        <v>950</v>
      </c>
      <c r="J589" s="16" t="s">
        <v>951</v>
      </c>
      <c r="K589" s="9"/>
      <c r="L589" s="9" t="s">
        <v>30</v>
      </c>
      <c r="M589" s="9" t="s">
        <v>31</v>
      </c>
      <c r="N589" s="9" t="s">
        <v>32</v>
      </c>
      <c r="O589" s="12" t="s">
        <v>33</v>
      </c>
      <c r="P589" s="12" t="s">
        <v>34</v>
      </c>
      <c r="Q589" s="9"/>
      <c r="R589" s="18"/>
      <c r="S589" s="18"/>
      <c r="T589" s="18"/>
      <c r="U589" s="18"/>
      <c r="V589" s="18"/>
      <c r="W589" s="15"/>
      <c r="X589" s="15"/>
    </row>
    <row r="590">
      <c r="A590" s="7">
        <v>589.0</v>
      </c>
      <c r="B590" s="8" t="s">
        <v>2668</v>
      </c>
      <c r="C590" s="9" t="s">
        <v>2669</v>
      </c>
      <c r="D590" s="10" t="str">
        <f>HYPERLINK("https://facebook.com/367089020688300_507019216695279", "367089020688300_507019216695279")</f>
        <v>367089020688300_507019216695279</v>
      </c>
      <c r="E590" s="11">
        <v>2167.0</v>
      </c>
      <c r="F590" s="11">
        <v>972.0</v>
      </c>
      <c r="G590" s="11">
        <v>703.0</v>
      </c>
      <c r="H590" s="9" t="s">
        <v>26</v>
      </c>
      <c r="I590" s="9" t="s">
        <v>2670</v>
      </c>
      <c r="J590" s="9" t="s">
        <v>2671</v>
      </c>
      <c r="K590" s="9" t="s">
        <v>2672</v>
      </c>
      <c r="L590" s="9" t="s">
        <v>30</v>
      </c>
      <c r="M590" s="9" t="s">
        <v>31</v>
      </c>
      <c r="N590" s="9" t="s">
        <v>32</v>
      </c>
      <c r="O590" s="12" t="s">
        <v>33</v>
      </c>
      <c r="P590" s="12" t="s">
        <v>34</v>
      </c>
      <c r="Q590" s="9"/>
      <c r="R590" s="18"/>
      <c r="S590" s="18"/>
      <c r="T590" s="18"/>
      <c r="U590" s="18"/>
      <c r="V590" s="18"/>
      <c r="W590" s="15"/>
      <c r="X590" s="15"/>
    </row>
    <row r="591">
      <c r="A591" s="7">
        <v>590.0</v>
      </c>
      <c r="B591" s="8" t="s">
        <v>2673</v>
      </c>
      <c r="C591" s="9" t="s">
        <v>2674</v>
      </c>
      <c r="D591" s="10" t="str">
        <f>HYPERLINK("https://facebook.com/367089020688300_561019161295284", "367089020688300_561019161295284")</f>
        <v>367089020688300_561019161295284</v>
      </c>
      <c r="E591" s="11">
        <v>697.0</v>
      </c>
      <c r="F591" s="11">
        <v>10.0</v>
      </c>
      <c r="G591" s="11">
        <v>295.0</v>
      </c>
      <c r="H591" s="9" t="s">
        <v>26</v>
      </c>
      <c r="I591" s="9" t="s">
        <v>460</v>
      </c>
      <c r="J591" s="9" t="s">
        <v>2675</v>
      </c>
      <c r="K591" s="9" t="s">
        <v>2676</v>
      </c>
      <c r="L591" s="9" t="s">
        <v>30</v>
      </c>
      <c r="M591" s="9" t="s">
        <v>31</v>
      </c>
      <c r="N591" s="9" t="s">
        <v>32</v>
      </c>
      <c r="O591" s="12" t="s">
        <v>33</v>
      </c>
      <c r="P591" s="12" t="s">
        <v>34</v>
      </c>
      <c r="Q591" s="9"/>
      <c r="R591" s="18"/>
      <c r="S591" s="18"/>
      <c r="T591" s="18"/>
      <c r="U591" s="18"/>
      <c r="V591" s="18"/>
      <c r="W591" s="15"/>
      <c r="X591" s="15"/>
    </row>
    <row r="592">
      <c r="A592" s="7">
        <v>591.0</v>
      </c>
      <c r="B592" s="8" t="s">
        <v>2677</v>
      </c>
      <c r="C592" s="9" t="s">
        <v>2678</v>
      </c>
      <c r="D592" s="10" t="str">
        <f>HYPERLINK("https://facebook.com/367089020688300_554121408651726", "367089020688300_554121408651726")</f>
        <v>367089020688300_554121408651726</v>
      </c>
      <c r="E592" s="11">
        <v>90.0</v>
      </c>
      <c r="F592" s="11">
        <v>1.0</v>
      </c>
      <c r="G592" s="11">
        <v>76.0</v>
      </c>
      <c r="H592" s="9" t="s">
        <v>26</v>
      </c>
      <c r="I592" s="9" t="s">
        <v>2679</v>
      </c>
      <c r="J592" s="16" t="s">
        <v>2680</v>
      </c>
      <c r="K592" s="9"/>
      <c r="L592" s="9" t="s">
        <v>30</v>
      </c>
      <c r="M592" s="9" t="s">
        <v>31</v>
      </c>
      <c r="N592" s="9" t="s">
        <v>32</v>
      </c>
      <c r="O592" s="12" t="s">
        <v>33</v>
      </c>
      <c r="P592" s="12" t="s">
        <v>34</v>
      </c>
      <c r="Q592" s="9"/>
      <c r="R592" s="18"/>
      <c r="S592" s="18"/>
      <c r="T592" s="18"/>
      <c r="U592" s="18"/>
      <c r="V592" s="18"/>
      <c r="W592" s="15"/>
      <c r="X592" s="15"/>
    </row>
    <row r="593">
      <c r="A593" s="7">
        <v>592.0</v>
      </c>
      <c r="B593" s="8" t="s">
        <v>2681</v>
      </c>
      <c r="C593" s="9" t="s">
        <v>2682</v>
      </c>
      <c r="D593" s="10" t="str">
        <f>HYPERLINK("https://facebook.com/367089020688300_526118994785301", "367089020688300_526118994785301")</f>
        <v>367089020688300_526118994785301</v>
      </c>
      <c r="E593" s="11">
        <v>30.0</v>
      </c>
      <c r="F593" s="11">
        <v>0.0</v>
      </c>
      <c r="G593" s="11">
        <v>90.0</v>
      </c>
      <c r="H593" s="9" t="s">
        <v>26</v>
      </c>
      <c r="I593" s="9" t="s">
        <v>2683</v>
      </c>
      <c r="J593" s="9" t="s">
        <v>2684</v>
      </c>
      <c r="K593" s="9" t="s">
        <v>2685</v>
      </c>
      <c r="L593" s="9" t="s">
        <v>30</v>
      </c>
      <c r="M593" s="9" t="s">
        <v>31</v>
      </c>
      <c r="N593" s="9" t="s">
        <v>32</v>
      </c>
      <c r="O593" s="12" t="s">
        <v>33</v>
      </c>
      <c r="P593" s="12" t="s">
        <v>34</v>
      </c>
      <c r="Q593" s="9"/>
      <c r="R593" s="18"/>
      <c r="S593" s="18"/>
      <c r="T593" s="18"/>
      <c r="U593" s="18"/>
      <c r="V593" s="18"/>
      <c r="W593" s="15"/>
      <c r="X593" s="15"/>
    </row>
    <row r="594">
      <c r="A594" s="7">
        <v>593.0</v>
      </c>
      <c r="B594" s="8" t="s">
        <v>2686</v>
      </c>
      <c r="C594" s="9" t="s">
        <v>2687</v>
      </c>
      <c r="D594" s="10" t="str">
        <f>HYPERLINK("https://facebook.com/367089020688300_556041995126334", "367089020688300_556041995126334")</f>
        <v>367089020688300_556041995126334</v>
      </c>
      <c r="E594" s="11">
        <v>81.0</v>
      </c>
      <c r="F594" s="11">
        <v>4.0</v>
      </c>
      <c r="G594" s="11">
        <v>136.0</v>
      </c>
      <c r="H594" s="9" t="s">
        <v>26</v>
      </c>
      <c r="I594" s="9" t="s">
        <v>2688</v>
      </c>
      <c r="J594" s="9" t="s">
        <v>2689</v>
      </c>
      <c r="K594" s="9" t="s">
        <v>219</v>
      </c>
      <c r="L594" s="9" t="s">
        <v>30</v>
      </c>
      <c r="M594" s="9" t="s">
        <v>31</v>
      </c>
      <c r="N594" s="9" t="s">
        <v>32</v>
      </c>
      <c r="O594" s="12" t="s">
        <v>33</v>
      </c>
      <c r="P594" s="12" t="s">
        <v>34</v>
      </c>
      <c r="Q594" s="9"/>
      <c r="R594" s="18"/>
      <c r="S594" s="18"/>
      <c r="T594" s="18"/>
      <c r="U594" s="18"/>
      <c r="V594" s="18"/>
      <c r="W594" s="15"/>
      <c r="X594" s="15"/>
    </row>
    <row r="595">
      <c r="A595" s="7">
        <v>594.0</v>
      </c>
      <c r="B595" s="8" t="s">
        <v>2690</v>
      </c>
      <c r="C595" s="9" t="s">
        <v>2691</v>
      </c>
      <c r="D595" s="10" t="str">
        <f>HYPERLINK("https://facebook.com/367089020688300_562289801168220", "367089020688300_562289801168220")</f>
        <v>367089020688300_562289801168220</v>
      </c>
      <c r="E595" s="11">
        <v>40.0</v>
      </c>
      <c r="F595" s="11">
        <v>0.0</v>
      </c>
      <c r="G595" s="11">
        <v>16.0</v>
      </c>
      <c r="H595" s="9" t="s">
        <v>26</v>
      </c>
      <c r="I595" s="9" t="s">
        <v>2692</v>
      </c>
      <c r="J595" s="9" t="s">
        <v>2693</v>
      </c>
      <c r="K595" s="9" t="s">
        <v>1345</v>
      </c>
      <c r="L595" s="9" t="s">
        <v>30</v>
      </c>
      <c r="M595" s="9" t="s">
        <v>31</v>
      </c>
      <c r="N595" s="9" t="s">
        <v>32</v>
      </c>
      <c r="O595" s="12" t="s">
        <v>33</v>
      </c>
      <c r="P595" s="12" t="s">
        <v>34</v>
      </c>
      <c r="Q595" s="9"/>
      <c r="R595" s="18"/>
      <c r="S595" s="18"/>
      <c r="T595" s="18"/>
      <c r="U595" s="18"/>
      <c r="V595" s="18"/>
      <c r="W595" s="15"/>
      <c r="X595" s="15"/>
    </row>
    <row r="596">
      <c r="A596" s="7">
        <v>595.0</v>
      </c>
      <c r="B596" s="8" t="s">
        <v>2694</v>
      </c>
      <c r="C596" s="9" t="s">
        <v>2695</v>
      </c>
      <c r="D596" s="10" t="str">
        <f>HYPERLINK("https://facebook.com/367089020688300_536549937075540", "367089020688300_536549937075540")</f>
        <v>367089020688300_536549937075540</v>
      </c>
      <c r="E596" s="11">
        <v>25.0</v>
      </c>
      <c r="F596" s="11">
        <v>0.0</v>
      </c>
      <c r="G596" s="11">
        <v>30.0</v>
      </c>
      <c r="H596" s="9" t="s">
        <v>26</v>
      </c>
      <c r="I596" s="9" t="s">
        <v>2696</v>
      </c>
      <c r="J596" s="16" t="s">
        <v>2697</v>
      </c>
      <c r="K596" s="9"/>
      <c r="L596" s="9" t="s">
        <v>30</v>
      </c>
      <c r="M596" s="9" t="s">
        <v>31</v>
      </c>
      <c r="N596" s="9" t="s">
        <v>32</v>
      </c>
      <c r="O596" s="12" t="s">
        <v>33</v>
      </c>
      <c r="P596" s="12" t="s">
        <v>34</v>
      </c>
      <c r="Q596" s="9"/>
      <c r="R596" s="18"/>
      <c r="S596" s="18"/>
      <c r="T596" s="18"/>
      <c r="U596" s="18"/>
      <c r="V596" s="18"/>
      <c r="W596" s="15"/>
      <c r="X596" s="15"/>
    </row>
    <row r="597">
      <c r="A597" s="7">
        <v>596.0</v>
      </c>
      <c r="B597" s="8" t="s">
        <v>2698</v>
      </c>
      <c r="C597" s="9" t="s">
        <v>2699</v>
      </c>
      <c r="D597" s="10" t="str">
        <f>HYPERLINK("https://facebook.com/367089020688300_549032242493976", "367089020688300_549032242493976")</f>
        <v>367089020688300_549032242493976</v>
      </c>
      <c r="E597" s="11">
        <v>55.0</v>
      </c>
      <c r="F597" s="11">
        <v>2.0</v>
      </c>
      <c r="G597" s="11">
        <v>22.0</v>
      </c>
      <c r="H597" s="9" t="s">
        <v>26</v>
      </c>
      <c r="I597" s="9" t="s">
        <v>2700</v>
      </c>
      <c r="J597" s="16" t="s">
        <v>2701</v>
      </c>
      <c r="K597" s="9"/>
      <c r="L597" s="9" t="s">
        <v>30</v>
      </c>
      <c r="M597" s="9" t="s">
        <v>31</v>
      </c>
      <c r="N597" s="9" t="s">
        <v>32</v>
      </c>
      <c r="O597" s="12" t="s">
        <v>33</v>
      </c>
      <c r="P597" s="12" t="s">
        <v>34</v>
      </c>
      <c r="Q597" s="9"/>
      <c r="R597" s="18"/>
      <c r="S597" s="18"/>
      <c r="T597" s="18"/>
      <c r="U597" s="18"/>
      <c r="V597" s="18"/>
      <c r="W597" s="15"/>
      <c r="X597" s="15"/>
    </row>
    <row r="598">
      <c r="A598" s="7">
        <v>597.0</v>
      </c>
      <c r="B598" s="8" t="s">
        <v>2702</v>
      </c>
      <c r="C598" s="9" t="s">
        <v>2703</v>
      </c>
      <c r="D598" s="10" t="str">
        <f>HYPERLINK("https://facebook.com/367089020688300_410720179658517", "367089020688300_410720179658517")</f>
        <v>367089020688300_410720179658517</v>
      </c>
      <c r="E598" s="11">
        <v>215.0</v>
      </c>
      <c r="F598" s="11">
        <v>16.0</v>
      </c>
      <c r="G598" s="11">
        <v>179.0</v>
      </c>
      <c r="H598" s="9" t="s">
        <v>26</v>
      </c>
      <c r="I598" s="9" t="s">
        <v>2704</v>
      </c>
      <c r="J598" s="9" t="s">
        <v>2705</v>
      </c>
      <c r="K598" s="9" t="s">
        <v>2706</v>
      </c>
      <c r="L598" s="9" t="s">
        <v>30</v>
      </c>
      <c r="M598" s="9" t="s">
        <v>31</v>
      </c>
      <c r="N598" s="9" t="s">
        <v>32</v>
      </c>
      <c r="O598" s="12" t="s">
        <v>33</v>
      </c>
      <c r="P598" s="12" t="s">
        <v>34</v>
      </c>
      <c r="Q598" s="9"/>
      <c r="R598" s="18"/>
      <c r="S598" s="18"/>
      <c r="T598" s="18"/>
      <c r="U598" s="18"/>
      <c r="V598" s="18"/>
      <c r="W598" s="15"/>
      <c r="X598" s="15"/>
    </row>
    <row r="599">
      <c r="A599" s="7">
        <v>598.0</v>
      </c>
      <c r="B599" s="8" t="s">
        <v>2707</v>
      </c>
      <c r="C599" s="9" t="s">
        <v>2708</v>
      </c>
      <c r="D599" s="10" t="str">
        <f>HYPERLINK("https://facebook.com/367089020688300_548786505851883", "367089020688300_548786505851883")</f>
        <v>367089020688300_548786505851883</v>
      </c>
      <c r="E599" s="11">
        <v>130.0</v>
      </c>
      <c r="F599" s="11">
        <v>1.0</v>
      </c>
      <c r="G599" s="11">
        <v>84.0</v>
      </c>
      <c r="H599" s="9" t="s">
        <v>26</v>
      </c>
      <c r="I599" s="9" t="s">
        <v>2709</v>
      </c>
      <c r="J599" s="16" t="s">
        <v>2710</v>
      </c>
      <c r="K599" s="9"/>
      <c r="L599" s="9" t="s">
        <v>30</v>
      </c>
      <c r="M599" s="9" t="s">
        <v>31</v>
      </c>
      <c r="N599" s="9" t="s">
        <v>32</v>
      </c>
      <c r="O599" s="12" t="s">
        <v>33</v>
      </c>
      <c r="P599" s="12" t="s">
        <v>34</v>
      </c>
      <c r="Q599" s="9"/>
      <c r="R599" s="18"/>
      <c r="S599" s="18"/>
      <c r="T599" s="18"/>
      <c r="U599" s="18"/>
      <c r="V599" s="18"/>
      <c r="W599" s="15"/>
      <c r="X599" s="15"/>
    </row>
    <row r="600">
      <c r="A600" s="7">
        <v>599.0</v>
      </c>
      <c r="B600" s="8" t="s">
        <v>2711</v>
      </c>
      <c r="C600" s="9" t="s">
        <v>2712</v>
      </c>
      <c r="D600" s="10" t="str">
        <f>HYPERLINK("https://facebook.com/367089020688300_494773537919847", "367089020688300_494773537919847")</f>
        <v>367089020688300_494773537919847</v>
      </c>
      <c r="E600" s="11">
        <v>286.0</v>
      </c>
      <c r="F600" s="11">
        <v>2.0</v>
      </c>
      <c r="G600" s="11">
        <v>180.0</v>
      </c>
      <c r="H600" s="9" t="s">
        <v>26</v>
      </c>
      <c r="I600" s="9" t="s">
        <v>2713</v>
      </c>
      <c r="J600" s="9" t="s">
        <v>2714</v>
      </c>
      <c r="K600" s="9" t="s">
        <v>2715</v>
      </c>
      <c r="L600" s="9" t="s">
        <v>30</v>
      </c>
      <c r="M600" s="9" t="s">
        <v>31</v>
      </c>
      <c r="N600" s="9" t="s">
        <v>32</v>
      </c>
      <c r="O600" s="12" t="s">
        <v>33</v>
      </c>
      <c r="P600" s="12" t="s">
        <v>34</v>
      </c>
      <c r="Q600" s="9"/>
      <c r="R600" s="18"/>
      <c r="S600" s="18"/>
      <c r="T600" s="18"/>
      <c r="U600" s="18"/>
      <c r="V600" s="18"/>
      <c r="W600" s="15"/>
      <c r="X600" s="15"/>
    </row>
    <row r="601">
      <c r="A601" s="7">
        <v>600.0</v>
      </c>
      <c r="B601" s="8" t="s">
        <v>2716</v>
      </c>
      <c r="C601" s="9" t="s">
        <v>2717</v>
      </c>
      <c r="D601" s="10" t="str">
        <f>HYPERLINK("https://facebook.com/367089020688300_538782420185625", "367089020688300_538782420185625")</f>
        <v>367089020688300_538782420185625</v>
      </c>
      <c r="E601" s="11">
        <v>97.0</v>
      </c>
      <c r="F601" s="11">
        <v>4.0</v>
      </c>
      <c r="G601" s="11">
        <v>148.0</v>
      </c>
      <c r="H601" s="9" t="s">
        <v>26</v>
      </c>
      <c r="I601" s="9" t="s">
        <v>2718</v>
      </c>
      <c r="J601" s="16" t="s">
        <v>2719</v>
      </c>
      <c r="K601" s="9"/>
      <c r="L601" s="9" t="s">
        <v>30</v>
      </c>
      <c r="M601" s="9" t="s">
        <v>31</v>
      </c>
      <c r="N601" s="9" t="s">
        <v>32</v>
      </c>
      <c r="O601" s="12" t="s">
        <v>33</v>
      </c>
      <c r="P601" s="12" t="s">
        <v>34</v>
      </c>
      <c r="Q601" s="9"/>
      <c r="R601" s="18"/>
      <c r="S601" s="18"/>
      <c r="T601" s="18"/>
      <c r="U601" s="18"/>
      <c r="V601" s="18"/>
      <c r="W601" s="15"/>
      <c r="X601" s="15"/>
    </row>
    <row r="602">
      <c r="A602" s="7">
        <v>601.0</v>
      </c>
      <c r="B602" s="8" t="s">
        <v>2720</v>
      </c>
      <c r="C602" s="9" t="s">
        <v>2721</v>
      </c>
      <c r="D602" s="10" t="str">
        <f>HYPERLINK("https://facebook.com/367089020688300_535729940490873", "367089020688300_535729940490873")</f>
        <v>367089020688300_535729940490873</v>
      </c>
      <c r="E602" s="11">
        <v>362.0</v>
      </c>
      <c r="F602" s="11">
        <v>47.0</v>
      </c>
      <c r="G602" s="11">
        <v>208.0</v>
      </c>
      <c r="H602" s="9" t="s">
        <v>26</v>
      </c>
      <c r="I602" s="9" t="s">
        <v>2722</v>
      </c>
      <c r="J602" s="9" t="s">
        <v>2723</v>
      </c>
      <c r="K602" s="9" t="s">
        <v>2724</v>
      </c>
      <c r="L602" s="9" t="s">
        <v>30</v>
      </c>
      <c r="M602" s="9" t="s">
        <v>31</v>
      </c>
      <c r="N602" s="9" t="s">
        <v>32</v>
      </c>
      <c r="O602" s="12" t="s">
        <v>33</v>
      </c>
      <c r="P602" s="12" t="s">
        <v>34</v>
      </c>
      <c r="Q602" s="9"/>
      <c r="R602" s="18"/>
      <c r="S602" s="18"/>
      <c r="T602" s="18"/>
      <c r="U602" s="18"/>
      <c r="V602" s="18"/>
      <c r="W602" s="15"/>
      <c r="X602" s="15"/>
    </row>
    <row r="603">
      <c r="A603" s="7">
        <v>602.0</v>
      </c>
      <c r="B603" s="8" t="s">
        <v>2725</v>
      </c>
      <c r="C603" s="9" t="s">
        <v>2726</v>
      </c>
      <c r="D603" s="10" t="str">
        <f>HYPERLINK("https://facebook.com/367089020688300_541782309885636", "367089020688300_541782309885636")</f>
        <v>367089020688300_541782309885636</v>
      </c>
      <c r="E603" s="11">
        <v>31.0</v>
      </c>
      <c r="F603" s="11">
        <v>0.0</v>
      </c>
      <c r="G603" s="11">
        <v>30.0</v>
      </c>
      <c r="H603" s="9" t="s">
        <v>26</v>
      </c>
      <c r="I603" s="9" t="s">
        <v>2727</v>
      </c>
      <c r="J603" s="9" t="s">
        <v>2728</v>
      </c>
      <c r="K603" s="9" t="s">
        <v>219</v>
      </c>
      <c r="L603" s="9" t="s">
        <v>30</v>
      </c>
      <c r="M603" s="9" t="s">
        <v>31</v>
      </c>
      <c r="N603" s="9" t="s">
        <v>32</v>
      </c>
      <c r="O603" s="12" t="s">
        <v>33</v>
      </c>
      <c r="P603" s="12" t="s">
        <v>34</v>
      </c>
      <c r="Q603" s="9"/>
      <c r="R603" s="18"/>
      <c r="S603" s="18"/>
      <c r="T603" s="18"/>
      <c r="U603" s="18"/>
      <c r="V603" s="18"/>
      <c r="W603" s="15"/>
      <c r="X603" s="15"/>
    </row>
    <row r="604">
      <c r="A604" s="7">
        <v>603.0</v>
      </c>
      <c r="B604" s="8" t="s">
        <v>2729</v>
      </c>
      <c r="C604" s="9" t="s">
        <v>2730</v>
      </c>
      <c r="D604" s="10" t="str">
        <f>HYPERLINK("https://facebook.com/367089020688300_525961421467725", "367089020688300_525961421467725")</f>
        <v>367089020688300_525961421467725</v>
      </c>
      <c r="E604" s="11">
        <v>867.0</v>
      </c>
      <c r="F604" s="11">
        <v>16.0</v>
      </c>
      <c r="G604" s="11">
        <v>414.0</v>
      </c>
      <c r="H604" s="9" t="s">
        <v>26</v>
      </c>
      <c r="I604" s="9" t="s">
        <v>2731</v>
      </c>
      <c r="J604" s="9" t="s">
        <v>2732</v>
      </c>
      <c r="K604" s="9" t="s">
        <v>219</v>
      </c>
      <c r="L604" s="9" t="s">
        <v>30</v>
      </c>
      <c r="M604" s="9" t="s">
        <v>31</v>
      </c>
      <c r="N604" s="9" t="s">
        <v>32</v>
      </c>
      <c r="O604" s="12" t="s">
        <v>33</v>
      </c>
      <c r="P604" s="12" t="s">
        <v>34</v>
      </c>
      <c r="Q604" s="9"/>
      <c r="R604" s="18"/>
      <c r="S604" s="18"/>
      <c r="T604" s="18"/>
      <c r="U604" s="18"/>
      <c r="V604" s="18"/>
      <c r="W604" s="15"/>
      <c r="X604" s="15"/>
    </row>
    <row r="605">
      <c r="A605" s="7">
        <v>604.0</v>
      </c>
      <c r="B605" s="8" t="s">
        <v>2733</v>
      </c>
      <c r="C605" s="9" t="s">
        <v>2734</v>
      </c>
      <c r="D605" s="10" t="str">
        <f>HYPERLINK("https://facebook.com/367089020688300_561478634582670", "367089020688300_561478634582670")</f>
        <v>367089020688300_561478634582670</v>
      </c>
      <c r="E605" s="11">
        <v>9.0</v>
      </c>
      <c r="F605" s="11">
        <v>0.0</v>
      </c>
      <c r="G605" s="11">
        <v>3.0</v>
      </c>
      <c r="H605" s="9" t="s">
        <v>26</v>
      </c>
      <c r="I605" s="9" t="s">
        <v>2735</v>
      </c>
      <c r="J605" s="9" t="s">
        <v>2736</v>
      </c>
      <c r="K605" s="9" t="s">
        <v>249</v>
      </c>
      <c r="L605" s="9" t="s">
        <v>30</v>
      </c>
      <c r="M605" s="9" t="s">
        <v>31</v>
      </c>
      <c r="N605" s="9" t="s">
        <v>32</v>
      </c>
      <c r="O605" s="12" t="s">
        <v>33</v>
      </c>
      <c r="P605" s="12" t="s">
        <v>34</v>
      </c>
      <c r="Q605" s="9"/>
      <c r="R605" s="18"/>
      <c r="S605" s="18"/>
      <c r="T605" s="18"/>
      <c r="U605" s="18"/>
      <c r="V605" s="18"/>
      <c r="W605" s="15"/>
      <c r="X605" s="15"/>
    </row>
    <row r="606">
      <c r="A606" s="7">
        <v>605.0</v>
      </c>
      <c r="B606" s="8" t="s">
        <v>2737</v>
      </c>
      <c r="C606" s="9" t="s">
        <v>2738</v>
      </c>
      <c r="D606" s="10" t="str">
        <f>HYPERLINK("https://facebook.com/367089020688300_453130348750833", "367089020688300_453130348750833")</f>
        <v>367089020688300_453130348750833</v>
      </c>
      <c r="E606" s="11">
        <v>2875.0</v>
      </c>
      <c r="F606" s="11">
        <v>24.0</v>
      </c>
      <c r="G606" s="11">
        <v>907.0</v>
      </c>
      <c r="H606" s="9" t="s">
        <v>26</v>
      </c>
      <c r="I606" s="9" t="s">
        <v>2739</v>
      </c>
      <c r="J606" s="16" t="s">
        <v>2740</v>
      </c>
      <c r="K606" s="9"/>
      <c r="L606" s="9" t="s">
        <v>30</v>
      </c>
      <c r="M606" s="9" t="s">
        <v>31</v>
      </c>
      <c r="N606" s="9" t="s">
        <v>32</v>
      </c>
      <c r="O606" s="12" t="s">
        <v>33</v>
      </c>
      <c r="P606" s="12" t="s">
        <v>34</v>
      </c>
      <c r="Q606" s="9"/>
      <c r="R606" s="18"/>
      <c r="S606" s="18"/>
      <c r="T606" s="18"/>
      <c r="U606" s="18"/>
      <c r="V606" s="18"/>
      <c r="W606" s="15"/>
      <c r="X606" s="15"/>
    </row>
    <row r="607">
      <c r="A607" s="7">
        <v>606.0</v>
      </c>
      <c r="B607" s="8" t="s">
        <v>2741</v>
      </c>
      <c r="C607" s="9" t="s">
        <v>2742</v>
      </c>
      <c r="D607" s="10" t="str">
        <f>HYPERLINK("https://facebook.com/367089020688300_445840066146528", "367089020688300_445840066146528")</f>
        <v>367089020688300_445840066146528</v>
      </c>
      <c r="E607" s="11">
        <v>1224.0</v>
      </c>
      <c r="F607" s="11">
        <v>15.0</v>
      </c>
      <c r="G607" s="11">
        <v>824.0</v>
      </c>
      <c r="H607" s="9" t="s">
        <v>26</v>
      </c>
      <c r="I607" s="9" t="s">
        <v>2743</v>
      </c>
      <c r="J607" s="9" t="s">
        <v>2744</v>
      </c>
      <c r="K607" s="9" t="s">
        <v>2745</v>
      </c>
      <c r="L607" s="9" t="s">
        <v>30</v>
      </c>
      <c r="M607" s="9" t="s">
        <v>31</v>
      </c>
      <c r="N607" s="9" t="s">
        <v>32</v>
      </c>
      <c r="O607" s="12" t="s">
        <v>33</v>
      </c>
      <c r="P607" s="12" t="s">
        <v>34</v>
      </c>
      <c r="Q607" s="9"/>
      <c r="R607" s="18"/>
      <c r="S607" s="18"/>
      <c r="T607" s="18"/>
      <c r="U607" s="18"/>
      <c r="V607" s="18"/>
      <c r="W607" s="15"/>
      <c r="X607" s="15"/>
    </row>
    <row r="608">
      <c r="A608" s="7">
        <v>607.0</v>
      </c>
      <c r="B608" s="8" t="s">
        <v>2746</v>
      </c>
      <c r="C608" s="9" t="s">
        <v>2747</v>
      </c>
      <c r="D608" s="10" t="str">
        <f>HYPERLINK("https://facebook.com/367089020688300_554991211898079", "367089020688300_554991211898079")</f>
        <v>367089020688300_554991211898079</v>
      </c>
      <c r="E608" s="11">
        <v>161.0</v>
      </c>
      <c r="F608" s="11">
        <v>22.0</v>
      </c>
      <c r="G608" s="11">
        <v>295.0</v>
      </c>
      <c r="H608" s="9" t="s">
        <v>26</v>
      </c>
      <c r="I608" s="9" t="s">
        <v>2748</v>
      </c>
      <c r="J608" s="9" t="s">
        <v>2749</v>
      </c>
      <c r="K608" s="9" t="s">
        <v>2750</v>
      </c>
      <c r="L608" s="9" t="s">
        <v>30</v>
      </c>
      <c r="M608" s="9" t="s">
        <v>31</v>
      </c>
      <c r="N608" s="9" t="s">
        <v>32</v>
      </c>
      <c r="O608" s="12" t="s">
        <v>33</v>
      </c>
      <c r="P608" s="12" t="s">
        <v>34</v>
      </c>
      <c r="Q608" s="9"/>
      <c r="R608" s="18"/>
      <c r="S608" s="18"/>
      <c r="T608" s="18"/>
      <c r="U608" s="18"/>
      <c r="V608" s="18"/>
      <c r="W608" s="15"/>
      <c r="X608" s="15"/>
    </row>
    <row r="609">
      <c r="A609" s="7">
        <v>608.0</v>
      </c>
      <c r="B609" s="8" t="s">
        <v>2751</v>
      </c>
      <c r="C609" s="9" t="s">
        <v>2752</v>
      </c>
      <c r="D609" s="10" t="str">
        <f>HYPERLINK("https://facebook.com/367089020688300_557526801644520", "367089020688300_557526801644520")</f>
        <v>367089020688300_557526801644520</v>
      </c>
      <c r="E609" s="11">
        <v>568.0</v>
      </c>
      <c r="F609" s="11">
        <v>4.0</v>
      </c>
      <c r="G609" s="11">
        <v>392.0</v>
      </c>
      <c r="H609" s="9" t="s">
        <v>26</v>
      </c>
      <c r="I609" s="9" t="s">
        <v>2753</v>
      </c>
      <c r="J609" s="16" t="s">
        <v>2754</v>
      </c>
      <c r="K609" s="9"/>
      <c r="L609" s="9" t="s">
        <v>30</v>
      </c>
      <c r="M609" s="9" t="s">
        <v>31</v>
      </c>
      <c r="N609" s="9" t="s">
        <v>32</v>
      </c>
      <c r="O609" s="12" t="s">
        <v>33</v>
      </c>
      <c r="P609" s="12" t="s">
        <v>34</v>
      </c>
      <c r="Q609" s="9"/>
      <c r="R609" s="18"/>
      <c r="S609" s="18"/>
      <c r="T609" s="18"/>
      <c r="U609" s="18"/>
      <c r="V609" s="18"/>
      <c r="W609" s="15"/>
      <c r="X609" s="15"/>
    </row>
    <row r="610">
      <c r="A610" s="7">
        <v>609.0</v>
      </c>
      <c r="B610" s="8" t="s">
        <v>2755</v>
      </c>
      <c r="C610" s="9" t="s">
        <v>2756</v>
      </c>
      <c r="D610" s="10" t="str">
        <f>HYPERLINK("https://facebook.com/367089020688300_542489916481542", "367089020688300_542489916481542")</f>
        <v>367089020688300_542489916481542</v>
      </c>
      <c r="E610" s="11">
        <v>35.0</v>
      </c>
      <c r="F610" s="11">
        <v>0.0</v>
      </c>
      <c r="G610" s="11">
        <v>28.0</v>
      </c>
      <c r="H610" s="9" t="s">
        <v>26</v>
      </c>
      <c r="I610" s="9" t="s">
        <v>2418</v>
      </c>
      <c r="J610" s="16" t="s">
        <v>2419</v>
      </c>
      <c r="K610" s="9"/>
      <c r="L610" s="9" t="s">
        <v>30</v>
      </c>
      <c r="M610" s="9" t="s">
        <v>31</v>
      </c>
      <c r="N610" s="9" t="s">
        <v>32</v>
      </c>
      <c r="O610" s="12" t="s">
        <v>33</v>
      </c>
      <c r="P610" s="12" t="s">
        <v>34</v>
      </c>
      <c r="Q610" s="9"/>
      <c r="R610" s="18"/>
      <c r="S610" s="18"/>
      <c r="T610" s="18"/>
      <c r="U610" s="18"/>
      <c r="V610" s="18"/>
      <c r="W610" s="15"/>
      <c r="X610" s="15"/>
    </row>
    <row r="611">
      <c r="A611" s="7">
        <v>610.0</v>
      </c>
      <c r="B611" s="8" t="s">
        <v>2757</v>
      </c>
      <c r="C611" s="9" t="s">
        <v>2758</v>
      </c>
      <c r="D611" s="10" t="str">
        <f>HYPERLINK("https://facebook.com/367089020688300_409775833086285", "367089020688300_409775833086285")</f>
        <v>367089020688300_409775833086285</v>
      </c>
      <c r="E611" s="11">
        <v>53.0</v>
      </c>
      <c r="F611" s="11">
        <v>1.0</v>
      </c>
      <c r="G611" s="11">
        <v>81.0</v>
      </c>
      <c r="H611" s="9" t="s">
        <v>26</v>
      </c>
      <c r="I611" s="9" t="s">
        <v>2759</v>
      </c>
      <c r="J611" s="9" t="s">
        <v>2760</v>
      </c>
      <c r="K611" s="9" t="s">
        <v>2761</v>
      </c>
      <c r="L611" s="9" t="s">
        <v>30</v>
      </c>
      <c r="M611" s="9" t="s">
        <v>31</v>
      </c>
      <c r="N611" s="9" t="s">
        <v>32</v>
      </c>
      <c r="O611" s="12" t="s">
        <v>33</v>
      </c>
      <c r="P611" s="12" t="s">
        <v>34</v>
      </c>
      <c r="Q611" s="9"/>
      <c r="R611" s="18"/>
      <c r="S611" s="18"/>
      <c r="T611" s="18"/>
      <c r="U611" s="18"/>
      <c r="V611" s="18"/>
      <c r="W611" s="15"/>
      <c r="X611" s="15"/>
    </row>
    <row r="612">
      <c r="A612" s="7">
        <v>611.0</v>
      </c>
      <c r="B612" s="8" t="s">
        <v>2762</v>
      </c>
      <c r="C612" s="9" t="s">
        <v>2763</v>
      </c>
      <c r="D612" s="10" t="str">
        <f>HYPERLINK("https://facebook.com/367089020688300_408207053243163", "367089020688300_408207053243163")</f>
        <v>367089020688300_408207053243163</v>
      </c>
      <c r="E612" s="11">
        <v>253.0</v>
      </c>
      <c r="F612" s="11">
        <v>9.0</v>
      </c>
      <c r="G612" s="11">
        <v>405.0</v>
      </c>
      <c r="H612" s="9" t="s">
        <v>26</v>
      </c>
      <c r="I612" s="9" t="s">
        <v>2764</v>
      </c>
      <c r="J612" s="9" t="s">
        <v>2765</v>
      </c>
      <c r="K612" s="9" t="s">
        <v>2766</v>
      </c>
      <c r="L612" s="9" t="s">
        <v>30</v>
      </c>
      <c r="M612" s="9" t="s">
        <v>31</v>
      </c>
      <c r="N612" s="9" t="s">
        <v>32</v>
      </c>
      <c r="O612" s="12" t="s">
        <v>33</v>
      </c>
      <c r="P612" s="12" t="s">
        <v>34</v>
      </c>
      <c r="Q612" s="9"/>
      <c r="R612" s="18"/>
      <c r="S612" s="18"/>
      <c r="T612" s="18"/>
      <c r="U612" s="18"/>
      <c r="V612" s="18"/>
      <c r="W612" s="15"/>
      <c r="X612" s="15"/>
    </row>
    <row r="613">
      <c r="A613" s="7">
        <v>612.0</v>
      </c>
      <c r="B613" s="8" t="s">
        <v>2767</v>
      </c>
      <c r="C613" s="9" t="s">
        <v>2768</v>
      </c>
      <c r="D613" s="10" t="str">
        <f>HYPERLINK("https://facebook.com/367089020688300_560383478025519", "367089020688300_560383478025519")</f>
        <v>367089020688300_560383478025519</v>
      </c>
      <c r="E613" s="11">
        <v>197.0</v>
      </c>
      <c r="F613" s="11">
        <v>3.0</v>
      </c>
      <c r="G613" s="11">
        <v>133.0</v>
      </c>
      <c r="H613" s="9" t="s">
        <v>26</v>
      </c>
      <c r="I613" s="9" t="s">
        <v>2769</v>
      </c>
      <c r="J613" s="9" t="s">
        <v>2770</v>
      </c>
      <c r="K613" s="9" t="s">
        <v>2771</v>
      </c>
      <c r="L613" s="9" t="s">
        <v>30</v>
      </c>
      <c r="M613" s="9" t="s">
        <v>31</v>
      </c>
      <c r="N613" s="9" t="s">
        <v>32</v>
      </c>
      <c r="O613" s="12" t="s">
        <v>33</v>
      </c>
      <c r="P613" s="12" t="s">
        <v>34</v>
      </c>
      <c r="Q613" s="9"/>
      <c r="R613" s="18"/>
      <c r="S613" s="18"/>
      <c r="T613" s="18"/>
      <c r="U613" s="18"/>
      <c r="V613" s="18"/>
      <c r="W613" s="15"/>
      <c r="X613" s="15"/>
    </row>
    <row r="614">
      <c r="A614" s="7">
        <v>613.0</v>
      </c>
      <c r="B614" s="8" t="s">
        <v>2772</v>
      </c>
      <c r="C614" s="9" t="s">
        <v>2773</v>
      </c>
      <c r="D614" s="10" t="str">
        <f>HYPERLINK("https://facebook.com/367089020688300_477514796312388", "367089020688300_477514796312388")</f>
        <v>367089020688300_477514796312388</v>
      </c>
      <c r="E614" s="11">
        <v>414.0</v>
      </c>
      <c r="F614" s="11">
        <v>28.0</v>
      </c>
      <c r="G614" s="11">
        <v>576.0</v>
      </c>
      <c r="H614" s="9" t="s">
        <v>26</v>
      </c>
      <c r="I614" s="9" t="s">
        <v>306</v>
      </c>
      <c r="J614" s="9" t="s">
        <v>307</v>
      </c>
      <c r="K614" s="9" t="s">
        <v>2774</v>
      </c>
      <c r="L614" s="9" t="s">
        <v>30</v>
      </c>
      <c r="M614" s="9" t="s">
        <v>31</v>
      </c>
      <c r="N614" s="9" t="s">
        <v>32</v>
      </c>
      <c r="O614" s="12" t="s">
        <v>33</v>
      </c>
      <c r="P614" s="12" t="s">
        <v>34</v>
      </c>
      <c r="Q614" s="9"/>
      <c r="R614" s="18"/>
      <c r="S614" s="18"/>
      <c r="T614" s="18"/>
      <c r="U614" s="18"/>
      <c r="V614" s="18"/>
      <c r="W614" s="15"/>
      <c r="X614" s="15"/>
    </row>
    <row r="615">
      <c r="A615" s="7">
        <v>614.0</v>
      </c>
      <c r="B615" s="8" t="s">
        <v>2775</v>
      </c>
      <c r="C615" s="9" t="s">
        <v>2776</v>
      </c>
      <c r="D615" s="10" t="str">
        <f>HYPERLINK("https://facebook.com/367089020688300_558506424879891", "367089020688300_558506424879891")</f>
        <v>367089020688300_558506424879891</v>
      </c>
      <c r="E615" s="11">
        <v>2.0</v>
      </c>
      <c r="F615" s="11">
        <v>0.0</v>
      </c>
      <c r="G615" s="11">
        <v>10.0</v>
      </c>
      <c r="H615" s="9" t="s">
        <v>26</v>
      </c>
      <c r="I615" s="9" t="s">
        <v>2777</v>
      </c>
      <c r="J615" s="9" t="s">
        <v>2778</v>
      </c>
      <c r="K615" s="9" t="s">
        <v>2779</v>
      </c>
      <c r="L615" s="9" t="s">
        <v>30</v>
      </c>
      <c r="M615" s="9" t="s">
        <v>31</v>
      </c>
      <c r="N615" s="9" t="s">
        <v>32</v>
      </c>
      <c r="O615" s="12" t="s">
        <v>33</v>
      </c>
      <c r="P615" s="12" t="s">
        <v>34</v>
      </c>
      <c r="Q615" s="9"/>
      <c r="R615" s="18"/>
      <c r="S615" s="18"/>
      <c r="T615" s="18"/>
      <c r="U615" s="18"/>
      <c r="V615" s="18"/>
      <c r="W615" s="15"/>
      <c r="X615" s="15"/>
    </row>
    <row r="616">
      <c r="A616" s="7">
        <v>615.0</v>
      </c>
      <c r="B616" s="8" t="s">
        <v>2780</v>
      </c>
      <c r="C616" s="9" t="s">
        <v>2781</v>
      </c>
      <c r="D616" s="10" t="str">
        <f>HYPERLINK("https://facebook.com/367089020688300_426847331379135", "367089020688300_426847331379135")</f>
        <v>367089020688300_426847331379135</v>
      </c>
      <c r="E616" s="11">
        <v>11.0</v>
      </c>
      <c r="F616" s="11">
        <v>0.0</v>
      </c>
      <c r="G616" s="11">
        <v>15.0</v>
      </c>
      <c r="H616" s="9" t="s">
        <v>26</v>
      </c>
      <c r="I616" s="9" t="s">
        <v>1760</v>
      </c>
      <c r="J616" s="9" t="s">
        <v>2782</v>
      </c>
      <c r="K616" s="9" t="s">
        <v>663</v>
      </c>
      <c r="L616" s="9" t="s">
        <v>30</v>
      </c>
      <c r="M616" s="9" t="s">
        <v>31</v>
      </c>
      <c r="N616" s="9" t="s">
        <v>32</v>
      </c>
      <c r="O616" s="12" t="s">
        <v>33</v>
      </c>
      <c r="P616" s="12" t="s">
        <v>34</v>
      </c>
      <c r="Q616" s="9"/>
      <c r="R616" s="18"/>
      <c r="S616" s="18"/>
      <c r="T616" s="18"/>
      <c r="U616" s="18"/>
      <c r="V616" s="18"/>
      <c r="W616" s="15"/>
      <c r="X616" s="15"/>
    </row>
    <row r="617">
      <c r="A617" s="7">
        <v>616.0</v>
      </c>
      <c r="B617" s="8" t="s">
        <v>2783</v>
      </c>
      <c r="C617" s="9" t="s">
        <v>2784</v>
      </c>
      <c r="D617" s="10" t="str">
        <f>HYPERLINK("https://facebook.com/367089020688300_474088916654976", "367089020688300_474088916654976")</f>
        <v>367089020688300_474088916654976</v>
      </c>
      <c r="E617" s="11">
        <v>197.0</v>
      </c>
      <c r="F617" s="11">
        <v>6.0</v>
      </c>
      <c r="G617" s="11">
        <v>109.0</v>
      </c>
      <c r="H617" s="9" t="s">
        <v>26</v>
      </c>
      <c r="I617" s="9" t="s">
        <v>2785</v>
      </c>
      <c r="J617" s="9" t="s">
        <v>2786</v>
      </c>
      <c r="K617" s="9" t="s">
        <v>2787</v>
      </c>
      <c r="L617" s="9" t="s">
        <v>30</v>
      </c>
      <c r="M617" s="9" t="s">
        <v>31</v>
      </c>
      <c r="N617" s="9" t="s">
        <v>32</v>
      </c>
      <c r="O617" s="12" t="s">
        <v>33</v>
      </c>
      <c r="P617" s="12" t="s">
        <v>34</v>
      </c>
      <c r="Q617" s="9"/>
      <c r="R617" s="18"/>
      <c r="S617" s="18"/>
      <c r="T617" s="18"/>
      <c r="U617" s="18"/>
      <c r="V617" s="18"/>
      <c r="W617" s="15"/>
      <c r="X617" s="15"/>
    </row>
    <row r="618">
      <c r="A618" s="7">
        <v>617.0</v>
      </c>
      <c r="B618" s="8" t="s">
        <v>2788</v>
      </c>
      <c r="C618" s="9" t="s">
        <v>2789</v>
      </c>
      <c r="D618" s="10" t="str">
        <f>HYPERLINK("https://facebook.com/367089020688300_418657115531490", "367089020688300_418657115531490")</f>
        <v>367089020688300_418657115531490</v>
      </c>
      <c r="E618" s="11">
        <v>77.0</v>
      </c>
      <c r="F618" s="11">
        <v>2.0</v>
      </c>
      <c r="G618" s="11">
        <v>95.0</v>
      </c>
      <c r="H618" s="9" t="s">
        <v>26</v>
      </c>
      <c r="I618" s="9" t="s">
        <v>2790</v>
      </c>
      <c r="J618" s="9" t="s">
        <v>2791</v>
      </c>
      <c r="K618" s="9" t="s">
        <v>2792</v>
      </c>
      <c r="L618" s="9" t="s">
        <v>30</v>
      </c>
      <c r="M618" s="9" t="s">
        <v>31</v>
      </c>
      <c r="N618" s="9" t="s">
        <v>32</v>
      </c>
      <c r="O618" s="12" t="s">
        <v>33</v>
      </c>
      <c r="P618" s="12" t="s">
        <v>34</v>
      </c>
      <c r="Q618" s="9"/>
      <c r="R618" s="18"/>
      <c r="S618" s="18"/>
      <c r="T618" s="18"/>
      <c r="U618" s="18"/>
      <c r="V618" s="18"/>
      <c r="W618" s="15"/>
      <c r="X618" s="15"/>
    </row>
    <row r="619">
      <c r="A619" s="7">
        <v>618.0</v>
      </c>
      <c r="B619" s="8" t="s">
        <v>2793</v>
      </c>
      <c r="C619" s="9" t="s">
        <v>2794</v>
      </c>
      <c r="D619" s="10" t="str">
        <f>HYPERLINK("https://facebook.com/367089020688300_388768425187026", "367089020688300_388768425187026")</f>
        <v>367089020688300_388768425187026</v>
      </c>
      <c r="E619" s="11">
        <v>505.0</v>
      </c>
      <c r="F619" s="11">
        <v>34.0</v>
      </c>
      <c r="G619" s="11">
        <v>487.0</v>
      </c>
      <c r="H619" s="9" t="s">
        <v>26</v>
      </c>
      <c r="I619" s="9" t="s">
        <v>2795</v>
      </c>
      <c r="J619" s="9" t="s">
        <v>2796</v>
      </c>
      <c r="K619" s="9" t="s">
        <v>2797</v>
      </c>
      <c r="L619" s="9" t="s">
        <v>30</v>
      </c>
      <c r="M619" s="9" t="s">
        <v>31</v>
      </c>
      <c r="N619" s="9" t="s">
        <v>32</v>
      </c>
      <c r="O619" s="12" t="s">
        <v>33</v>
      </c>
      <c r="P619" s="12" t="s">
        <v>34</v>
      </c>
      <c r="Q619" s="9"/>
      <c r="R619" s="18"/>
      <c r="S619" s="18"/>
      <c r="T619" s="18"/>
      <c r="U619" s="18"/>
      <c r="V619" s="18"/>
      <c r="W619" s="15"/>
      <c r="X619" s="15"/>
    </row>
    <row r="620">
      <c r="A620" s="7">
        <v>619.0</v>
      </c>
      <c r="B620" s="8" t="s">
        <v>2798</v>
      </c>
      <c r="C620" s="9" t="s">
        <v>2799</v>
      </c>
      <c r="D620" s="10" t="str">
        <f>HYPERLINK("https://facebook.com/367089020688300_399142390816296", "367089020688300_399142390816296")</f>
        <v>367089020688300_399142390816296</v>
      </c>
      <c r="E620" s="11">
        <v>536.0</v>
      </c>
      <c r="F620" s="11">
        <v>20.0</v>
      </c>
      <c r="G620" s="11">
        <v>708.0</v>
      </c>
      <c r="H620" s="9" t="s">
        <v>26</v>
      </c>
      <c r="I620" s="9" t="s">
        <v>2800</v>
      </c>
      <c r="J620" s="9" t="s">
        <v>2801</v>
      </c>
      <c r="K620" s="9" t="s">
        <v>2802</v>
      </c>
      <c r="L620" s="9" t="s">
        <v>30</v>
      </c>
      <c r="M620" s="9" t="s">
        <v>31</v>
      </c>
      <c r="N620" s="9" t="s">
        <v>32</v>
      </c>
      <c r="O620" s="12" t="s">
        <v>33</v>
      </c>
      <c r="P620" s="12" t="s">
        <v>34</v>
      </c>
      <c r="Q620" s="9"/>
      <c r="R620" s="18"/>
      <c r="S620" s="18"/>
      <c r="T620" s="18"/>
      <c r="U620" s="18"/>
      <c r="V620" s="18"/>
      <c r="W620" s="15"/>
      <c r="X620" s="15"/>
    </row>
    <row r="621">
      <c r="A621" s="7">
        <v>620.0</v>
      </c>
      <c r="B621" s="8" t="s">
        <v>2803</v>
      </c>
      <c r="C621" s="9" t="s">
        <v>2804</v>
      </c>
      <c r="D621" s="10" t="str">
        <f>HYPERLINK("https://facebook.com/367089020688300_396137224450146", "367089020688300_396137224450146")</f>
        <v>367089020688300_396137224450146</v>
      </c>
      <c r="E621" s="11">
        <v>169.0</v>
      </c>
      <c r="F621" s="11">
        <v>11.0</v>
      </c>
      <c r="G621" s="11">
        <v>230.0</v>
      </c>
      <c r="H621" s="9" t="s">
        <v>26</v>
      </c>
      <c r="I621" s="9" t="s">
        <v>1738</v>
      </c>
      <c r="J621" s="9" t="s">
        <v>2805</v>
      </c>
      <c r="K621" s="9" t="s">
        <v>2806</v>
      </c>
      <c r="L621" s="9" t="s">
        <v>30</v>
      </c>
      <c r="M621" s="9" t="s">
        <v>31</v>
      </c>
      <c r="N621" s="9" t="s">
        <v>32</v>
      </c>
      <c r="O621" s="12" t="s">
        <v>33</v>
      </c>
      <c r="P621" s="12" t="s">
        <v>34</v>
      </c>
      <c r="Q621" s="9"/>
      <c r="R621" s="18"/>
      <c r="S621" s="18"/>
      <c r="T621" s="18"/>
      <c r="U621" s="18"/>
      <c r="V621" s="18"/>
      <c r="W621" s="15"/>
      <c r="X621" s="15"/>
    </row>
    <row r="622">
      <c r="A622" s="7">
        <v>621.0</v>
      </c>
      <c r="B622" s="8" t="s">
        <v>2807</v>
      </c>
      <c r="C622" s="9" t="s">
        <v>2808</v>
      </c>
      <c r="D622" s="10" t="str">
        <f>HYPERLINK("https://facebook.com/367089020688300_559261011471099", "367089020688300_559261011471099")</f>
        <v>367089020688300_559261011471099</v>
      </c>
      <c r="E622" s="11">
        <v>285.0</v>
      </c>
      <c r="F622" s="11">
        <v>5.0</v>
      </c>
      <c r="G622" s="11">
        <v>80.0</v>
      </c>
      <c r="H622" s="9" t="s">
        <v>26</v>
      </c>
      <c r="I622" s="9" t="s">
        <v>2809</v>
      </c>
      <c r="J622" s="16" t="s">
        <v>2810</v>
      </c>
      <c r="K622" s="9"/>
      <c r="L622" s="9" t="s">
        <v>30</v>
      </c>
      <c r="M622" s="9" t="s">
        <v>31</v>
      </c>
      <c r="N622" s="9" t="s">
        <v>32</v>
      </c>
      <c r="O622" s="12" t="s">
        <v>33</v>
      </c>
      <c r="P622" s="12" t="s">
        <v>34</v>
      </c>
      <c r="Q622" s="9"/>
      <c r="R622" s="18"/>
      <c r="S622" s="18"/>
      <c r="T622" s="18"/>
      <c r="U622" s="18"/>
      <c r="V622" s="18"/>
      <c r="W622" s="15"/>
      <c r="X622" s="15"/>
    </row>
    <row r="623">
      <c r="A623" s="7">
        <v>622.0</v>
      </c>
      <c r="B623" s="8" t="s">
        <v>2811</v>
      </c>
      <c r="C623" s="9" t="s">
        <v>2812</v>
      </c>
      <c r="D623" s="10" t="str">
        <f>HYPERLINK("https://facebook.com/367089020688300_541810479882819", "367089020688300_541810479882819")</f>
        <v>367089020688300_541810479882819</v>
      </c>
      <c r="E623" s="11">
        <v>184.0</v>
      </c>
      <c r="F623" s="11">
        <v>0.0</v>
      </c>
      <c r="G623" s="11">
        <v>115.0</v>
      </c>
      <c r="H623" s="9" t="s">
        <v>26</v>
      </c>
      <c r="I623" s="9" t="s">
        <v>2743</v>
      </c>
      <c r="J623" s="16" t="s">
        <v>2813</v>
      </c>
      <c r="K623" s="9"/>
      <c r="L623" s="9" t="s">
        <v>30</v>
      </c>
      <c r="M623" s="9" t="s">
        <v>31</v>
      </c>
      <c r="N623" s="9" t="s">
        <v>32</v>
      </c>
      <c r="O623" s="12" t="s">
        <v>33</v>
      </c>
      <c r="P623" s="12" t="s">
        <v>34</v>
      </c>
      <c r="Q623" s="9"/>
      <c r="R623" s="18"/>
      <c r="S623" s="18"/>
      <c r="T623" s="18"/>
      <c r="U623" s="18"/>
      <c r="V623" s="18"/>
      <c r="W623" s="15"/>
      <c r="X623" s="15"/>
    </row>
    <row r="624">
      <c r="A624" s="7">
        <v>623.0</v>
      </c>
      <c r="B624" s="8" t="s">
        <v>2814</v>
      </c>
      <c r="C624" s="9" t="s">
        <v>2815</v>
      </c>
      <c r="D624" s="10" t="str">
        <f>HYPERLINK("https://facebook.com/367089020688300_403881840342351", "367089020688300_403881840342351")</f>
        <v>367089020688300_403881840342351</v>
      </c>
      <c r="E624" s="11">
        <v>186.0</v>
      </c>
      <c r="F624" s="11">
        <v>12.0</v>
      </c>
      <c r="G624" s="11">
        <v>178.0</v>
      </c>
      <c r="H624" s="9" t="s">
        <v>26</v>
      </c>
      <c r="I624" s="9" t="s">
        <v>2816</v>
      </c>
      <c r="J624" s="9" t="s">
        <v>2817</v>
      </c>
      <c r="K624" s="9" t="s">
        <v>2818</v>
      </c>
      <c r="L624" s="9" t="s">
        <v>30</v>
      </c>
      <c r="M624" s="9" t="s">
        <v>31</v>
      </c>
      <c r="N624" s="9" t="s">
        <v>32</v>
      </c>
      <c r="O624" s="12" t="s">
        <v>33</v>
      </c>
      <c r="P624" s="12" t="s">
        <v>34</v>
      </c>
      <c r="Q624" s="9"/>
      <c r="R624" s="18"/>
      <c r="S624" s="18"/>
      <c r="T624" s="18"/>
      <c r="U624" s="18"/>
      <c r="V624" s="18"/>
      <c r="W624" s="15"/>
      <c r="X624" s="15"/>
    </row>
    <row r="625">
      <c r="A625" s="7">
        <v>624.0</v>
      </c>
      <c r="B625" s="8" t="s">
        <v>2819</v>
      </c>
      <c r="C625" s="9" t="s">
        <v>2820</v>
      </c>
      <c r="D625" s="10" t="str">
        <f>HYPERLINK("https://facebook.com/367089020688300_494174437979757", "367089020688300_494174437979757")</f>
        <v>367089020688300_494174437979757</v>
      </c>
      <c r="E625" s="11">
        <v>145.0</v>
      </c>
      <c r="F625" s="11">
        <v>11.0</v>
      </c>
      <c r="G625" s="11">
        <v>120.0</v>
      </c>
      <c r="H625" s="9" t="s">
        <v>26</v>
      </c>
      <c r="I625" s="9" t="s">
        <v>2821</v>
      </c>
      <c r="J625" s="9" t="s">
        <v>2822</v>
      </c>
      <c r="K625" s="9" t="s">
        <v>2823</v>
      </c>
      <c r="L625" s="9" t="s">
        <v>30</v>
      </c>
      <c r="M625" s="9" t="s">
        <v>31</v>
      </c>
      <c r="N625" s="9" t="s">
        <v>32</v>
      </c>
      <c r="O625" s="12" t="s">
        <v>33</v>
      </c>
      <c r="P625" s="12" t="s">
        <v>34</v>
      </c>
      <c r="Q625" s="9"/>
      <c r="R625" s="18"/>
      <c r="S625" s="18"/>
      <c r="T625" s="18"/>
      <c r="U625" s="18"/>
      <c r="V625" s="18"/>
      <c r="W625" s="15"/>
      <c r="X625" s="15"/>
    </row>
    <row r="626">
      <c r="A626" s="7">
        <v>625.0</v>
      </c>
      <c r="B626" s="8" t="s">
        <v>2824</v>
      </c>
      <c r="C626" s="9" t="s">
        <v>2825</v>
      </c>
      <c r="D626" s="10" t="str">
        <f>HYPERLINK("https://facebook.com/367089020688300_558410284889505", "367089020688300_558410284889505")</f>
        <v>367089020688300_558410284889505</v>
      </c>
      <c r="E626" s="11">
        <v>453.0</v>
      </c>
      <c r="F626" s="11">
        <v>3.0</v>
      </c>
      <c r="G626" s="11">
        <v>222.0</v>
      </c>
      <c r="H626" s="9" t="s">
        <v>26</v>
      </c>
      <c r="I626" s="9" t="s">
        <v>998</v>
      </c>
      <c r="J626" s="9" t="s">
        <v>999</v>
      </c>
      <c r="K626" s="9" t="s">
        <v>2826</v>
      </c>
      <c r="L626" s="9" t="s">
        <v>30</v>
      </c>
      <c r="M626" s="9" t="s">
        <v>31</v>
      </c>
      <c r="N626" s="9" t="s">
        <v>32</v>
      </c>
      <c r="O626" s="12" t="s">
        <v>33</v>
      </c>
      <c r="P626" s="12" t="s">
        <v>34</v>
      </c>
      <c r="Q626" s="9"/>
      <c r="R626" s="18"/>
      <c r="S626" s="18"/>
      <c r="T626" s="18"/>
      <c r="U626" s="18"/>
      <c r="V626" s="18"/>
      <c r="W626" s="15"/>
      <c r="X626" s="15"/>
    </row>
    <row r="627">
      <c r="A627" s="7">
        <v>626.0</v>
      </c>
      <c r="B627" s="8" t="s">
        <v>2827</v>
      </c>
      <c r="C627" s="9" t="s">
        <v>2828</v>
      </c>
      <c r="D627" s="10" t="str">
        <f>HYPERLINK("https://facebook.com/367089020688300_500136764050191", "367089020688300_500136764050191")</f>
        <v>367089020688300_500136764050191</v>
      </c>
      <c r="E627" s="11">
        <v>84.0</v>
      </c>
      <c r="F627" s="11">
        <v>0.0</v>
      </c>
      <c r="G627" s="11">
        <v>104.0</v>
      </c>
      <c r="H627" s="9" t="s">
        <v>26</v>
      </c>
      <c r="I627" s="9" t="s">
        <v>2829</v>
      </c>
      <c r="J627" s="9" t="s">
        <v>2830</v>
      </c>
      <c r="K627" s="9" t="s">
        <v>2831</v>
      </c>
      <c r="L627" s="9" t="s">
        <v>30</v>
      </c>
      <c r="M627" s="9" t="s">
        <v>31</v>
      </c>
      <c r="N627" s="9" t="s">
        <v>32</v>
      </c>
      <c r="O627" s="12" t="s">
        <v>33</v>
      </c>
      <c r="P627" s="12" t="s">
        <v>34</v>
      </c>
      <c r="Q627" s="9"/>
      <c r="R627" s="18"/>
      <c r="S627" s="18"/>
      <c r="T627" s="18"/>
      <c r="U627" s="18"/>
      <c r="V627" s="18"/>
      <c r="W627" s="15"/>
      <c r="X627" s="15"/>
    </row>
    <row r="628">
      <c r="A628" s="7">
        <v>627.0</v>
      </c>
      <c r="B628" s="8" t="s">
        <v>2832</v>
      </c>
      <c r="C628" s="9" t="s">
        <v>2833</v>
      </c>
      <c r="D628" s="10" t="str">
        <f>HYPERLINK("https://facebook.com/367089020688300_466489034081631", "367089020688300_466489034081631")</f>
        <v>367089020688300_466489034081631</v>
      </c>
      <c r="E628" s="11">
        <v>82.0</v>
      </c>
      <c r="F628" s="11">
        <v>2.0</v>
      </c>
      <c r="G628" s="11">
        <v>95.0</v>
      </c>
      <c r="H628" s="9" t="s">
        <v>26</v>
      </c>
      <c r="I628" s="9" t="s">
        <v>2834</v>
      </c>
      <c r="J628" s="9" t="s">
        <v>2835</v>
      </c>
      <c r="K628" s="9" t="s">
        <v>2836</v>
      </c>
      <c r="L628" s="9" t="s">
        <v>30</v>
      </c>
      <c r="M628" s="9" t="s">
        <v>31</v>
      </c>
      <c r="N628" s="9" t="s">
        <v>32</v>
      </c>
      <c r="O628" s="12" t="s">
        <v>33</v>
      </c>
      <c r="P628" s="12" t="s">
        <v>34</v>
      </c>
      <c r="Q628" s="9"/>
      <c r="R628" s="18"/>
      <c r="S628" s="18"/>
      <c r="T628" s="18"/>
      <c r="U628" s="18"/>
      <c r="V628" s="18"/>
      <c r="W628" s="15"/>
      <c r="X628" s="15"/>
    </row>
    <row r="629">
      <c r="A629" s="7">
        <v>628.0</v>
      </c>
      <c r="B629" s="8" t="s">
        <v>2837</v>
      </c>
      <c r="C629" s="9" t="s">
        <v>2838</v>
      </c>
      <c r="D629" s="10" t="str">
        <f>HYPERLINK("https://facebook.com/367089020688300_501569370573597", "367089020688300_501569370573597")</f>
        <v>367089020688300_501569370573597</v>
      </c>
      <c r="E629" s="11">
        <v>160.0</v>
      </c>
      <c r="F629" s="11">
        <v>9.0</v>
      </c>
      <c r="G629" s="11">
        <v>166.0</v>
      </c>
      <c r="H629" s="9" t="s">
        <v>26</v>
      </c>
      <c r="I629" s="9" t="s">
        <v>2839</v>
      </c>
      <c r="J629" s="9" t="s">
        <v>2840</v>
      </c>
      <c r="K629" s="9" t="s">
        <v>2841</v>
      </c>
      <c r="L629" s="9" t="s">
        <v>30</v>
      </c>
      <c r="M629" s="9" t="s">
        <v>31</v>
      </c>
      <c r="N629" s="9" t="s">
        <v>32</v>
      </c>
      <c r="O629" s="12" t="s">
        <v>33</v>
      </c>
      <c r="P629" s="12" t="s">
        <v>34</v>
      </c>
      <c r="Q629" s="9"/>
      <c r="R629" s="18"/>
      <c r="S629" s="18"/>
      <c r="T629" s="18"/>
      <c r="U629" s="18"/>
      <c r="V629" s="18"/>
      <c r="W629" s="15"/>
      <c r="X629" s="15"/>
    </row>
    <row r="630">
      <c r="A630" s="7">
        <v>629.0</v>
      </c>
      <c r="B630" s="8" t="s">
        <v>2842</v>
      </c>
      <c r="C630" s="9" t="s">
        <v>2843</v>
      </c>
      <c r="D630" s="10" t="str">
        <f>HYPERLINK("https://facebook.com/367089020688300_514576995939501", "367089020688300_514576995939501")</f>
        <v>367089020688300_514576995939501</v>
      </c>
      <c r="E630" s="11">
        <v>2269.0</v>
      </c>
      <c r="F630" s="11">
        <v>599.0</v>
      </c>
      <c r="G630" s="11">
        <v>718.0</v>
      </c>
      <c r="H630" s="9" t="s">
        <v>26</v>
      </c>
      <c r="I630" s="9" t="s">
        <v>2844</v>
      </c>
      <c r="J630" s="9" t="s">
        <v>2845</v>
      </c>
      <c r="K630" s="9" t="s">
        <v>2846</v>
      </c>
      <c r="L630" s="9" t="s">
        <v>30</v>
      </c>
      <c r="M630" s="9" t="s">
        <v>31</v>
      </c>
      <c r="N630" s="9" t="s">
        <v>32</v>
      </c>
      <c r="O630" s="12" t="s">
        <v>33</v>
      </c>
      <c r="P630" s="12" t="s">
        <v>34</v>
      </c>
      <c r="Q630" s="9"/>
      <c r="R630" s="18"/>
      <c r="S630" s="18"/>
      <c r="T630" s="18"/>
      <c r="U630" s="18"/>
      <c r="V630" s="18"/>
      <c r="W630" s="15"/>
      <c r="X630" s="15"/>
    </row>
    <row r="631">
      <c r="A631" s="7">
        <v>630.0</v>
      </c>
      <c r="B631" s="8" t="s">
        <v>2847</v>
      </c>
      <c r="C631" s="9" t="s">
        <v>2848</v>
      </c>
      <c r="D631" s="10" t="str">
        <f>HYPERLINK("https://facebook.com/367089020688300_480029369394264", "367089020688300_480029369394264")</f>
        <v>367089020688300_480029369394264</v>
      </c>
      <c r="E631" s="11">
        <v>449.0</v>
      </c>
      <c r="F631" s="11">
        <v>6.0</v>
      </c>
      <c r="G631" s="11">
        <v>144.0</v>
      </c>
      <c r="H631" s="9" t="s">
        <v>26</v>
      </c>
      <c r="I631" s="9" t="s">
        <v>2849</v>
      </c>
      <c r="J631" s="9" t="s">
        <v>2850</v>
      </c>
      <c r="K631" s="9" t="s">
        <v>249</v>
      </c>
      <c r="L631" s="9" t="s">
        <v>30</v>
      </c>
      <c r="M631" s="9" t="s">
        <v>31</v>
      </c>
      <c r="N631" s="9" t="s">
        <v>32</v>
      </c>
      <c r="O631" s="12" t="s">
        <v>33</v>
      </c>
      <c r="P631" s="12" t="s">
        <v>34</v>
      </c>
      <c r="Q631" s="9"/>
      <c r="R631" s="18"/>
      <c r="S631" s="18"/>
      <c r="T631" s="18"/>
      <c r="U631" s="18"/>
      <c r="V631" s="18"/>
      <c r="W631" s="15"/>
      <c r="X631" s="15"/>
    </row>
    <row r="632">
      <c r="A632" s="7">
        <v>631.0</v>
      </c>
      <c r="B632" s="8" t="s">
        <v>2851</v>
      </c>
      <c r="C632" s="9" t="s">
        <v>2852</v>
      </c>
      <c r="D632" s="10" t="str">
        <f>HYPERLINK("https://facebook.com/367089020688300_557592158304651", "367089020688300_557592158304651")</f>
        <v>367089020688300_557592158304651</v>
      </c>
      <c r="E632" s="11">
        <v>60.0</v>
      </c>
      <c r="F632" s="11">
        <v>1.0</v>
      </c>
      <c r="G632" s="11">
        <v>12.0</v>
      </c>
      <c r="H632" s="9" t="s">
        <v>26</v>
      </c>
      <c r="I632" s="9" t="s">
        <v>2853</v>
      </c>
      <c r="J632" s="16" t="s">
        <v>2854</v>
      </c>
      <c r="K632" s="9"/>
      <c r="L632" s="9" t="s">
        <v>30</v>
      </c>
      <c r="M632" s="9" t="s">
        <v>31</v>
      </c>
      <c r="N632" s="9" t="s">
        <v>32</v>
      </c>
      <c r="O632" s="12" t="s">
        <v>33</v>
      </c>
      <c r="P632" s="12" t="s">
        <v>34</v>
      </c>
      <c r="Q632" s="9"/>
      <c r="R632" s="18"/>
      <c r="S632" s="18"/>
      <c r="T632" s="18"/>
      <c r="U632" s="18"/>
      <c r="V632" s="18"/>
      <c r="W632" s="15"/>
      <c r="X632" s="15"/>
    </row>
    <row r="633">
      <c r="A633" s="7">
        <v>632.0</v>
      </c>
      <c r="B633" s="8" t="s">
        <v>2855</v>
      </c>
      <c r="C633" s="9" t="s">
        <v>2856</v>
      </c>
      <c r="D633" s="10" t="str">
        <f>HYPERLINK("https://facebook.com/367089020688300_540107090053158", "367089020688300_540107090053158")</f>
        <v>367089020688300_540107090053158</v>
      </c>
      <c r="E633" s="11">
        <v>80.0</v>
      </c>
      <c r="F633" s="11">
        <v>0.0</v>
      </c>
      <c r="G633" s="11">
        <v>5.0</v>
      </c>
      <c r="H633" s="9" t="s">
        <v>26</v>
      </c>
      <c r="I633" s="9" t="s">
        <v>2857</v>
      </c>
      <c r="J633" s="9" t="s">
        <v>2858</v>
      </c>
      <c r="K633" s="9" t="s">
        <v>2859</v>
      </c>
      <c r="L633" s="9" t="s">
        <v>30</v>
      </c>
      <c r="M633" s="9" t="s">
        <v>31</v>
      </c>
      <c r="N633" s="9" t="s">
        <v>32</v>
      </c>
      <c r="O633" s="12" t="s">
        <v>33</v>
      </c>
      <c r="P633" s="12" t="s">
        <v>34</v>
      </c>
      <c r="Q633" s="9"/>
      <c r="R633" s="18"/>
      <c r="S633" s="18"/>
      <c r="T633" s="18"/>
      <c r="U633" s="18"/>
      <c r="V633" s="18"/>
      <c r="W633" s="15"/>
      <c r="X633" s="15"/>
    </row>
    <row r="634">
      <c r="A634" s="7">
        <v>633.0</v>
      </c>
      <c r="B634" s="8" t="s">
        <v>2860</v>
      </c>
      <c r="C634" s="9" t="s">
        <v>2861</v>
      </c>
      <c r="D634" s="10" t="str">
        <f>HYPERLINK("https://facebook.com/367089020688300_540045290059338", "367089020688300_540045290059338")</f>
        <v>367089020688300_540045290059338</v>
      </c>
      <c r="E634" s="11">
        <v>405.0</v>
      </c>
      <c r="F634" s="11">
        <v>11.0</v>
      </c>
      <c r="G634" s="11">
        <v>191.0</v>
      </c>
      <c r="H634" s="9" t="s">
        <v>26</v>
      </c>
      <c r="I634" s="9" t="s">
        <v>2862</v>
      </c>
      <c r="J634" s="9" t="s">
        <v>2863</v>
      </c>
      <c r="K634" s="9" t="s">
        <v>2864</v>
      </c>
      <c r="L634" s="9" t="s">
        <v>30</v>
      </c>
      <c r="M634" s="9" t="s">
        <v>31</v>
      </c>
      <c r="N634" s="9" t="s">
        <v>32</v>
      </c>
      <c r="O634" s="12" t="s">
        <v>33</v>
      </c>
      <c r="P634" s="12" t="s">
        <v>34</v>
      </c>
      <c r="Q634" s="9"/>
      <c r="R634" s="18"/>
      <c r="S634" s="18"/>
      <c r="T634" s="18"/>
      <c r="U634" s="18"/>
      <c r="V634" s="18"/>
      <c r="W634" s="15"/>
      <c r="X634" s="15"/>
    </row>
    <row r="635">
      <c r="A635" s="7">
        <v>634.0</v>
      </c>
      <c r="B635" s="8" t="s">
        <v>2865</v>
      </c>
      <c r="C635" s="9" t="s">
        <v>2866</v>
      </c>
      <c r="D635" s="10" t="str">
        <f>HYPERLINK("https://facebook.com/367089020688300_548899342507266", "367089020688300_548899342507266")</f>
        <v>367089020688300_548899342507266</v>
      </c>
      <c r="E635" s="11">
        <v>96.0</v>
      </c>
      <c r="F635" s="11">
        <v>0.0</v>
      </c>
      <c r="G635" s="11">
        <v>26.0</v>
      </c>
      <c r="H635" s="9" t="s">
        <v>26</v>
      </c>
      <c r="I635" s="9" t="s">
        <v>2867</v>
      </c>
      <c r="J635" s="9" t="s">
        <v>2868</v>
      </c>
      <c r="K635" s="9" t="s">
        <v>2869</v>
      </c>
      <c r="L635" s="9" t="s">
        <v>30</v>
      </c>
      <c r="M635" s="9" t="s">
        <v>31</v>
      </c>
      <c r="N635" s="9" t="s">
        <v>32</v>
      </c>
      <c r="O635" s="12" t="s">
        <v>33</v>
      </c>
      <c r="P635" s="12" t="s">
        <v>34</v>
      </c>
      <c r="Q635" s="9"/>
      <c r="R635" s="18"/>
      <c r="S635" s="18"/>
      <c r="T635" s="18"/>
      <c r="U635" s="18"/>
      <c r="V635" s="18"/>
      <c r="W635" s="15"/>
      <c r="X635" s="15"/>
    </row>
    <row r="636">
      <c r="A636" s="7">
        <v>635.0</v>
      </c>
      <c r="B636" s="8" t="s">
        <v>2870</v>
      </c>
      <c r="C636" s="9" t="s">
        <v>2871</v>
      </c>
      <c r="D636" s="10" t="str">
        <f>HYPERLINK("https://facebook.com/367089020688300_541815139882353", "367089020688300_541815139882353")</f>
        <v>367089020688300_541815139882353</v>
      </c>
      <c r="E636" s="11">
        <v>11.0</v>
      </c>
      <c r="F636" s="11">
        <v>0.0</v>
      </c>
      <c r="G636" s="11">
        <v>5.0</v>
      </c>
      <c r="H636" s="9" t="s">
        <v>26</v>
      </c>
      <c r="I636" s="9" t="s">
        <v>1436</v>
      </c>
      <c r="J636" s="9" t="s">
        <v>1437</v>
      </c>
      <c r="K636" s="9" t="s">
        <v>2872</v>
      </c>
      <c r="L636" s="9" t="s">
        <v>30</v>
      </c>
      <c r="M636" s="9" t="s">
        <v>31</v>
      </c>
      <c r="N636" s="9" t="s">
        <v>32</v>
      </c>
      <c r="O636" s="12" t="s">
        <v>33</v>
      </c>
      <c r="P636" s="12" t="s">
        <v>34</v>
      </c>
      <c r="Q636" s="9"/>
      <c r="R636" s="18"/>
      <c r="S636" s="18"/>
      <c r="T636" s="18"/>
      <c r="U636" s="18"/>
      <c r="V636" s="18"/>
      <c r="W636" s="15"/>
      <c r="X636" s="15"/>
    </row>
    <row r="637">
      <c r="A637" s="7">
        <v>636.0</v>
      </c>
      <c r="B637" s="8" t="s">
        <v>2873</v>
      </c>
      <c r="C637" s="9" t="s">
        <v>2874</v>
      </c>
      <c r="D637" s="10" t="str">
        <f>HYPERLINK("https://facebook.com/367089020688300_548805442516656", "367089020688300_548805442516656")</f>
        <v>367089020688300_548805442516656</v>
      </c>
      <c r="E637" s="11">
        <v>56.0</v>
      </c>
      <c r="F637" s="11">
        <v>0.0</v>
      </c>
      <c r="G637" s="11">
        <v>86.0</v>
      </c>
      <c r="H637" s="9" t="s">
        <v>26</v>
      </c>
      <c r="I637" s="9" t="s">
        <v>2875</v>
      </c>
      <c r="J637" s="16" t="s">
        <v>2876</v>
      </c>
      <c r="K637" s="9"/>
      <c r="L637" s="9" t="s">
        <v>30</v>
      </c>
      <c r="M637" s="9" t="s">
        <v>31</v>
      </c>
      <c r="N637" s="9" t="s">
        <v>32</v>
      </c>
      <c r="O637" s="12" t="s">
        <v>33</v>
      </c>
      <c r="P637" s="12" t="s">
        <v>34</v>
      </c>
      <c r="Q637" s="9"/>
      <c r="R637" s="18"/>
      <c r="S637" s="18"/>
      <c r="T637" s="18"/>
      <c r="U637" s="18"/>
      <c r="V637" s="18"/>
      <c r="W637" s="15"/>
      <c r="X637" s="15"/>
    </row>
    <row r="638">
      <c r="A638" s="7">
        <v>637.0</v>
      </c>
      <c r="B638" s="8" t="s">
        <v>2877</v>
      </c>
      <c r="C638" s="9" t="s">
        <v>2878</v>
      </c>
      <c r="D638" s="10" t="str">
        <f>HYPERLINK("https://facebook.com/367089020688300_507687526628448", "367089020688300_507687526628448")</f>
        <v>367089020688300_507687526628448</v>
      </c>
      <c r="E638" s="11">
        <v>456.0</v>
      </c>
      <c r="F638" s="11">
        <v>22.0</v>
      </c>
      <c r="G638" s="11">
        <v>630.0</v>
      </c>
      <c r="H638" s="9" t="s">
        <v>26</v>
      </c>
      <c r="I638" s="9" t="s">
        <v>1733</v>
      </c>
      <c r="J638" s="9" t="s">
        <v>2879</v>
      </c>
      <c r="K638" s="9" t="s">
        <v>2880</v>
      </c>
      <c r="L638" s="9" t="s">
        <v>30</v>
      </c>
      <c r="M638" s="9" t="s">
        <v>31</v>
      </c>
      <c r="N638" s="9" t="s">
        <v>32</v>
      </c>
      <c r="O638" s="12" t="s">
        <v>33</v>
      </c>
      <c r="P638" s="12" t="s">
        <v>34</v>
      </c>
      <c r="Q638" s="9"/>
      <c r="R638" s="18"/>
      <c r="S638" s="18"/>
      <c r="T638" s="18"/>
      <c r="U638" s="18"/>
      <c r="V638" s="18"/>
      <c r="W638" s="15"/>
      <c r="X638" s="15"/>
    </row>
    <row r="639">
      <c r="A639" s="7">
        <v>638.0</v>
      </c>
      <c r="B639" s="8" t="s">
        <v>2881</v>
      </c>
      <c r="C639" s="9" t="s">
        <v>2882</v>
      </c>
      <c r="D639" s="10" t="str">
        <f>HYPERLINK("https://facebook.com/367089020688300_480101829387018", "367089020688300_480101829387018")</f>
        <v>367089020688300_480101829387018</v>
      </c>
      <c r="E639" s="11">
        <v>1225.0</v>
      </c>
      <c r="F639" s="11">
        <v>77.0</v>
      </c>
      <c r="G639" s="11">
        <v>928.0</v>
      </c>
      <c r="H639" s="9" t="s">
        <v>26</v>
      </c>
      <c r="I639" s="9" t="s">
        <v>2883</v>
      </c>
      <c r="J639" s="9" t="s">
        <v>2884</v>
      </c>
      <c r="K639" s="9" t="s">
        <v>219</v>
      </c>
      <c r="L639" s="9" t="s">
        <v>30</v>
      </c>
      <c r="M639" s="9" t="s">
        <v>31</v>
      </c>
      <c r="N639" s="9" t="s">
        <v>32</v>
      </c>
      <c r="O639" s="12" t="s">
        <v>33</v>
      </c>
      <c r="P639" s="12" t="s">
        <v>34</v>
      </c>
      <c r="Q639" s="9"/>
      <c r="R639" s="18"/>
      <c r="S639" s="18"/>
      <c r="T639" s="18"/>
      <c r="U639" s="18"/>
      <c r="V639" s="18"/>
      <c r="W639" s="15"/>
      <c r="X639" s="15"/>
    </row>
    <row r="640">
      <c r="A640" s="7">
        <v>639.0</v>
      </c>
      <c r="B640" s="8" t="s">
        <v>2885</v>
      </c>
      <c r="C640" s="9" t="s">
        <v>2886</v>
      </c>
      <c r="D640" s="10" t="str">
        <f>HYPERLINK("https://facebook.com/367089020688300_500150304048837", "367089020688300_500150304048837")</f>
        <v>367089020688300_500150304048837</v>
      </c>
      <c r="E640" s="11">
        <v>516.0</v>
      </c>
      <c r="F640" s="11">
        <v>17.0</v>
      </c>
      <c r="G640" s="11">
        <v>400.0</v>
      </c>
      <c r="H640" s="9" t="s">
        <v>26</v>
      </c>
      <c r="I640" s="9" t="s">
        <v>2887</v>
      </c>
      <c r="J640" s="9" t="s">
        <v>2888</v>
      </c>
      <c r="K640" s="9" t="s">
        <v>2889</v>
      </c>
      <c r="L640" s="9" t="s">
        <v>30</v>
      </c>
      <c r="M640" s="9" t="s">
        <v>31</v>
      </c>
      <c r="N640" s="9" t="s">
        <v>32</v>
      </c>
      <c r="O640" s="12" t="s">
        <v>33</v>
      </c>
      <c r="P640" s="12" t="s">
        <v>34</v>
      </c>
      <c r="Q640" s="9"/>
      <c r="R640" s="18"/>
      <c r="S640" s="18"/>
      <c r="T640" s="18"/>
      <c r="U640" s="18"/>
      <c r="V640" s="18"/>
      <c r="W640" s="15"/>
      <c r="X640" s="15"/>
    </row>
    <row r="641">
      <c r="A641" s="7">
        <v>640.0</v>
      </c>
      <c r="B641" s="8" t="s">
        <v>2890</v>
      </c>
      <c r="C641" s="9" t="s">
        <v>2891</v>
      </c>
      <c r="D641" s="10" t="str">
        <f>HYPERLINK("https://facebook.com/367089020688300_539945720069295", "367089020688300_539945720069295")</f>
        <v>367089020688300_539945720069295</v>
      </c>
      <c r="E641" s="11">
        <v>186.0</v>
      </c>
      <c r="F641" s="11">
        <v>16.0</v>
      </c>
      <c r="G641" s="11">
        <v>288.0</v>
      </c>
      <c r="H641" s="9" t="s">
        <v>26</v>
      </c>
      <c r="I641" s="9" t="s">
        <v>2892</v>
      </c>
      <c r="J641" s="16" t="s">
        <v>2893</v>
      </c>
      <c r="K641" s="9"/>
      <c r="L641" s="9" t="s">
        <v>30</v>
      </c>
      <c r="M641" s="9" t="s">
        <v>31</v>
      </c>
      <c r="N641" s="9" t="s">
        <v>32</v>
      </c>
      <c r="O641" s="12" t="s">
        <v>33</v>
      </c>
      <c r="P641" s="12" t="s">
        <v>34</v>
      </c>
      <c r="Q641" s="9"/>
      <c r="R641" s="18"/>
      <c r="S641" s="18"/>
      <c r="T641" s="18"/>
      <c r="U641" s="18"/>
      <c r="V641" s="18"/>
      <c r="W641" s="15"/>
      <c r="X641" s="15"/>
    </row>
    <row r="642">
      <c r="A642" s="7">
        <v>641.0</v>
      </c>
      <c r="B642" s="8" t="s">
        <v>2894</v>
      </c>
      <c r="C642" s="9" t="s">
        <v>2895</v>
      </c>
      <c r="D642" s="10" t="str">
        <f>HYPERLINK("https://facebook.com/367089020688300_398513267545875", "367089020688300_398513267545875")</f>
        <v>367089020688300_398513267545875</v>
      </c>
      <c r="E642" s="11">
        <v>1379.0</v>
      </c>
      <c r="F642" s="11">
        <v>9.0</v>
      </c>
      <c r="G642" s="11">
        <v>470.0</v>
      </c>
      <c r="H642" s="9" t="s">
        <v>26</v>
      </c>
      <c r="I642" s="9" t="s">
        <v>2896</v>
      </c>
      <c r="J642" s="9" t="s">
        <v>2897</v>
      </c>
      <c r="K642" s="9" t="s">
        <v>2898</v>
      </c>
      <c r="L642" s="9" t="s">
        <v>30</v>
      </c>
      <c r="M642" s="9" t="s">
        <v>31</v>
      </c>
      <c r="N642" s="9" t="s">
        <v>32</v>
      </c>
      <c r="O642" s="12" t="s">
        <v>33</v>
      </c>
      <c r="P642" s="12" t="s">
        <v>34</v>
      </c>
      <c r="Q642" s="9"/>
      <c r="R642" s="18"/>
      <c r="S642" s="18"/>
      <c r="T642" s="18"/>
      <c r="U642" s="18"/>
      <c r="V642" s="18"/>
      <c r="W642" s="15"/>
      <c r="X642" s="15"/>
    </row>
    <row r="643">
      <c r="A643" s="7">
        <v>642.0</v>
      </c>
      <c r="B643" s="8" t="s">
        <v>2899</v>
      </c>
      <c r="C643" s="9" t="s">
        <v>2900</v>
      </c>
      <c r="D643" s="10" t="str">
        <f>HYPERLINK("https://facebook.com/367089020688300_484909925572875", "367089020688300_484909925572875")</f>
        <v>367089020688300_484909925572875</v>
      </c>
      <c r="E643" s="11">
        <v>207.0</v>
      </c>
      <c r="F643" s="11">
        <v>13.0</v>
      </c>
      <c r="G643" s="11">
        <v>412.0</v>
      </c>
      <c r="H643" s="9" t="s">
        <v>26</v>
      </c>
      <c r="I643" s="9" t="s">
        <v>2901</v>
      </c>
      <c r="J643" s="9" t="s">
        <v>2902</v>
      </c>
      <c r="K643" s="9" t="s">
        <v>789</v>
      </c>
      <c r="L643" s="9" t="s">
        <v>30</v>
      </c>
      <c r="M643" s="9" t="s">
        <v>31</v>
      </c>
      <c r="N643" s="9" t="s">
        <v>32</v>
      </c>
      <c r="O643" s="12" t="s">
        <v>33</v>
      </c>
      <c r="P643" s="12" t="s">
        <v>34</v>
      </c>
      <c r="Q643" s="9"/>
      <c r="R643" s="18"/>
      <c r="S643" s="18"/>
      <c r="T643" s="18"/>
      <c r="U643" s="18"/>
      <c r="V643" s="18"/>
      <c r="W643" s="15"/>
      <c r="X643" s="15"/>
    </row>
    <row r="644">
      <c r="A644" s="7">
        <v>643.0</v>
      </c>
      <c r="B644" s="8" t="s">
        <v>2903</v>
      </c>
      <c r="C644" s="9" t="s">
        <v>2904</v>
      </c>
      <c r="D644" s="10" t="str">
        <f>HYPERLINK("https://facebook.com/367089020688300_528309451232922", "367089020688300_528309451232922")</f>
        <v>367089020688300_528309451232922</v>
      </c>
      <c r="E644" s="11">
        <v>24.0</v>
      </c>
      <c r="F644" s="11">
        <v>1.0</v>
      </c>
      <c r="G644" s="11">
        <v>29.0</v>
      </c>
      <c r="H644" s="9" t="s">
        <v>26</v>
      </c>
      <c r="I644" s="9" t="s">
        <v>2905</v>
      </c>
      <c r="J644" s="16" t="s">
        <v>2906</v>
      </c>
      <c r="K644" s="9"/>
      <c r="L644" s="9" t="s">
        <v>30</v>
      </c>
      <c r="M644" s="9" t="s">
        <v>31</v>
      </c>
      <c r="N644" s="9" t="s">
        <v>32</v>
      </c>
      <c r="O644" s="12" t="s">
        <v>33</v>
      </c>
      <c r="P644" s="12" t="s">
        <v>34</v>
      </c>
      <c r="Q644" s="9"/>
      <c r="R644" s="18"/>
      <c r="S644" s="18"/>
      <c r="T644" s="18"/>
      <c r="U644" s="18"/>
      <c r="V644" s="18"/>
      <c r="W644" s="15"/>
      <c r="X644" s="15"/>
    </row>
    <row r="645">
      <c r="A645" s="7">
        <v>644.0</v>
      </c>
      <c r="B645" s="8" t="s">
        <v>2907</v>
      </c>
      <c r="C645" s="9" t="s">
        <v>2908</v>
      </c>
      <c r="D645" s="10" t="str">
        <f>HYPERLINK("https://facebook.com/367089020688300_476686086395259", "367089020688300_476686086395259")</f>
        <v>367089020688300_476686086395259</v>
      </c>
      <c r="E645" s="11">
        <v>159.0</v>
      </c>
      <c r="F645" s="11">
        <v>3.0</v>
      </c>
      <c r="G645" s="11">
        <v>97.0</v>
      </c>
      <c r="H645" s="9" t="s">
        <v>26</v>
      </c>
      <c r="I645" s="9" t="s">
        <v>2909</v>
      </c>
      <c r="J645" s="9" t="s">
        <v>2910</v>
      </c>
      <c r="K645" s="9" t="s">
        <v>2911</v>
      </c>
      <c r="L645" s="9" t="s">
        <v>30</v>
      </c>
      <c r="M645" s="9" t="s">
        <v>31</v>
      </c>
      <c r="N645" s="9" t="s">
        <v>32</v>
      </c>
      <c r="O645" s="12" t="s">
        <v>33</v>
      </c>
      <c r="P645" s="12" t="s">
        <v>34</v>
      </c>
      <c r="Q645" s="9"/>
      <c r="R645" s="18"/>
      <c r="S645" s="18"/>
      <c r="T645" s="18"/>
      <c r="U645" s="18"/>
      <c r="V645" s="18"/>
      <c r="W645" s="15"/>
      <c r="X645" s="15"/>
    </row>
    <row r="646">
      <c r="A646" s="7">
        <v>645.0</v>
      </c>
      <c r="B646" s="8" t="s">
        <v>2912</v>
      </c>
      <c r="C646" s="9" t="s">
        <v>2913</v>
      </c>
      <c r="D646" s="10" t="str">
        <f>HYPERLINK("https://facebook.com/367089020688300_554871785243355", "367089020688300_554871785243355")</f>
        <v>367089020688300_554871785243355</v>
      </c>
      <c r="E646" s="11">
        <v>85.0</v>
      </c>
      <c r="F646" s="11">
        <v>3.0</v>
      </c>
      <c r="G646" s="11">
        <v>198.0</v>
      </c>
      <c r="H646" s="9" t="s">
        <v>26</v>
      </c>
      <c r="I646" s="9" t="s">
        <v>2914</v>
      </c>
      <c r="J646" s="9" t="s">
        <v>2915</v>
      </c>
      <c r="K646" s="9" t="s">
        <v>1184</v>
      </c>
      <c r="L646" s="9" t="s">
        <v>30</v>
      </c>
      <c r="M646" s="9" t="s">
        <v>31</v>
      </c>
      <c r="N646" s="9" t="s">
        <v>32</v>
      </c>
      <c r="O646" s="12" t="s">
        <v>33</v>
      </c>
      <c r="P646" s="12" t="s">
        <v>34</v>
      </c>
      <c r="Q646" s="9"/>
      <c r="R646" s="18"/>
      <c r="S646" s="18"/>
      <c r="T646" s="18"/>
      <c r="U646" s="18"/>
      <c r="V646" s="18"/>
      <c r="W646" s="15"/>
      <c r="X646" s="15"/>
    </row>
    <row r="647">
      <c r="A647" s="7">
        <v>646.0</v>
      </c>
      <c r="B647" s="8" t="s">
        <v>2916</v>
      </c>
      <c r="C647" s="9" t="s">
        <v>2917</v>
      </c>
      <c r="D647" s="10" t="str">
        <f>HYPERLINK("https://facebook.com/367089020688300_545327419531125", "367089020688300_545327419531125")</f>
        <v>367089020688300_545327419531125</v>
      </c>
      <c r="E647" s="11">
        <v>18.0</v>
      </c>
      <c r="F647" s="11">
        <v>0.0</v>
      </c>
      <c r="G647" s="11">
        <v>1.0</v>
      </c>
      <c r="H647" s="9" t="s">
        <v>26</v>
      </c>
      <c r="I647" s="9" t="s">
        <v>2918</v>
      </c>
      <c r="J647" s="9" t="s">
        <v>2919</v>
      </c>
      <c r="K647" s="9" t="s">
        <v>663</v>
      </c>
      <c r="L647" s="9" t="s">
        <v>30</v>
      </c>
      <c r="M647" s="9" t="s">
        <v>31</v>
      </c>
      <c r="N647" s="9" t="s">
        <v>32</v>
      </c>
      <c r="O647" s="12" t="s">
        <v>33</v>
      </c>
      <c r="P647" s="12" t="s">
        <v>34</v>
      </c>
      <c r="Q647" s="9"/>
      <c r="R647" s="18"/>
      <c r="S647" s="18"/>
      <c r="T647" s="18"/>
      <c r="U647" s="18"/>
      <c r="V647" s="18"/>
      <c r="W647" s="15"/>
      <c r="X647" s="15"/>
    </row>
    <row r="648">
      <c r="A648" s="7">
        <v>647.0</v>
      </c>
      <c r="B648" s="8" t="s">
        <v>2920</v>
      </c>
      <c r="C648" s="9" t="s">
        <v>2921</v>
      </c>
      <c r="D648" s="10" t="str">
        <f>HYPERLINK("https://facebook.com/367089020688300_503271703736697", "367089020688300_503271703736697")</f>
        <v>367089020688300_503271703736697</v>
      </c>
      <c r="E648" s="11">
        <v>502.0</v>
      </c>
      <c r="F648" s="11">
        <v>35.0</v>
      </c>
      <c r="G648" s="11">
        <v>328.0</v>
      </c>
      <c r="H648" s="9" t="s">
        <v>26</v>
      </c>
      <c r="I648" s="9" t="s">
        <v>2922</v>
      </c>
      <c r="J648" s="16" t="s">
        <v>2923</v>
      </c>
      <c r="K648" s="9"/>
      <c r="L648" s="9" t="s">
        <v>30</v>
      </c>
      <c r="M648" s="9" t="s">
        <v>31</v>
      </c>
      <c r="N648" s="9" t="s">
        <v>32</v>
      </c>
      <c r="O648" s="12" t="s">
        <v>33</v>
      </c>
      <c r="P648" s="12" t="s">
        <v>34</v>
      </c>
      <c r="Q648" s="9"/>
      <c r="R648" s="18"/>
      <c r="S648" s="18"/>
      <c r="T648" s="18"/>
      <c r="U648" s="18"/>
      <c r="V648" s="18"/>
      <c r="W648" s="15"/>
      <c r="X648" s="15"/>
    </row>
    <row r="649">
      <c r="A649" s="7">
        <v>648.0</v>
      </c>
      <c r="B649" s="8" t="s">
        <v>2924</v>
      </c>
      <c r="C649" s="9" t="s">
        <v>2925</v>
      </c>
      <c r="D649" s="10" t="str">
        <f>HYPERLINK("https://facebook.com/367089020688300_462525364477998", "367089020688300_462525364477998")</f>
        <v>367089020688300_462525364477998</v>
      </c>
      <c r="E649" s="11">
        <v>303.0</v>
      </c>
      <c r="F649" s="11">
        <v>6.0</v>
      </c>
      <c r="G649" s="11">
        <v>238.0</v>
      </c>
      <c r="H649" s="9" t="s">
        <v>26</v>
      </c>
      <c r="I649" s="9" t="s">
        <v>2926</v>
      </c>
      <c r="J649" s="9" t="s">
        <v>2927</v>
      </c>
      <c r="K649" s="9" t="s">
        <v>2928</v>
      </c>
      <c r="L649" s="9" t="s">
        <v>30</v>
      </c>
      <c r="M649" s="9" t="s">
        <v>31</v>
      </c>
      <c r="N649" s="9" t="s">
        <v>32</v>
      </c>
      <c r="O649" s="12" t="s">
        <v>33</v>
      </c>
      <c r="P649" s="12" t="s">
        <v>34</v>
      </c>
      <c r="Q649" s="9"/>
      <c r="R649" s="18"/>
      <c r="S649" s="18"/>
      <c r="T649" s="18"/>
      <c r="U649" s="18"/>
      <c r="V649" s="18"/>
      <c r="W649" s="15"/>
      <c r="X649" s="15"/>
    </row>
    <row r="650">
      <c r="A650" s="7">
        <v>649.0</v>
      </c>
      <c r="B650" s="8" t="s">
        <v>2929</v>
      </c>
      <c r="C650" s="9" t="s">
        <v>2930</v>
      </c>
      <c r="D650" s="10" t="str">
        <f>HYPERLINK("https://facebook.com/367089020688300_545784336152100", "367089020688300_545784336152100")</f>
        <v>367089020688300_545784336152100</v>
      </c>
      <c r="E650" s="11">
        <v>2387.0</v>
      </c>
      <c r="F650" s="11">
        <v>30.0</v>
      </c>
      <c r="G650" s="11">
        <v>348.0</v>
      </c>
      <c r="H650" s="9" t="s">
        <v>26</v>
      </c>
      <c r="I650" s="9" t="s">
        <v>1142</v>
      </c>
      <c r="J650" s="9" t="s">
        <v>1143</v>
      </c>
      <c r="K650" s="9" t="s">
        <v>2526</v>
      </c>
      <c r="L650" s="9" t="s">
        <v>30</v>
      </c>
      <c r="M650" s="9" t="s">
        <v>31</v>
      </c>
      <c r="N650" s="9" t="s">
        <v>32</v>
      </c>
      <c r="O650" s="12" t="s">
        <v>33</v>
      </c>
      <c r="P650" s="12" t="s">
        <v>34</v>
      </c>
      <c r="Q650" s="9"/>
      <c r="R650" s="18"/>
      <c r="S650" s="18"/>
      <c r="T650" s="18"/>
      <c r="U650" s="18"/>
      <c r="V650" s="18"/>
      <c r="W650" s="15"/>
      <c r="X650" s="15"/>
    </row>
    <row r="651">
      <c r="A651" s="7">
        <v>650.0</v>
      </c>
      <c r="B651" s="8" t="s">
        <v>2931</v>
      </c>
      <c r="C651" s="9" t="s">
        <v>2932</v>
      </c>
      <c r="D651" s="10" t="str">
        <f>HYPERLINK("https://facebook.com/367089020688300_554850315245502", "367089020688300_554850315245502")</f>
        <v>367089020688300_554850315245502</v>
      </c>
      <c r="E651" s="11">
        <v>713.0</v>
      </c>
      <c r="F651" s="11">
        <v>2.0</v>
      </c>
      <c r="G651" s="11">
        <v>171.0</v>
      </c>
      <c r="H651" s="9" t="s">
        <v>26</v>
      </c>
      <c r="I651" s="9" t="s">
        <v>2933</v>
      </c>
      <c r="J651" s="9" t="s">
        <v>2934</v>
      </c>
      <c r="K651" s="9" t="s">
        <v>2935</v>
      </c>
      <c r="L651" s="9" t="s">
        <v>30</v>
      </c>
      <c r="M651" s="9" t="s">
        <v>31</v>
      </c>
      <c r="N651" s="9" t="s">
        <v>32</v>
      </c>
      <c r="O651" s="12" t="s">
        <v>33</v>
      </c>
      <c r="P651" s="12" t="s">
        <v>34</v>
      </c>
      <c r="Q651" s="9"/>
      <c r="R651" s="18"/>
      <c r="S651" s="18"/>
      <c r="T651" s="18"/>
      <c r="U651" s="18"/>
      <c r="V651" s="18"/>
      <c r="W651" s="15"/>
      <c r="X651" s="15"/>
    </row>
    <row r="652">
      <c r="A652" s="7">
        <v>651.0</v>
      </c>
      <c r="B652" s="8" t="s">
        <v>2936</v>
      </c>
      <c r="C652" s="9" t="s">
        <v>2937</v>
      </c>
      <c r="D652" s="10" t="str">
        <f>HYPERLINK("https://facebook.com/367089020688300_539012253495975", "367089020688300_539012253495975")</f>
        <v>367089020688300_539012253495975</v>
      </c>
      <c r="E652" s="11">
        <v>122.0</v>
      </c>
      <c r="F652" s="11">
        <v>5.0</v>
      </c>
      <c r="G652" s="11">
        <v>259.0</v>
      </c>
      <c r="H652" s="9" t="s">
        <v>26</v>
      </c>
      <c r="I652" s="9" t="s">
        <v>2938</v>
      </c>
      <c r="J652" s="9" t="s">
        <v>2939</v>
      </c>
      <c r="K652" s="9" t="s">
        <v>219</v>
      </c>
      <c r="L652" s="9" t="s">
        <v>30</v>
      </c>
      <c r="M652" s="9" t="s">
        <v>31</v>
      </c>
      <c r="N652" s="9" t="s">
        <v>32</v>
      </c>
      <c r="O652" s="12" t="s">
        <v>33</v>
      </c>
      <c r="P652" s="12" t="s">
        <v>34</v>
      </c>
      <c r="Q652" s="9"/>
      <c r="R652" s="18"/>
      <c r="S652" s="18"/>
      <c r="T652" s="18"/>
      <c r="U652" s="18"/>
      <c r="V652" s="18"/>
      <c r="W652" s="15"/>
      <c r="X652" s="15"/>
    </row>
    <row r="653">
      <c r="A653" s="7">
        <v>652.0</v>
      </c>
      <c r="B653" s="8" t="s">
        <v>2940</v>
      </c>
      <c r="C653" s="9" t="s">
        <v>2941</v>
      </c>
      <c r="D653" s="10" t="str">
        <f>HYPERLINK("https://facebook.com/367089020688300_512781272785740", "367089020688300_512781272785740")</f>
        <v>367089020688300_512781272785740</v>
      </c>
      <c r="E653" s="11">
        <v>99.0</v>
      </c>
      <c r="F653" s="11">
        <v>1.0</v>
      </c>
      <c r="G653" s="11">
        <v>90.0</v>
      </c>
      <c r="H653" s="9" t="s">
        <v>26</v>
      </c>
      <c r="I653" s="9" t="s">
        <v>2942</v>
      </c>
      <c r="J653" s="9" t="s">
        <v>2943</v>
      </c>
      <c r="K653" s="9" t="s">
        <v>2944</v>
      </c>
      <c r="L653" s="9" t="s">
        <v>30</v>
      </c>
      <c r="M653" s="9" t="s">
        <v>31</v>
      </c>
      <c r="N653" s="9" t="s">
        <v>32</v>
      </c>
      <c r="O653" s="12" t="s">
        <v>33</v>
      </c>
      <c r="P653" s="12" t="s">
        <v>34</v>
      </c>
      <c r="Q653" s="9"/>
      <c r="R653" s="18"/>
      <c r="S653" s="18"/>
      <c r="T653" s="18"/>
      <c r="U653" s="18"/>
      <c r="V653" s="18"/>
      <c r="W653" s="15"/>
      <c r="X653" s="15"/>
    </row>
    <row r="654">
      <c r="A654" s="7">
        <v>653.0</v>
      </c>
      <c r="B654" s="8" t="s">
        <v>2945</v>
      </c>
      <c r="C654" s="9" t="s">
        <v>2946</v>
      </c>
      <c r="D654" s="10" t="str">
        <f>HYPERLINK("https://facebook.com/367089020688300_524880224909178", "367089020688300_524880224909178")</f>
        <v>367089020688300_524880224909178</v>
      </c>
      <c r="E654" s="11">
        <v>398.0</v>
      </c>
      <c r="F654" s="11">
        <v>35.0</v>
      </c>
      <c r="G654" s="11">
        <v>535.0</v>
      </c>
      <c r="H654" s="9" t="s">
        <v>26</v>
      </c>
      <c r="I654" s="9" t="s">
        <v>2947</v>
      </c>
      <c r="J654" s="16" t="s">
        <v>2948</v>
      </c>
      <c r="K654" s="9"/>
      <c r="L654" s="9" t="s">
        <v>30</v>
      </c>
      <c r="M654" s="9" t="s">
        <v>31</v>
      </c>
      <c r="N654" s="9" t="s">
        <v>32</v>
      </c>
      <c r="O654" s="12" t="s">
        <v>33</v>
      </c>
      <c r="P654" s="12" t="s">
        <v>34</v>
      </c>
      <c r="Q654" s="9"/>
      <c r="R654" s="18"/>
      <c r="S654" s="18"/>
      <c r="T654" s="18"/>
      <c r="U654" s="18"/>
      <c r="V654" s="18"/>
      <c r="W654" s="15"/>
      <c r="X654" s="15"/>
    </row>
    <row r="655">
      <c r="A655" s="7">
        <v>654.0</v>
      </c>
      <c r="B655" s="8" t="s">
        <v>2949</v>
      </c>
      <c r="C655" s="9" t="s">
        <v>2950</v>
      </c>
      <c r="D655" s="10" t="str">
        <f>HYPERLINK("https://facebook.com/367089020688300_537400233657177", "367089020688300_537400233657177")</f>
        <v>367089020688300_537400233657177</v>
      </c>
      <c r="E655" s="11">
        <v>39.0</v>
      </c>
      <c r="F655" s="11">
        <v>0.0</v>
      </c>
      <c r="G655" s="11">
        <v>32.0</v>
      </c>
      <c r="H655" s="9" t="s">
        <v>26</v>
      </c>
      <c r="I655" s="9" t="s">
        <v>2951</v>
      </c>
      <c r="J655" s="16" t="s">
        <v>2952</v>
      </c>
      <c r="K655" s="9"/>
      <c r="L655" s="9" t="s">
        <v>30</v>
      </c>
      <c r="M655" s="9" t="s">
        <v>31</v>
      </c>
      <c r="N655" s="9" t="s">
        <v>32</v>
      </c>
      <c r="O655" s="12" t="s">
        <v>33</v>
      </c>
      <c r="P655" s="12" t="s">
        <v>34</v>
      </c>
      <c r="Q655" s="9"/>
      <c r="R655" s="18"/>
      <c r="S655" s="18"/>
      <c r="T655" s="18"/>
      <c r="U655" s="18"/>
      <c r="V655" s="18"/>
      <c r="W655" s="15"/>
      <c r="X655" s="15"/>
    </row>
    <row r="656">
      <c r="A656" s="7">
        <v>655.0</v>
      </c>
      <c r="B656" s="8" t="s">
        <v>2953</v>
      </c>
      <c r="C656" s="9" t="s">
        <v>2954</v>
      </c>
      <c r="D656" s="10" t="str">
        <f>HYPERLINK("https://facebook.com/367089020688300_539441853453015", "367089020688300_539441853453015")</f>
        <v>367089020688300_539441853453015</v>
      </c>
      <c r="E656" s="11">
        <v>3.0</v>
      </c>
      <c r="F656" s="11">
        <v>0.0</v>
      </c>
      <c r="G656" s="11">
        <v>7.0</v>
      </c>
      <c r="H656" s="9" t="s">
        <v>26</v>
      </c>
      <c r="I656" s="9" t="s">
        <v>479</v>
      </c>
      <c r="J656" s="16" t="s">
        <v>480</v>
      </c>
      <c r="K656" s="9"/>
      <c r="L656" s="9" t="s">
        <v>30</v>
      </c>
      <c r="M656" s="9" t="s">
        <v>31</v>
      </c>
      <c r="N656" s="9" t="s">
        <v>32</v>
      </c>
      <c r="O656" s="12" t="s">
        <v>33</v>
      </c>
      <c r="P656" s="12" t="s">
        <v>34</v>
      </c>
      <c r="Q656" s="9"/>
      <c r="R656" s="18"/>
      <c r="S656" s="18"/>
      <c r="T656" s="18"/>
      <c r="U656" s="18"/>
      <c r="V656" s="18"/>
      <c r="W656" s="15"/>
      <c r="X656" s="15"/>
    </row>
    <row r="657">
      <c r="A657" s="7">
        <v>656.0</v>
      </c>
      <c r="B657" s="8" t="s">
        <v>2955</v>
      </c>
      <c r="C657" s="9" t="s">
        <v>2956</v>
      </c>
      <c r="D657" s="10" t="str">
        <f>HYPERLINK("https://facebook.com/367089020688300_547290912668109", "367089020688300_547290912668109")</f>
        <v>367089020688300_547290912668109</v>
      </c>
      <c r="E657" s="11">
        <v>595.0</v>
      </c>
      <c r="F657" s="11">
        <v>10.0</v>
      </c>
      <c r="G657" s="11">
        <v>893.0</v>
      </c>
      <c r="H657" s="9" t="s">
        <v>26</v>
      </c>
      <c r="I657" s="9" t="s">
        <v>2344</v>
      </c>
      <c r="J657" s="16" t="s">
        <v>2957</v>
      </c>
      <c r="K657" s="9"/>
      <c r="L657" s="9" t="s">
        <v>30</v>
      </c>
      <c r="M657" s="9" t="s">
        <v>31</v>
      </c>
      <c r="N657" s="9" t="s">
        <v>32</v>
      </c>
      <c r="O657" s="12" t="s">
        <v>33</v>
      </c>
      <c r="P657" s="12" t="s">
        <v>34</v>
      </c>
      <c r="Q657" s="9"/>
      <c r="R657" s="18"/>
      <c r="S657" s="18"/>
      <c r="T657" s="18"/>
      <c r="U657" s="18"/>
      <c r="V657" s="18"/>
      <c r="W657" s="15"/>
      <c r="X657" s="15"/>
    </row>
    <row r="658">
      <c r="A658" s="7">
        <v>657.0</v>
      </c>
      <c r="B658" s="8" t="s">
        <v>2958</v>
      </c>
      <c r="C658" s="9" t="s">
        <v>2959</v>
      </c>
      <c r="D658" s="10" t="str">
        <f>HYPERLINK("https://facebook.com/367089020688300_537021613695039", "367089020688300_537021613695039")</f>
        <v>367089020688300_537021613695039</v>
      </c>
      <c r="E658" s="11">
        <v>12.0</v>
      </c>
      <c r="F658" s="11">
        <v>0.0</v>
      </c>
      <c r="G658" s="11">
        <v>2.0</v>
      </c>
      <c r="H658" s="9" t="s">
        <v>26</v>
      </c>
      <c r="I658" s="9" t="s">
        <v>2960</v>
      </c>
      <c r="J658" s="9" t="s">
        <v>2961</v>
      </c>
      <c r="K658" s="9" t="s">
        <v>2962</v>
      </c>
      <c r="L658" s="9" t="s">
        <v>30</v>
      </c>
      <c r="M658" s="9" t="s">
        <v>31</v>
      </c>
      <c r="N658" s="9" t="s">
        <v>32</v>
      </c>
      <c r="O658" s="12" t="s">
        <v>33</v>
      </c>
      <c r="P658" s="12" t="s">
        <v>34</v>
      </c>
      <c r="Q658" s="9"/>
      <c r="R658" s="18"/>
      <c r="S658" s="18"/>
      <c r="T658" s="18"/>
      <c r="U658" s="18"/>
      <c r="V658" s="18"/>
      <c r="W658" s="15"/>
      <c r="X658" s="15"/>
    </row>
    <row r="659">
      <c r="A659" s="7">
        <v>658.0</v>
      </c>
      <c r="B659" s="8" t="s">
        <v>2963</v>
      </c>
      <c r="C659" s="9" t="s">
        <v>2964</v>
      </c>
      <c r="D659" s="10" t="str">
        <f>HYPERLINK("https://facebook.com/367089020688300_542911433106057", "367089020688300_542911433106057")</f>
        <v>367089020688300_542911433106057</v>
      </c>
      <c r="E659" s="11">
        <v>543.0</v>
      </c>
      <c r="F659" s="11">
        <v>1.0</v>
      </c>
      <c r="G659" s="11">
        <v>86.0</v>
      </c>
      <c r="H659" s="9" t="s">
        <v>26</v>
      </c>
      <c r="I659" s="9" t="s">
        <v>2965</v>
      </c>
      <c r="J659" s="16" t="s">
        <v>2966</v>
      </c>
      <c r="K659" s="9"/>
      <c r="L659" s="9" t="s">
        <v>30</v>
      </c>
      <c r="M659" s="9" t="s">
        <v>31</v>
      </c>
      <c r="N659" s="9" t="s">
        <v>32</v>
      </c>
      <c r="O659" s="12" t="s">
        <v>33</v>
      </c>
      <c r="P659" s="12" t="s">
        <v>34</v>
      </c>
      <c r="Q659" s="9"/>
      <c r="R659" s="18"/>
      <c r="S659" s="18"/>
      <c r="T659" s="18"/>
      <c r="U659" s="18"/>
      <c r="V659" s="18"/>
      <c r="W659" s="15"/>
      <c r="X659" s="15"/>
    </row>
    <row r="660">
      <c r="A660" s="7">
        <v>659.0</v>
      </c>
      <c r="B660" s="8" t="s">
        <v>2967</v>
      </c>
      <c r="C660" s="9" t="s">
        <v>2968</v>
      </c>
      <c r="D660" s="10" t="str">
        <f>HYPERLINK("https://facebook.com/367089020688300_517296785667522", "367089020688300_517296785667522")</f>
        <v>367089020688300_517296785667522</v>
      </c>
      <c r="E660" s="11">
        <v>70.0</v>
      </c>
      <c r="F660" s="11">
        <v>0.0</v>
      </c>
      <c r="G660" s="11">
        <v>67.0</v>
      </c>
      <c r="H660" s="9" t="s">
        <v>26</v>
      </c>
      <c r="I660" s="9" t="s">
        <v>2969</v>
      </c>
      <c r="J660" s="9" t="s">
        <v>2970</v>
      </c>
      <c r="K660" s="9" t="s">
        <v>51</v>
      </c>
      <c r="L660" s="9" t="s">
        <v>30</v>
      </c>
      <c r="M660" s="9" t="s">
        <v>31</v>
      </c>
      <c r="N660" s="9" t="s">
        <v>32</v>
      </c>
      <c r="O660" s="12" t="s">
        <v>33</v>
      </c>
      <c r="P660" s="12" t="s">
        <v>34</v>
      </c>
      <c r="Q660" s="9"/>
      <c r="R660" s="18"/>
      <c r="S660" s="18"/>
      <c r="T660" s="18"/>
      <c r="U660" s="18"/>
      <c r="V660" s="18"/>
      <c r="W660" s="15"/>
      <c r="X660" s="15"/>
    </row>
    <row r="661">
      <c r="A661" s="7">
        <v>660.0</v>
      </c>
      <c r="B661" s="8" t="s">
        <v>2971</v>
      </c>
      <c r="C661" s="9" t="s">
        <v>2972</v>
      </c>
      <c r="D661" s="10" t="str">
        <f>HYPERLINK("https://facebook.com/367089020688300_509016583162209", "367089020688300_509016583162209")</f>
        <v>367089020688300_509016583162209</v>
      </c>
      <c r="E661" s="11">
        <v>1118.0</v>
      </c>
      <c r="F661" s="11">
        <v>36.0</v>
      </c>
      <c r="G661" s="11">
        <v>852.0</v>
      </c>
      <c r="H661" s="9" t="s">
        <v>26</v>
      </c>
      <c r="I661" s="9" t="s">
        <v>2973</v>
      </c>
      <c r="J661" s="16" t="s">
        <v>2974</v>
      </c>
      <c r="K661" s="9"/>
      <c r="L661" s="9" t="s">
        <v>30</v>
      </c>
      <c r="M661" s="9" t="s">
        <v>31</v>
      </c>
      <c r="N661" s="9" t="s">
        <v>32</v>
      </c>
      <c r="O661" s="12" t="s">
        <v>33</v>
      </c>
      <c r="P661" s="12" t="s">
        <v>34</v>
      </c>
      <c r="Q661" s="9"/>
      <c r="R661" s="18"/>
      <c r="S661" s="18"/>
      <c r="T661" s="18"/>
      <c r="U661" s="18"/>
      <c r="V661" s="18"/>
      <c r="W661" s="15"/>
      <c r="X661" s="15"/>
    </row>
    <row r="662">
      <c r="A662" s="7">
        <v>661.0</v>
      </c>
      <c r="B662" s="8" t="s">
        <v>2975</v>
      </c>
      <c r="C662" s="9" t="s">
        <v>2976</v>
      </c>
      <c r="D662" s="10" t="str">
        <f>HYPERLINK("https://facebook.com/367089020688300_547480539315813", "367089020688300_547480539315813")</f>
        <v>367089020688300_547480539315813</v>
      </c>
      <c r="E662" s="11">
        <v>54.0</v>
      </c>
      <c r="F662" s="11">
        <v>0.0</v>
      </c>
      <c r="G662" s="11">
        <v>8.0</v>
      </c>
      <c r="H662" s="9" t="s">
        <v>26</v>
      </c>
      <c r="I662" s="9" t="s">
        <v>2977</v>
      </c>
      <c r="J662" s="16" t="s">
        <v>2978</v>
      </c>
      <c r="K662" s="9"/>
      <c r="L662" s="9" t="s">
        <v>30</v>
      </c>
      <c r="M662" s="9" t="s">
        <v>31</v>
      </c>
      <c r="N662" s="9" t="s">
        <v>32</v>
      </c>
      <c r="O662" s="12" t="s">
        <v>33</v>
      </c>
      <c r="P662" s="12" t="s">
        <v>34</v>
      </c>
      <c r="Q662" s="9"/>
      <c r="R662" s="18"/>
      <c r="S662" s="18"/>
      <c r="T662" s="18"/>
      <c r="U662" s="18"/>
      <c r="V662" s="18"/>
      <c r="W662" s="15"/>
      <c r="X662" s="15"/>
    </row>
    <row r="663">
      <c r="A663" s="7">
        <v>662.0</v>
      </c>
      <c r="B663" s="8" t="s">
        <v>2979</v>
      </c>
      <c r="C663" s="9" t="s">
        <v>2980</v>
      </c>
      <c r="D663" s="10" t="str">
        <f>HYPERLINK("https://facebook.com/367089020688300_507009953362872", "367089020688300_507009953362872")</f>
        <v>367089020688300_507009953362872</v>
      </c>
      <c r="E663" s="11">
        <v>267.0</v>
      </c>
      <c r="F663" s="11">
        <v>1.0</v>
      </c>
      <c r="G663" s="11">
        <v>107.0</v>
      </c>
      <c r="H663" s="9" t="s">
        <v>26</v>
      </c>
      <c r="I663" s="9" t="s">
        <v>2981</v>
      </c>
      <c r="J663" s="9" t="s">
        <v>2982</v>
      </c>
      <c r="K663" s="9" t="s">
        <v>471</v>
      </c>
      <c r="L663" s="9" t="s">
        <v>30</v>
      </c>
      <c r="M663" s="9" t="s">
        <v>31</v>
      </c>
      <c r="N663" s="9" t="s">
        <v>32</v>
      </c>
      <c r="O663" s="12" t="s">
        <v>33</v>
      </c>
      <c r="P663" s="12" t="s">
        <v>34</v>
      </c>
      <c r="Q663" s="9"/>
      <c r="R663" s="18"/>
      <c r="S663" s="18"/>
      <c r="T663" s="18"/>
      <c r="U663" s="18"/>
      <c r="V663" s="18"/>
      <c r="W663" s="15"/>
      <c r="X663" s="15"/>
    </row>
    <row r="664">
      <c r="A664" s="7">
        <v>663.0</v>
      </c>
      <c r="B664" s="8" t="s">
        <v>2983</v>
      </c>
      <c r="C664" s="9" t="s">
        <v>2984</v>
      </c>
      <c r="D664" s="10" t="str">
        <f>HYPERLINK("https://facebook.com/367089020688300_413613176035884", "367089020688300_413613176035884")</f>
        <v>367089020688300_413613176035884</v>
      </c>
      <c r="E664" s="11">
        <v>1350.0</v>
      </c>
      <c r="F664" s="11">
        <v>82.0</v>
      </c>
      <c r="G664" s="11">
        <v>1047.0</v>
      </c>
      <c r="H664" s="9" t="s">
        <v>26</v>
      </c>
      <c r="I664" s="9" t="s">
        <v>460</v>
      </c>
      <c r="J664" s="9" t="s">
        <v>2985</v>
      </c>
      <c r="K664" s="9" t="s">
        <v>2986</v>
      </c>
      <c r="L664" s="9" t="s">
        <v>30</v>
      </c>
      <c r="M664" s="9" t="s">
        <v>31</v>
      </c>
      <c r="N664" s="9" t="s">
        <v>32</v>
      </c>
      <c r="O664" s="12" t="s">
        <v>33</v>
      </c>
      <c r="P664" s="12" t="s">
        <v>34</v>
      </c>
      <c r="Q664" s="9"/>
      <c r="R664" s="18"/>
      <c r="S664" s="18"/>
      <c r="T664" s="18"/>
      <c r="U664" s="18"/>
      <c r="V664" s="18"/>
      <c r="W664" s="15"/>
      <c r="X664" s="15"/>
    </row>
    <row r="665">
      <c r="A665" s="7">
        <v>664.0</v>
      </c>
      <c r="B665" s="8" t="s">
        <v>2987</v>
      </c>
      <c r="C665" s="9" t="s">
        <v>2988</v>
      </c>
      <c r="D665" s="10" t="str">
        <f>HYPERLINK("https://facebook.com/367089020688300_541678239896043", "367089020688300_541678239896043")</f>
        <v>367089020688300_541678239896043</v>
      </c>
      <c r="E665" s="11">
        <v>125.0</v>
      </c>
      <c r="F665" s="11">
        <v>0.0</v>
      </c>
      <c r="G665" s="11">
        <v>61.0</v>
      </c>
      <c r="H665" s="9" t="s">
        <v>26</v>
      </c>
      <c r="I665" s="9" t="s">
        <v>2989</v>
      </c>
      <c r="J665" s="16" t="s">
        <v>2990</v>
      </c>
      <c r="K665" s="9"/>
      <c r="L665" s="9" t="s">
        <v>30</v>
      </c>
      <c r="M665" s="9" t="s">
        <v>31</v>
      </c>
      <c r="N665" s="9" t="s">
        <v>32</v>
      </c>
      <c r="O665" s="12" t="s">
        <v>33</v>
      </c>
      <c r="P665" s="12" t="s">
        <v>34</v>
      </c>
      <c r="Q665" s="9"/>
      <c r="R665" s="18"/>
      <c r="S665" s="18"/>
      <c r="T665" s="18"/>
      <c r="U665" s="18"/>
      <c r="V665" s="18"/>
      <c r="W665" s="15"/>
      <c r="X665" s="15"/>
    </row>
    <row r="666">
      <c r="A666" s="7">
        <v>665.0</v>
      </c>
      <c r="B666" s="8" t="s">
        <v>2991</v>
      </c>
      <c r="C666" s="9" t="s">
        <v>2992</v>
      </c>
      <c r="D666" s="10" t="str">
        <f>HYPERLINK("https://facebook.com/367089020688300_524138624983338", "367089020688300_524138624983338")</f>
        <v>367089020688300_524138624983338</v>
      </c>
      <c r="E666" s="11">
        <v>271.0</v>
      </c>
      <c r="F666" s="11">
        <v>8.0</v>
      </c>
      <c r="G666" s="11">
        <v>201.0</v>
      </c>
      <c r="H666" s="9" t="s">
        <v>26</v>
      </c>
      <c r="I666" s="9" t="s">
        <v>2993</v>
      </c>
      <c r="J666" s="16" t="s">
        <v>2994</v>
      </c>
      <c r="K666" s="9"/>
      <c r="L666" s="9" t="s">
        <v>30</v>
      </c>
      <c r="M666" s="9" t="s">
        <v>31</v>
      </c>
      <c r="N666" s="9" t="s">
        <v>32</v>
      </c>
      <c r="O666" s="12" t="s">
        <v>33</v>
      </c>
      <c r="P666" s="12" t="s">
        <v>34</v>
      </c>
      <c r="Q666" s="9"/>
      <c r="R666" s="18"/>
      <c r="S666" s="18"/>
      <c r="T666" s="18"/>
      <c r="U666" s="18"/>
      <c r="V666" s="18"/>
      <c r="W666" s="15"/>
      <c r="X666" s="15"/>
    </row>
    <row r="667">
      <c r="A667" s="7">
        <v>666.0</v>
      </c>
      <c r="B667" s="8" t="s">
        <v>2995</v>
      </c>
      <c r="C667" s="9" t="s">
        <v>2996</v>
      </c>
      <c r="D667" s="10" t="str">
        <f>HYPERLINK("https://facebook.com/367089020688300_497218877675313", "367089020688300_497218877675313")</f>
        <v>367089020688300_497218877675313</v>
      </c>
      <c r="E667" s="11">
        <v>340.0</v>
      </c>
      <c r="F667" s="11">
        <v>10.0</v>
      </c>
      <c r="G667" s="11">
        <v>571.0</v>
      </c>
      <c r="H667" s="9" t="s">
        <v>26</v>
      </c>
      <c r="I667" s="9" t="s">
        <v>2997</v>
      </c>
      <c r="J667" s="16" t="s">
        <v>2998</v>
      </c>
      <c r="K667" s="9"/>
      <c r="L667" s="9" t="s">
        <v>30</v>
      </c>
      <c r="M667" s="9" t="s">
        <v>31</v>
      </c>
      <c r="N667" s="9" t="s">
        <v>32</v>
      </c>
      <c r="O667" s="12" t="s">
        <v>33</v>
      </c>
      <c r="P667" s="12" t="s">
        <v>34</v>
      </c>
      <c r="Q667" s="9"/>
      <c r="R667" s="18"/>
      <c r="S667" s="18"/>
      <c r="T667" s="18"/>
      <c r="U667" s="18"/>
      <c r="V667" s="18"/>
      <c r="W667" s="15"/>
      <c r="X667" s="15"/>
    </row>
    <row r="668">
      <c r="A668" s="7">
        <v>667.0</v>
      </c>
      <c r="B668" s="8" t="s">
        <v>2999</v>
      </c>
      <c r="C668" s="9" t="s">
        <v>3000</v>
      </c>
      <c r="D668" s="10" t="str">
        <f>HYPERLINK("https://facebook.com/367089020688300_536257150438152", "367089020688300_536257150438152")</f>
        <v>367089020688300_536257150438152</v>
      </c>
      <c r="E668" s="11">
        <v>815.0</v>
      </c>
      <c r="F668" s="11">
        <v>3.0</v>
      </c>
      <c r="G668" s="11">
        <v>1310.0</v>
      </c>
      <c r="H668" s="9" t="s">
        <v>26</v>
      </c>
      <c r="I668" s="9" t="s">
        <v>3001</v>
      </c>
      <c r="J668" s="9" t="s">
        <v>3002</v>
      </c>
      <c r="K668" s="9" t="s">
        <v>3003</v>
      </c>
      <c r="L668" s="9" t="s">
        <v>30</v>
      </c>
      <c r="M668" s="9" t="s">
        <v>31</v>
      </c>
      <c r="N668" s="9" t="s">
        <v>32</v>
      </c>
      <c r="O668" s="12" t="s">
        <v>33</v>
      </c>
      <c r="P668" s="12" t="s">
        <v>34</v>
      </c>
      <c r="Q668" s="9"/>
      <c r="R668" s="18"/>
      <c r="S668" s="18"/>
      <c r="T668" s="18"/>
      <c r="U668" s="18"/>
      <c r="V668" s="18"/>
      <c r="W668" s="15"/>
      <c r="X668" s="15"/>
    </row>
    <row r="669">
      <c r="A669" s="7">
        <v>668.0</v>
      </c>
      <c r="B669" s="8" t="s">
        <v>3004</v>
      </c>
      <c r="C669" s="9" t="s">
        <v>3005</v>
      </c>
      <c r="D669" s="10" t="str">
        <f>HYPERLINK("https://facebook.com/367089020688300_544515026279031", "367089020688300_544515026279031")</f>
        <v>367089020688300_544515026279031</v>
      </c>
      <c r="E669" s="11">
        <v>873.0</v>
      </c>
      <c r="F669" s="11">
        <v>8.0</v>
      </c>
      <c r="G669" s="11">
        <v>209.0</v>
      </c>
      <c r="H669" s="9" t="s">
        <v>26</v>
      </c>
      <c r="I669" s="9" t="s">
        <v>3006</v>
      </c>
      <c r="J669" s="9" t="s">
        <v>3007</v>
      </c>
      <c r="K669" s="9" t="s">
        <v>3008</v>
      </c>
      <c r="L669" s="9" t="s">
        <v>30</v>
      </c>
      <c r="M669" s="9" t="s">
        <v>31</v>
      </c>
      <c r="N669" s="9" t="s">
        <v>32</v>
      </c>
      <c r="O669" s="12" t="s">
        <v>33</v>
      </c>
      <c r="P669" s="12" t="s">
        <v>34</v>
      </c>
      <c r="Q669" s="9"/>
      <c r="R669" s="18"/>
      <c r="S669" s="18"/>
      <c r="T669" s="18"/>
      <c r="U669" s="18"/>
      <c r="V669" s="18"/>
      <c r="W669" s="15"/>
      <c r="X669" s="15"/>
    </row>
    <row r="670">
      <c r="A670" s="7">
        <v>669.0</v>
      </c>
      <c r="B670" s="8" t="s">
        <v>3009</v>
      </c>
      <c r="C670" s="9" t="s">
        <v>3010</v>
      </c>
      <c r="D670" s="10" t="str">
        <f>HYPERLINK("https://facebook.com/367089020688300_552363198827547", "367089020688300_552363198827547")</f>
        <v>367089020688300_552363198827547</v>
      </c>
      <c r="E670" s="11">
        <v>183.0</v>
      </c>
      <c r="F670" s="11">
        <v>1.0</v>
      </c>
      <c r="G670" s="11">
        <v>127.0</v>
      </c>
      <c r="H670" s="9" t="s">
        <v>26</v>
      </c>
      <c r="I670" s="9" t="s">
        <v>3011</v>
      </c>
      <c r="J670" s="9" t="s">
        <v>3012</v>
      </c>
      <c r="K670" s="9" t="s">
        <v>3013</v>
      </c>
      <c r="L670" s="9" t="s">
        <v>30</v>
      </c>
      <c r="M670" s="9" t="s">
        <v>31</v>
      </c>
      <c r="N670" s="9" t="s">
        <v>32</v>
      </c>
      <c r="O670" s="12" t="s">
        <v>33</v>
      </c>
      <c r="P670" s="12" t="s">
        <v>34</v>
      </c>
      <c r="Q670" s="9"/>
      <c r="R670" s="18"/>
      <c r="S670" s="18"/>
      <c r="T670" s="18"/>
      <c r="U670" s="18"/>
      <c r="V670" s="18"/>
      <c r="W670" s="15"/>
      <c r="X670" s="15"/>
    </row>
    <row r="671">
      <c r="A671" s="7">
        <v>670.0</v>
      </c>
      <c r="B671" s="8" t="s">
        <v>3014</v>
      </c>
      <c r="C671" s="9" t="s">
        <v>3015</v>
      </c>
      <c r="D671" s="10" t="str">
        <f>HYPERLINK("https://facebook.com/367089020688300_549685919095275", "367089020688300_549685919095275")</f>
        <v>367089020688300_549685919095275</v>
      </c>
      <c r="E671" s="11">
        <v>111.0</v>
      </c>
      <c r="F671" s="11">
        <v>1.0</v>
      </c>
      <c r="G671" s="11">
        <v>162.0</v>
      </c>
      <c r="H671" s="9" t="s">
        <v>26</v>
      </c>
      <c r="I671" s="9" t="s">
        <v>2289</v>
      </c>
      <c r="J671" s="16" t="s">
        <v>2290</v>
      </c>
      <c r="K671" s="9"/>
      <c r="L671" s="9" t="s">
        <v>30</v>
      </c>
      <c r="M671" s="9" t="s">
        <v>31</v>
      </c>
      <c r="N671" s="9" t="s">
        <v>32</v>
      </c>
      <c r="O671" s="12" t="s">
        <v>33</v>
      </c>
      <c r="P671" s="12" t="s">
        <v>34</v>
      </c>
      <c r="Q671" s="9"/>
      <c r="R671" s="18"/>
      <c r="S671" s="18"/>
      <c r="T671" s="18"/>
      <c r="U671" s="18"/>
      <c r="V671" s="18"/>
      <c r="W671" s="15"/>
      <c r="X671" s="15"/>
    </row>
    <row r="672">
      <c r="A672" s="7">
        <v>671.0</v>
      </c>
      <c r="B672" s="8" t="s">
        <v>3016</v>
      </c>
      <c r="C672" s="9" t="s">
        <v>3017</v>
      </c>
      <c r="D672" s="10" t="str">
        <f>HYPERLINK("https://facebook.com/367089020688300_563252357738631", "367089020688300_563252357738631")</f>
        <v>367089020688300_563252357738631</v>
      </c>
      <c r="E672" s="11">
        <v>33.0</v>
      </c>
      <c r="F672" s="11">
        <v>0.0</v>
      </c>
      <c r="G672" s="11">
        <v>21.0</v>
      </c>
      <c r="H672" s="9" t="s">
        <v>26</v>
      </c>
      <c r="I672" s="9" t="s">
        <v>3018</v>
      </c>
      <c r="J672" s="16" t="s">
        <v>3019</v>
      </c>
      <c r="K672" s="9"/>
      <c r="L672" s="9" t="s">
        <v>30</v>
      </c>
      <c r="M672" s="9" t="s">
        <v>31</v>
      </c>
      <c r="N672" s="9" t="s">
        <v>32</v>
      </c>
      <c r="O672" s="12" t="s">
        <v>33</v>
      </c>
      <c r="P672" s="12" t="s">
        <v>34</v>
      </c>
      <c r="Q672" s="9"/>
      <c r="R672" s="18"/>
      <c r="S672" s="18"/>
      <c r="T672" s="18"/>
      <c r="U672" s="18"/>
      <c r="V672" s="18"/>
      <c r="W672" s="15"/>
      <c r="X672" s="15"/>
    </row>
    <row r="673">
      <c r="A673" s="7">
        <v>672.0</v>
      </c>
      <c r="B673" s="8" t="s">
        <v>3020</v>
      </c>
      <c r="C673" s="9" t="s">
        <v>3021</v>
      </c>
      <c r="D673" s="10" t="str">
        <f>HYPERLINK("https://facebook.com/367089020688300_541080449955822", "367089020688300_541080449955822")</f>
        <v>367089020688300_541080449955822</v>
      </c>
      <c r="E673" s="11">
        <v>269.0</v>
      </c>
      <c r="F673" s="11">
        <v>4.0</v>
      </c>
      <c r="G673" s="11">
        <v>297.0</v>
      </c>
      <c r="H673" s="9" t="s">
        <v>26</v>
      </c>
      <c r="I673" s="9" t="s">
        <v>2554</v>
      </c>
      <c r="J673" s="16" t="s">
        <v>2555</v>
      </c>
      <c r="K673" s="9"/>
      <c r="L673" s="9" t="s">
        <v>30</v>
      </c>
      <c r="M673" s="9" t="s">
        <v>31</v>
      </c>
      <c r="N673" s="9" t="s">
        <v>32</v>
      </c>
      <c r="O673" s="12" t="s">
        <v>33</v>
      </c>
      <c r="P673" s="12" t="s">
        <v>34</v>
      </c>
      <c r="Q673" s="9"/>
      <c r="R673" s="18"/>
      <c r="S673" s="18"/>
      <c r="T673" s="18"/>
      <c r="U673" s="18"/>
      <c r="V673" s="18"/>
      <c r="W673" s="15"/>
      <c r="X673" s="15"/>
    </row>
    <row r="674">
      <c r="A674" s="7">
        <v>673.0</v>
      </c>
      <c r="B674" s="8" t="s">
        <v>3022</v>
      </c>
      <c r="C674" s="9" t="s">
        <v>3023</v>
      </c>
      <c r="D674" s="10" t="str">
        <f>HYPERLINK("https://facebook.com/367089020688300_537063517024182", "367089020688300_537063517024182")</f>
        <v>367089020688300_537063517024182</v>
      </c>
      <c r="E674" s="11">
        <v>469.0</v>
      </c>
      <c r="F674" s="11">
        <v>2.0</v>
      </c>
      <c r="G674" s="11">
        <v>168.0</v>
      </c>
      <c r="H674" s="9" t="s">
        <v>26</v>
      </c>
      <c r="I674" s="9" t="s">
        <v>3024</v>
      </c>
      <c r="J674" s="16" t="s">
        <v>3025</v>
      </c>
      <c r="K674" s="9"/>
      <c r="L674" s="9" t="s">
        <v>30</v>
      </c>
      <c r="M674" s="9" t="s">
        <v>31</v>
      </c>
      <c r="N674" s="9" t="s">
        <v>32</v>
      </c>
      <c r="O674" s="12" t="s">
        <v>33</v>
      </c>
      <c r="P674" s="12" t="s">
        <v>34</v>
      </c>
      <c r="Q674" s="9"/>
      <c r="R674" s="18"/>
      <c r="S674" s="18"/>
      <c r="T674" s="18"/>
      <c r="U674" s="18"/>
      <c r="V674" s="18"/>
      <c r="W674" s="15"/>
      <c r="X674" s="15"/>
    </row>
    <row r="675">
      <c r="A675" s="7">
        <v>674.0</v>
      </c>
      <c r="B675" s="8" t="s">
        <v>3026</v>
      </c>
      <c r="C675" s="9" t="s">
        <v>3027</v>
      </c>
      <c r="D675" s="10" t="str">
        <f>HYPERLINK("https://facebook.com/367089020688300_556235285107005", "367089020688300_556235285107005")</f>
        <v>367089020688300_556235285107005</v>
      </c>
      <c r="E675" s="11">
        <v>7.0</v>
      </c>
      <c r="F675" s="11">
        <v>1.0</v>
      </c>
      <c r="G675" s="11">
        <v>24.0</v>
      </c>
      <c r="H675" s="9" t="s">
        <v>26</v>
      </c>
      <c r="I675" s="9" t="s">
        <v>3028</v>
      </c>
      <c r="J675" s="9" t="s">
        <v>3029</v>
      </c>
      <c r="K675" s="9" t="s">
        <v>3030</v>
      </c>
      <c r="L675" s="9" t="s">
        <v>30</v>
      </c>
      <c r="M675" s="9" t="s">
        <v>31</v>
      </c>
      <c r="N675" s="9" t="s">
        <v>32</v>
      </c>
      <c r="O675" s="12" t="s">
        <v>33</v>
      </c>
      <c r="P675" s="12" t="s">
        <v>34</v>
      </c>
      <c r="Q675" s="9"/>
      <c r="R675" s="18"/>
      <c r="S675" s="18"/>
      <c r="T675" s="18"/>
      <c r="U675" s="18"/>
      <c r="V675" s="18"/>
      <c r="W675" s="15"/>
      <c r="X675" s="15"/>
    </row>
    <row r="676">
      <c r="A676" s="7">
        <v>675.0</v>
      </c>
      <c r="B676" s="8" t="s">
        <v>3031</v>
      </c>
      <c r="C676" s="9" t="s">
        <v>3032</v>
      </c>
      <c r="D676" s="10" t="str">
        <f>HYPERLINK("https://facebook.com/367089020688300_560660651331135", "367089020688300_560660651331135")</f>
        <v>367089020688300_560660651331135</v>
      </c>
      <c r="E676" s="11">
        <v>42.0</v>
      </c>
      <c r="F676" s="11">
        <v>0.0</v>
      </c>
      <c r="G676" s="11">
        <v>26.0</v>
      </c>
      <c r="H676" s="9" t="s">
        <v>26</v>
      </c>
      <c r="I676" s="9" t="s">
        <v>3033</v>
      </c>
      <c r="J676" s="9" t="s">
        <v>3034</v>
      </c>
      <c r="K676" s="9" t="s">
        <v>3035</v>
      </c>
      <c r="L676" s="9" t="s">
        <v>30</v>
      </c>
      <c r="M676" s="9" t="s">
        <v>31</v>
      </c>
      <c r="N676" s="9" t="s">
        <v>32</v>
      </c>
      <c r="O676" s="12" t="s">
        <v>33</v>
      </c>
      <c r="P676" s="12" t="s">
        <v>34</v>
      </c>
      <c r="Q676" s="9"/>
      <c r="R676" s="18"/>
      <c r="S676" s="18"/>
      <c r="T676" s="18"/>
      <c r="U676" s="18"/>
      <c r="V676" s="18"/>
      <c r="W676" s="15"/>
      <c r="X676" s="15"/>
    </row>
    <row r="677">
      <c r="A677" s="7">
        <v>676.0</v>
      </c>
      <c r="B677" s="8" t="s">
        <v>3036</v>
      </c>
      <c r="C677" s="9" t="s">
        <v>3037</v>
      </c>
      <c r="D677" s="10" t="str">
        <f>HYPERLINK("https://facebook.com/367089020688300_546814819382385", "367089020688300_546814819382385")</f>
        <v>367089020688300_546814819382385</v>
      </c>
      <c r="E677" s="11">
        <v>284.0</v>
      </c>
      <c r="F677" s="11">
        <v>4.0</v>
      </c>
      <c r="G677" s="11">
        <v>205.0</v>
      </c>
      <c r="H677" s="9" t="s">
        <v>26</v>
      </c>
      <c r="I677" s="9" t="s">
        <v>3038</v>
      </c>
      <c r="J677" s="9" t="s">
        <v>3039</v>
      </c>
      <c r="K677" s="9" t="s">
        <v>3040</v>
      </c>
      <c r="L677" s="9" t="s">
        <v>30</v>
      </c>
      <c r="M677" s="9" t="s">
        <v>31</v>
      </c>
      <c r="N677" s="9" t="s">
        <v>32</v>
      </c>
      <c r="O677" s="12" t="s">
        <v>33</v>
      </c>
      <c r="P677" s="12" t="s">
        <v>34</v>
      </c>
      <c r="Q677" s="9"/>
      <c r="R677" s="18"/>
      <c r="S677" s="18"/>
      <c r="T677" s="18"/>
      <c r="U677" s="18"/>
      <c r="V677" s="18"/>
      <c r="W677" s="15"/>
      <c r="X677" s="15"/>
    </row>
    <row r="678">
      <c r="A678" s="7">
        <v>677.0</v>
      </c>
      <c r="B678" s="8" t="s">
        <v>3041</v>
      </c>
      <c r="C678" s="9" t="s">
        <v>3042</v>
      </c>
      <c r="D678" s="10" t="str">
        <f>HYPERLINK("https://facebook.com/367089020688300_528523947878139", "367089020688300_528523947878139")</f>
        <v>367089020688300_528523947878139</v>
      </c>
      <c r="E678" s="11">
        <v>48.0</v>
      </c>
      <c r="F678" s="11">
        <v>1.0</v>
      </c>
      <c r="G678" s="11">
        <v>43.0</v>
      </c>
      <c r="H678" s="9" t="s">
        <v>26</v>
      </c>
      <c r="I678" s="9" t="s">
        <v>3043</v>
      </c>
      <c r="J678" s="9" t="s">
        <v>3044</v>
      </c>
      <c r="K678" s="9" t="s">
        <v>3045</v>
      </c>
      <c r="L678" s="9" t="s">
        <v>30</v>
      </c>
      <c r="M678" s="9" t="s">
        <v>31</v>
      </c>
      <c r="N678" s="9" t="s">
        <v>32</v>
      </c>
      <c r="O678" s="12" t="s">
        <v>33</v>
      </c>
      <c r="P678" s="12" t="s">
        <v>34</v>
      </c>
      <c r="Q678" s="9"/>
      <c r="R678" s="18"/>
      <c r="S678" s="18"/>
      <c r="T678" s="18"/>
      <c r="U678" s="18"/>
      <c r="V678" s="18"/>
      <c r="W678" s="15"/>
      <c r="X678" s="15"/>
    </row>
    <row r="679">
      <c r="A679" s="7">
        <v>678.0</v>
      </c>
      <c r="B679" s="8" t="s">
        <v>3046</v>
      </c>
      <c r="C679" s="9" t="s">
        <v>3047</v>
      </c>
      <c r="D679" s="10" t="str">
        <f>HYPERLINK("https://facebook.com/367089020688300_545225002874700", "367089020688300_545225002874700")</f>
        <v>367089020688300_545225002874700</v>
      </c>
      <c r="E679" s="11">
        <v>16.0</v>
      </c>
      <c r="F679" s="11">
        <v>1.0</v>
      </c>
      <c r="G679" s="11">
        <v>29.0</v>
      </c>
      <c r="H679" s="9" t="s">
        <v>26</v>
      </c>
      <c r="I679" s="9" t="s">
        <v>3048</v>
      </c>
      <c r="J679" s="9" t="s">
        <v>3049</v>
      </c>
      <c r="K679" s="9" t="s">
        <v>3050</v>
      </c>
      <c r="L679" s="9" t="s">
        <v>30</v>
      </c>
      <c r="M679" s="9" t="s">
        <v>31</v>
      </c>
      <c r="N679" s="9" t="s">
        <v>32</v>
      </c>
      <c r="O679" s="12" t="s">
        <v>33</v>
      </c>
      <c r="P679" s="12" t="s">
        <v>34</v>
      </c>
      <c r="Q679" s="9"/>
      <c r="R679" s="18"/>
      <c r="S679" s="18"/>
      <c r="T679" s="18"/>
      <c r="U679" s="18"/>
      <c r="V679" s="18"/>
      <c r="W679" s="15"/>
      <c r="X679" s="15"/>
    </row>
    <row r="680">
      <c r="A680" s="7">
        <v>679.0</v>
      </c>
      <c r="B680" s="8" t="s">
        <v>3051</v>
      </c>
      <c r="C680" s="9" t="s">
        <v>3052</v>
      </c>
      <c r="D680" s="10" t="str">
        <f>HYPERLINK("https://facebook.com/367089020688300_538958793501321", "367089020688300_538958793501321")</f>
        <v>367089020688300_538958793501321</v>
      </c>
      <c r="E680" s="11">
        <v>15.0</v>
      </c>
      <c r="F680" s="11">
        <v>0.0</v>
      </c>
      <c r="G680" s="11">
        <v>16.0</v>
      </c>
      <c r="H680" s="9" t="s">
        <v>26</v>
      </c>
      <c r="I680" s="9" t="s">
        <v>3053</v>
      </c>
      <c r="J680" s="16" t="s">
        <v>3054</v>
      </c>
      <c r="K680" s="9"/>
      <c r="L680" s="9" t="s">
        <v>30</v>
      </c>
      <c r="M680" s="9" t="s">
        <v>31</v>
      </c>
      <c r="N680" s="9" t="s">
        <v>32</v>
      </c>
      <c r="O680" s="12" t="s">
        <v>33</v>
      </c>
      <c r="P680" s="12" t="s">
        <v>34</v>
      </c>
      <c r="Q680" s="9"/>
      <c r="R680" s="18"/>
      <c r="S680" s="18"/>
      <c r="T680" s="18"/>
      <c r="U680" s="18"/>
      <c r="V680" s="18"/>
      <c r="W680" s="15"/>
      <c r="X680" s="15"/>
    </row>
    <row r="681">
      <c r="A681" s="7">
        <v>680.0</v>
      </c>
      <c r="B681" s="8" t="s">
        <v>3055</v>
      </c>
      <c r="C681" s="9" t="s">
        <v>3056</v>
      </c>
      <c r="D681" s="10" t="str">
        <f>HYPERLINK("https://facebook.com/367089020688300_522289915168209", "367089020688300_522289915168209")</f>
        <v>367089020688300_522289915168209</v>
      </c>
      <c r="E681" s="11">
        <v>70.0</v>
      </c>
      <c r="F681" s="11">
        <v>4.0</v>
      </c>
      <c r="G681" s="11">
        <v>162.0</v>
      </c>
      <c r="H681" s="9" t="s">
        <v>26</v>
      </c>
      <c r="I681" s="9" t="s">
        <v>2004</v>
      </c>
      <c r="J681" s="9" t="s">
        <v>2005</v>
      </c>
      <c r="K681" s="9" t="s">
        <v>3057</v>
      </c>
      <c r="L681" s="9" t="s">
        <v>30</v>
      </c>
      <c r="M681" s="9" t="s">
        <v>31</v>
      </c>
      <c r="N681" s="9" t="s">
        <v>32</v>
      </c>
      <c r="O681" s="12" t="s">
        <v>33</v>
      </c>
      <c r="P681" s="12" t="s">
        <v>34</v>
      </c>
      <c r="Q681" s="9"/>
      <c r="R681" s="18"/>
      <c r="S681" s="18"/>
      <c r="T681" s="18"/>
      <c r="U681" s="18"/>
      <c r="V681" s="18"/>
      <c r="W681" s="15"/>
      <c r="X681" s="15"/>
    </row>
    <row r="682">
      <c r="A682" s="7">
        <v>681.0</v>
      </c>
      <c r="B682" s="8" t="s">
        <v>3058</v>
      </c>
      <c r="C682" s="9" t="s">
        <v>3059</v>
      </c>
      <c r="D682" s="10" t="str">
        <f>HYPERLINK("https://facebook.com/367089020688300_505808780149656", "367089020688300_505808780149656")</f>
        <v>367089020688300_505808780149656</v>
      </c>
      <c r="E682" s="11">
        <v>914.0</v>
      </c>
      <c r="F682" s="11">
        <v>57.0</v>
      </c>
      <c r="G682" s="11">
        <v>797.0</v>
      </c>
      <c r="H682" s="9" t="s">
        <v>26</v>
      </c>
      <c r="I682" s="9" t="s">
        <v>3060</v>
      </c>
      <c r="J682" s="9" t="s">
        <v>3061</v>
      </c>
      <c r="K682" s="9" t="s">
        <v>3062</v>
      </c>
      <c r="L682" s="9" t="s">
        <v>30</v>
      </c>
      <c r="M682" s="9" t="s">
        <v>31</v>
      </c>
      <c r="N682" s="9" t="s">
        <v>32</v>
      </c>
      <c r="O682" s="12" t="s">
        <v>33</v>
      </c>
      <c r="P682" s="12" t="s">
        <v>34</v>
      </c>
      <c r="Q682" s="9"/>
      <c r="R682" s="18"/>
      <c r="S682" s="18"/>
      <c r="T682" s="18"/>
      <c r="U682" s="18"/>
      <c r="V682" s="18"/>
      <c r="W682" s="15"/>
      <c r="X682" s="15"/>
    </row>
    <row r="683">
      <c r="A683" s="7">
        <v>682.0</v>
      </c>
      <c r="B683" s="8" t="s">
        <v>3063</v>
      </c>
      <c r="C683" s="9" t="s">
        <v>3064</v>
      </c>
      <c r="D683" s="10" t="str">
        <f>HYPERLINK("https://facebook.com/367089020688300_475986643131870", "367089020688300_475986643131870")</f>
        <v>367089020688300_475986643131870</v>
      </c>
      <c r="E683" s="11">
        <v>103.0</v>
      </c>
      <c r="F683" s="11">
        <v>5.0</v>
      </c>
      <c r="G683" s="11">
        <v>109.0</v>
      </c>
      <c r="H683" s="9" t="s">
        <v>26</v>
      </c>
      <c r="I683" s="9" t="s">
        <v>3065</v>
      </c>
      <c r="J683" s="9" t="s">
        <v>3066</v>
      </c>
      <c r="K683" s="9" t="s">
        <v>3067</v>
      </c>
      <c r="L683" s="9" t="s">
        <v>30</v>
      </c>
      <c r="M683" s="9" t="s">
        <v>31</v>
      </c>
      <c r="N683" s="9" t="s">
        <v>32</v>
      </c>
      <c r="O683" s="12" t="s">
        <v>33</v>
      </c>
      <c r="P683" s="12" t="s">
        <v>34</v>
      </c>
      <c r="Q683" s="9"/>
      <c r="R683" s="18"/>
      <c r="S683" s="18"/>
      <c r="T683" s="18"/>
      <c r="U683" s="18"/>
      <c r="V683" s="18"/>
      <c r="W683" s="15"/>
      <c r="X683" s="15"/>
    </row>
    <row r="684">
      <c r="A684" s="7">
        <v>683.0</v>
      </c>
      <c r="B684" s="8" t="s">
        <v>3068</v>
      </c>
      <c r="C684" s="9" t="s">
        <v>3069</v>
      </c>
      <c r="D684" s="10" t="str">
        <f>HYPERLINK("https://facebook.com/367089020688300_551752358888631", "367089020688300_551752358888631")</f>
        <v>367089020688300_551752358888631</v>
      </c>
      <c r="E684" s="11">
        <v>144.0</v>
      </c>
      <c r="F684" s="11">
        <v>10.0</v>
      </c>
      <c r="G684" s="11">
        <v>146.0</v>
      </c>
      <c r="H684" s="9" t="s">
        <v>26</v>
      </c>
      <c r="I684" s="9" t="s">
        <v>3070</v>
      </c>
      <c r="J684" s="16" t="s">
        <v>3071</v>
      </c>
      <c r="K684" s="9"/>
      <c r="L684" s="9" t="s">
        <v>30</v>
      </c>
      <c r="M684" s="9" t="s">
        <v>31</v>
      </c>
      <c r="N684" s="9" t="s">
        <v>32</v>
      </c>
      <c r="O684" s="12" t="s">
        <v>33</v>
      </c>
      <c r="P684" s="12" t="s">
        <v>34</v>
      </c>
      <c r="Q684" s="9"/>
      <c r="R684" s="18"/>
      <c r="S684" s="18"/>
      <c r="T684" s="18"/>
      <c r="U684" s="18"/>
      <c r="V684" s="18"/>
      <c r="W684" s="15"/>
      <c r="X684" s="15"/>
    </row>
    <row r="685">
      <c r="A685" s="7">
        <v>684.0</v>
      </c>
      <c r="B685" s="8" t="s">
        <v>3072</v>
      </c>
      <c r="C685" s="9" t="s">
        <v>3073</v>
      </c>
      <c r="D685" s="10" t="str">
        <f>HYPERLINK("https://facebook.com/367089020688300_560042334726300", "367089020688300_560042334726300")</f>
        <v>367089020688300_560042334726300</v>
      </c>
      <c r="E685" s="11">
        <v>26.0</v>
      </c>
      <c r="F685" s="11">
        <v>0.0</v>
      </c>
      <c r="G685" s="11">
        <v>46.0</v>
      </c>
      <c r="H685" s="9" t="s">
        <v>26</v>
      </c>
      <c r="I685" s="9" t="s">
        <v>3074</v>
      </c>
      <c r="J685" s="16" t="s">
        <v>3075</v>
      </c>
      <c r="K685" s="9"/>
      <c r="L685" s="9" t="s">
        <v>30</v>
      </c>
      <c r="M685" s="9" t="s">
        <v>31</v>
      </c>
      <c r="N685" s="9" t="s">
        <v>32</v>
      </c>
      <c r="O685" s="12" t="s">
        <v>33</v>
      </c>
      <c r="P685" s="12" t="s">
        <v>34</v>
      </c>
      <c r="Q685" s="9"/>
      <c r="R685" s="18"/>
      <c r="S685" s="18"/>
      <c r="T685" s="18"/>
      <c r="U685" s="18"/>
      <c r="V685" s="18"/>
      <c r="W685" s="15"/>
      <c r="X685" s="15"/>
    </row>
    <row r="686">
      <c r="A686" s="7">
        <v>685.0</v>
      </c>
      <c r="B686" s="8" t="s">
        <v>3076</v>
      </c>
      <c r="C686" s="9" t="s">
        <v>3077</v>
      </c>
      <c r="D686" s="10" t="str">
        <f>HYPERLINK("https://facebook.com/367089020688300_408124973251371", "367089020688300_408124973251371")</f>
        <v>367089020688300_408124973251371</v>
      </c>
      <c r="E686" s="11">
        <v>1269.0</v>
      </c>
      <c r="F686" s="11">
        <v>40.0</v>
      </c>
      <c r="G686" s="11">
        <v>868.0</v>
      </c>
      <c r="H686" s="9" t="s">
        <v>26</v>
      </c>
      <c r="I686" s="9" t="s">
        <v>3078</v>
      </c>
      <c r="J686" s="9" t="s">
        <v>3079</v>
      </c>
      <c r="K686" s="9" t="s">
        <v>3080</v>
      </c>
      <c r="L686" s="9" t="s">
        <v>30</v>
      </c>
      <c r="M686" s="9" t="s">
        <v>31</v>
      </c>
      <c r="N686" s="9" t="s">
        <v>32</v>
      </c>
      <c r="O686" s="12" t="s">
        <v>33</v>
      </c>
      <c r="P686" s="12" t="s">
        <v>34</v>
      </c>
      <c r="Q686" s="9"/>
      <c r="R686" s="18"/>
      <c r="S686" s="18"/>
      <c r="T686" s="18"/>
      <c r="U686" s="18"/>
      <c r="V686" s="18"/>
      <c r="W686" s="15"/>
      <c r="X686" s="15"/>
    </row>
    <row r="687">
      <c r="A687" s="7">
        <v>686.0</v>
      </c>
      <c r="B687" s="8" t="s">
        <v>3081</v>
      </c>
      <c r="C687" s="9" t="s">
        <v>3082</v>
      </c>
      <c r="D687" s="10" t="str">
        <f>HYPERLINK("https://facebook.com/367089020688300_374474496616419", "367089020688300_374474496616419")</f>
        <v>367089020688300_374474496616419</v>
      </c>
      <c r="E687" s="11">
        <v>1066.0</v>
      </c>
      <c r="F687" s="11">
        <v>58.0</v>
      </c>
      <c r="G687" s="11">
        <v>470.0</v>
      </c>
      <c r="H687" s="9" t="s">
        <v>26</v>
      </c>
      <c r="I687" s="9" t="s">
        <v>3083</v>
      </c>
      <c r="J687" s="9" t="s">
        <v>3084</v>
      </c>
      <c r="K687" s="9" t="s">
        <v>3085</v>
      </c>
      <c r="L687" s="9" t="s">
        <v>30</v>
      </c>
      <c r="M687" s="9" t="s">
        <v>31</v>
      </c>
      <c r="N687" s="9" t="s">
        <v>32</v>
      </c>
      <c r="O687" s="12" t="s">
        <v>33</v>
      </c>
      <c r="P687" s="12" t="s">
        <v>34</v>
      </c>
      <c r="Q687" s="9"/>
      <c r="R687" s="18"/>
      <c r="S687" s="18"/>
      <c r="T687" s="18"/>
      <c r="U687" s="18"/>
      <c r="V687" s="18"/>
      <c r="W687" s="15"/>
      <c r="X687" s="15"/>
    </row>
    <row r="688">
      <c r="A688" s="7">
        <v>687.0</v>
      </c>
      <c r="B688" s="8" t="s">
        <v>3086</v>
      </c>
      <c r="C688" s="9" t="s">
        <v>3087</v>
      </c>
      <c r="D688" s="10" t="str">
        <f>HYPERLINK("https://facebook.com/367089020688300_537828983614302", "367089020688300_537828983614302")</f>
        <v>367089020688300_537828983614302</v>
      </c>
      <c r="E688" s="11">
        <v>69.0</v>
      </c>
      <c r="F688" s="11">
        <v>0.0</v>
      </c>
      <c r="G688" s="11">
        <v>11.0</v>
      </c>
      <c r="H688" s="9" t="s">
        <v>26</v>
      </c>
      <c r="I688" s="9" t="s">
        <v>344</v>
      </c>
      <c r="J688" s="16" t="s">
        <v>3088</v>
      </c>
      <c r="K688" s="9"/>
      <c r="L688" s="9" t="s">
        <v>30</v>
      </c>
      <c r="M688" s="9" t="s">
        <v>31</v>
      </c>
      <c r="N688" s="9" t="s">
        <v>32</v>
      </c>
      <c r="O688" s="12" t="s">
        <v>33</v>
      </c>
      <c r="P688" s="12" t="s">
        <v>34</v>
      </c>
      <c r="Q688" s="9"/>
      <c r="R688" s="18"/>
      <c r="S688" s="18"/>
      <c r="T688" s="18"/>
      <c r="U688" s="18"/>
      <c r="V688" s="18"/>
      <c r="W688" s="15"/>
      <c r="X688" s="15"/>
    </row>
    <row r="689">
      <c r="A689" s="7">
        <v>688.0</v>
      </c>
      <c r="B689" s="8" t="s">
        <v>3089</v>
      </c>
      <c r="C689" s="9" t="s">
        <v>3090</v>
      </c>
      <c r="D689" s="10" t="str">
        <f>HYPERLINK("https://facebook.com/367089020688300_549827815747752", "367089020688300_549827815747752")</f>
        <v>367089020688300_549827815747752</v>
      </c>
      <c r="E689" s="11">
        <v>288.0</v>
      </c>
      <c r="F689" s="11">
        <v>5.0</v>
      </c>
      <c r="G689" s="11">
        <v>182.0</v>
      </c>
      <c r="H689" s="9" t="s">
        <v>26</v>
      </c>
      <c r="I689" s="9" t="s">
        <v>3091</v>
      </c>
      <c r="J689" s="9" t="s">
        <v>3092</v>
      </c>
      <c r="K689" s="9" t="s">
        <v>3093</v>
      </c>
      <c r="L689" s="9" t="s">
        <v>30</v>
      </c>
      <c r="M689" s="9" t="s">
        <v>31</v>
      </c>
      <c r="N689" s="9" t="s">
        <v>32</v>
      </c>
      <c r="O689" s="12" t="s">
        <v>33</v>
      </c>
      <c r="P689" s="12" t="s">
        <v>34</v>
      </c>
      <c r="Q689" s="9"/>
      <c r="R689" s="18"/>
      <c r="S689" s="18"/>
      <c r="T689" s="18"/>
      <c r="U689" s="18"/>
      <c r="V689" s="18"/>
      <c r="W689" s="15"/>
      <c r="X689" s="15"/>
    </row>
    <row r="690">
      <c r="A690" s="7">
        <v>689.0</v>
      </c>
      <c r="B690" s="8" t="s">
        <v>3094</v>
      </c>
      <c r="C690" s="9" t="s">
        <v>3095</v>
      </c>
      <c r="D690" s="10" t="str">
        <f>HYPERLINK("https://facebook.com/367089020688300_449704865760048", "367089020688300_449704865760048")</f>
        <v>367089020688300_449704865760048</v>
      </c>
      <c r="E690" s="11">
        <v>445.0</v>
      </c>
      <c r="F690" s="11">
        <v>26.0</v>
      </c>
      <c r="G690" s="11">
        <v>431.0</v>
      </c>
      <c r="H690" s="9" t="s">
        <v>26</v>
      </c>
      <c r="I690" s="9" t="s">
        <v>3096</v>
      </c>
      <c r="J690" s="9" t="s">
        <v>3097</v>
      </c>
      <c r="K690" s="9" t="s">
        <v>493</v>
      </c>
      <c r="L690" s="9" t="s">
        <v>30</v>
      </c>
      <c r="M690" s="9" t="s">
        <v>31</v>
      </c>
      <c r="N690" s="9" t="s">
        <v>32</v>
      </c>
      <c r="O690" s="12" t="s">
        <v>33</v>
      </c>
      <c r="P690" s="12" t="s">
        <v>34</v>
      </c>
      <c r="Q690" s="9"/>
      <c r="R690" s="18"/>
      <c r="S690" s="18"/>
      <c r="T690" s="18"/>
      <c r="U690" s="18"/>
      <c r="V690" s="18"/>
      <c r="W690" s="15"/>
      <c r="X690" s="15"/>
    </row>
    <row r="691">
      <c r="A691" s="7">
        <v>690.0</v>
      </c>
      <c r="B691" s="8" t="s">
        <v>3098</v>
      </c>
      <c r="C691" s="9" t="s">
        <v>3099</v>
      </c>
      <c r="D691" s="10" t="str">
        <f>HYPERLINK("https://facebook.com/367089020688300_561440837919783", "367089020688300_561440837919783")</f>
        <v>367089020688300_561440837919783</v>
      </c>
      <c r="E691" s="11">
        <v>50.0</v>
      </c>
      <c r="F691" s="11">
        <v>1.0</v>
      </c>
      <c r="G691" s="11">
        <v>47.0</v>
      </c>
      <c r="H691" s="9" t="s">
        <v>26</v>
      </c>
      <c r="I691" s="9" t="s">
        <v>1244</v>
      </c>
      <c r="J691" s="9" t="s">
        <v>1245</v>
      </c>
      <c r="K691" s="9" t="s">
        <v>3100</v>
      </c>
      <c r="L691" s="9" t="s">
        <v>30</v>
      </c>
      <c r="M691" s="9" t="s">
        <v>31</v>
      </c>
      <c r="N691" s="9" t="s">
        <v>32</v>
      </c>
      <c r="O691" s="12" t="s">
        <v>33</v>
      </c>
      <c r="P691" s="12" t="s">
        <v>34</v>
      </c>
      <c r="Q691" s="9"/>
      <c r="R691" s="18"/>
      <c r="S691" s="18"/>
      <c r="T691" s="18"/>
      <c r="U691" s="18"/>
      <c r="V691" s="18"/>
      <c r="W691" s="15"/>
      <c r="X691" s="15"/>
    </row>
    <row r="692">
      <c r="A692" s="7">
        <v>691.0</v>
      </c>
      <c r="B692" s="8" t="s">
        <v>3101</v>
      </c>
      <c r="C692" s="9" t="s">
        <v>3102</v>
      </c>
      <c r="D692" s="10" t="str">
        <f>HYPERLINK("https://facebook.com/367089020688300_556555581741642", "367089020688300_556555581741642")</f>
        <v>367089020688300_556555581741642</v>
      </c>
      <c r="E692" s="11">
        <v>169.0</v>
      </c>
      <c r="F692" s="11">
        <v>6.0</v>
      </c>
      <c r="G692" s="11">
        <v>118.0</v>
      </c>
      <c r="H692" s="9" t="s">
        <v>26</v>
      </c>
      <c r="I692" s="9" t="s">
        <v>3103</v>
      </c>
      <c r="J692" s="16" t="s">
        <v>3104</v>
      </c>
      <c r="K692" s="9"/>
      <c r="L692" s="9" t="s">
        <v>30</v>
      </c>
      <c r="M692" s="9" t="s">
        <v>31</v>
      </c>
      <c r="N692" s="9" t="s">
        <v>32</v>
      </c>
      <c r="O692" s="12" t="s">
        <v>33</v>
      </c>
      <c r="P692" s="12" t="s">
        <v>34</v>
      </c>
      <c r="Q692" s="9"/>
      <c r="R692" s="18"/>
      <c r="S692" s="18"/>
      <c r="T692" s="18"/>
      <c r="U692" s="18"/>
      <c r="V692" s="18"/>
      <c r="W692" s="15"/>
      <c r="X692" s="15"/>
    </row>
    <row r="693">
      <c r="A693" s="7">
        <v>692.0</v>
      </c>
      <c r="B693" s="8" t="s">
        <v>3105</v>
      </c>
      <c r="C693" s="9" t="s">
        <v>3106</v>
      </c>
      <c r="D693" s="10" t="str">
        <f>HYPERLINK("https://facebook.com/367089020688300_474422026621665", "367089020688300_474422026621665")</f>
        <v>367089020688300_474422026621665</v>
      </c>
      <c r="E693" s="11">
        <v>86.0</v>
      </c>
      <c r="F693" s="11">
        <v>1.0</v>
      </c>
      <c r="G693" s="11">
        <v>39.0</v>
      </c>
      <c r="H693" s="9" t="s">
        <v>26</v>
      </c>
      <c r="I693" s="9" t="s">
        <v>3107</v>
      </c>
      <c r="J693" s="9" t="s">
        <v>3108</v>
      </c>
      <c r="K693" s="9" t="s">
        <v>3109</v>
      </c>
      <c r="L693" s="9" t="s">
        <v>30</v>
      </c>
      <c r="M693" s="9" t="s">
        <v>31</v>
      </c>
      <c r="N693" s="9" t="s">
        <v>32</v>
      </c>
      <c r="O693" s="12" t="s">
        <v>33</v>
      </c>
      <c r="P693" s="12" t="s">
        <v>34</v>
      </c>
      <c r="Q693" s="9"/>
      <c r="R693" s="18"/>
      <c r="S693" s="18"/>
      <c r="T693" s="18"/>
      <c r="U693" s="18"/>
      <c r="V693" s="18"/>
      <c r="W693" s="15"/>
      <c r="X693" s="15"/>
    </row>
    <row r="694">
      <c r="A694" s="7">
        <v>693.0</v>
      </c>
      <c r="B694" s="8" t="s">
        <v>3110</v>
      </c>
      <c r="C694" s="9" t="s">
        <v>3111</v>
      </c>
      <c r="D694" s="10" t="str">
        <f>HYPERLINK("https://facebook.com/367089020688300_535044223892778", "367089020688300_535044223892778")</f>
        <v>367089020688300_535044223892778</v>
      </c>
      <c r="E694" s="11">
        <v>163.0</v>
      </c>
      <c r="F694" s="11">
        <v>3.0</v>
      </c>
      <c r="G694" s="11">
        <v>106.0</v>
      </c>
      <c r="H694" s="9" t="s">
        <v>26</v>
      </c>
      <c r="I694" s="9" t="s">
        <v>3112</v>
      </c>
      <c r="J694" s="9" t="s">
        <v>3113</v>
      </c>
      <c r="K694" s="9" t="s">
        <v>3114</v>
      </c>
      <c r="L694" s="9" t="s">
        <v>30</v>
      </c>
      <c r="M694" s="9" t="s">
        <v>31</v>
      </c>
      <c r="N694" s="9" t="s">
        <v>32</v>
      </c>
      <c r="O694" s="12" t="s">
        <v>33</v>
      </c>
      <c r="P694" s="12" t="s">
        <v>34</v>
      </c>
      <c r="Q694" s="9"/>
      <c r="R694" s="18"/>
      <c r="S694" s="18"/>
      <c r="T694" s="18"/>
      <c r="U694" s="18"/>
      <c r="V694" s="18"/>
      <c r="W694" s="15"/>
      <c r="X694" s="15"/>
    </row>
    <row r="695">
      <c r="A695" s="7">
        <v>694.0</v>
      </c>
      <c r="B695" s="8" t="s">
        <v>3115</v>
      </c>
      <c r="C695" s="9" t="s">
        <v>3116</v>
      </c>
      <c r="D695" s="10" t="str">
        <f>HYPERLINK("https://facebook.com/367089020688300_561209251276275", "367089020688300_561209251276275")</f>
        <v>367089020688300_561209251276275</v>
      </c>
      <c r="E695" s="11">
        <v>3.0</v>
      </c>
      <c r="F695" s="11">
        <v>0.0</v>
      </c>
      <c r="G695" s="11">
        <v>0.0</v>
      </c>
      <c r="H695" s="9" t="s">
        <v>26</v>
      </c>
      <c r="I695" s="9" t="s">
        <v>3117</v>
      </c>
      <c r="J695" s="9" t="s">
        <v>3118</v>
      </c>
      <c r="K695" s="9" t="s">
        <v>3119</v>
      </c>
      <c r="L695" s="9" t="s">
        <v>30</v>
      </c>
      <c r="M695" s="9" t="s">
        <v>31</v>
      </c>
      <c r="N695" s="9" t="s">
        <v>32</v>
      </c>
      <c r="O695" s="12" t="s">
        <v>33</v>
      </c>
      <c r="P695" s="12" t="s">
        <v>34</v>
      </c>
      <c r="Q695" s="9"/>
      <c r="R695" s="18"/>
      <c r="S695" s="18"/>
      <c r="T695" s="18"/>
      <c r="U695" s="18"/>
      <c r="V695" s="18"/>
      <c r="W695" s="15"/>
      <c r="X695" s="15"/>
    </row>
    <row r="696">
      <c r="A696" s="7">
        <v>695.0</v>
      </c>
      <c r="B696" s="8" t="s">
        <v>3120</v>
      </c>
      <c r="C696" s="9" t="s">
        <v>3121</v>
      </c>
      <c r="D696" s="10" t="str">
        <f>HYPERLINK("https://facebook.com/367089020688300_387383958658806", "367089020688300_387383958658806")</f>
        <v>367089020688300_387383958658806</v>
      </c>
      <c r="E696" s="11">
        <v>334.0</v>
      </c>
      <c r="F696" s="11">
        <v>15.0</v>
      </c>
      <c r="G696" s="11">
        <v>305.0</v>
      </c>
      <c r="H696" s="9" t="s">
        <v>26</v>
      </c>
      <c r="I696" s="9" t="s">
        <v>3122</v>
      </c>
      <c r="J696" s="16" t="s">
        <v>3123</v>
      </c>
      <c r="K696" s="9"/>
      <c r="L696" s="9" t="s">
        <v>30</v>
      </c>
      <c r="M696" s="9" t="s">
        <v>31</v>
      </c>
      <c r="N696" s="9" t="s">
        <v>32</v>
      </c>
      <c r="O696" s="12" t="s">
        <v>33</v>
      </c>
      <c r="P696" s="12" t="s">
        <v>34</v>
      </c>
      <c r="Q696" s="9"/>
      <c r="R696" s="18"/>
      <c r="S696" s="18"/>
      <c r="T696" s="18"/>
      <c r="U696" s="18"/>
      <c r="V696" s="18"/>
      <c r="W696" s="15"/>
      <c r="X696" s="15"/>
    </row>
    <row r="697">
      <c r="A697" s="7">
        <v>696.0</v>
      </c>
      <c r="B697" s="8" t="s">
        <v>3124</v>
      </c>
      <c r="C697" s="9" t="s">
        <v>3125</v>
      </c>
      <c r="D697" s="10" t="str">
        <f>HYPERLINK("https://facebook.com/367089020688300_506269810103553", "367089020688300_506269810103553")</f>
        <v>367089020688300_506269810103553</v>
      </c>
      <c r="E697" s="11">
        <v>232.0</v>
      </c>
      <c r="F697" s="11">
        <v>3.0</v>
      </c>
      <c r="G697" s="11">
        <v>279.0</v>
      </c>
      <c r="H697" s="9" t="s">
        <v>26</v>
      </c>
      <c r="I697" s="9" t="s">
        <v>3126</v>
      </c>
      <c r="J697" s="16" t="s">
        <v>3127</v>
      </c>
      <c r="K697" s="9"/>
      <c r="L697" s="9" t="s">
        <v>30</v>
      </c>
      <c r="M697" s="9" t="s">
        <v>31</v>
      </c>
      <c r="N697" s="9" t="s">
        <v>32</v>
      </c>
      <c r="O697" s="12" t="s">
        <v>33</v>
      </c>
      <c r="P697" s="12" t="s">
        <v>34</v>
      </c>
      <c r="Q697" s="9"/>
      <c r="R697" s="18"/>
      <c r="S697" s="18"/>
      <c r="T697" s="18"/>
      <c r="U697" s="18"/>
      <c r="V697" s="18"/>
      <c r="W697" s="15"/>
      <c r="X697" s="15"/>
    </row>
    <row r="698">
      <c r="A698" s="7">
        <v>697.0</v>
      </c>
      <c r="B698" s="8" t="s">
        <v>3128</v>
      </c>
      <c r="C698" s="9" t="s">
        <v>3129</v>
      </c>
      <c r="D698" s="10" t="str">
        <f>HYPERLINK("https://facebook.com/367089020688300_395308514533017", "367089020688300_395308514533017")</f>
        <v>367089020688300_395308514533017</v>
      </c>
      <c r="E698" s="11">
        <v>491.0</v>
      </c>
      <c r="F698" s="11">
        <v>10.0</v>
      </c>
      <c r="G698" s="11">
        <v>723.0</v>
      </c>
      <c r="H698" s="9" t="s">
        <v>26</v>
      </c>
      <c r="I698" s="9" t="s">
        <v>3130</v>
      </c>
      <c r="J698" s="9" t="s">
        <v>3131</v>
      </c>
      <c r="K698" s="9" t="s">
        <v>3132</v>
      </c>
      <c r="L698" s="9" t="s">
        <v>30</v>
      </c>
      <c r="M698" s="9" t="s">
        <v>31</v>
      </c>
      <c r="N698" s="9" t="s">
        <v>32</v>
      </c>
      <c r="O698" s="12" t="s">
        <v>33</v>
      </c>
      <c r="P698" s="12" t="s">
        <v>34</v>
      </c>
      <c r="Q698" s="9"/>
      <c r="R698" s="18"/>
      <c r="S698" s="18"/>
      <c r="T698" s="18"/>
      <c r="U698" s="18"/>
      <c r="V698" s="18"/>
      <c r="W698" s="15"/>
      <c r="X698" s="15"/>
    </row>
    <row r="699">
      <c r="A699" s="7">
        <v>698.0</v>
      </c>
      <c r="B699" s="8" t="s">
        <v>3133</v>
      </c>
      <c r="C699" s="9" t="s">
        <v>3134</v>
      </c>
      <c r="D699" s="10" t="str">
        <f>HYPERLINK("https://facebook.com/367089020688300_543636916366842", "367089020688300_543636916366842")</f>
        <v>367089020688300_543636916366842</v>
      </c>
      <c r="E699" s="11">
        <v>220.0</v>
      </c>
      <c r="F699" s="11">
        <v>5.0</v>
      </c>
      <c r="G699" s="11">
        <v>113.0</v>
      </c>
      <c r="H699" s="9" t="s">
        <v>26</v>
      </c>
      <c r="I699" s="9" t="s">
        <v>3135</v>
      </c>
      <c r="J699" s="9" t="s">
        <v>3136</v>
      </c>
      <c r="K699" s="9" t="s">
        <v>3137</v>
      </c>
      <c r="L699" s="9" t="s">
        <v>30</v>
      </c>
      <c r="M699" s="9" t="s">
        <v>31</v>
      </c>
      <c r="N699" s="9" t="s">
        <v>32</v>
      </c>
      <c r="O699" s="12" t="s">
        <v>33</v>
      </c>
      <c r="P699" s="12" t="s">
        <v>34</v>
      </c>
      <c r="Q699" s="9"/>
      <c r="R699" s="18"/>
      <c r="S699" s="18"/>
      <c r="T699" s="18"/>
      <c r="U699" s="18"/>
      <c r="V699" s="18"/>
      <c r="W699" s="15"/>
      <c r="X699" s="15"/>
    </row>
    <row r="700">
      <c r="A700" s="7">
        <v>699.0</v>
      </c>
      <c r="B700" s="8" t="s">
        <v>3138</v>
      </c>
      <c r="C700" s="9" t="s">
        <v>3139</v>
      </c>
      <c r="D700" s="10" t="str">
        <f>HYPERLINK("https://facebook.com/367089020688300_396331787764023", "367089020688300_396331787764023")</f>
        <v>367089020688300_396331787764023</v>
      </c>
      <c r="E700" s="11">
        <v>1692.0</v>
      </c>
      <c r="F700" s="11">
        <v>88.0</v>
      </c>
      <c r="G700" s="11">
        <v>1045.0</v>
      </c>
      <c r="H700" s="9" t="s">
        <v>26</v>
      </c>
      <c r="I700" s="9" t="s">
        <v>3140</v>
      </c>
      <c r="J700" s="9" t="s">
        <v>3141</v>
      </c>
      <c r="K700" s="9" t="s">
        <v>3142</v>
      </c>
      <c r="L700" s="9" t="s">
        <v>30</v>
      </c>
      <c r="M700" s="9" t="s">
        <v>31</v>
      </c>
      <c r="N700" s="9" t="s">
        <v>32</v>
      </c>
      <c r="O700" s="12" t="s">
        <v>33</v>
      </c>
      <c r="P700" s="12" t="s">
        <v>34</v>
      </c>
      <c r="Q700" s="9"/>
      <c r="R700" s="18"/>
      <c r="S700" s="18"/>
      <c r="T700" s="18"/>
      <c r="U700" s="18"/>
      <c r="V700" s="18"/>
      <c r="W700" s="15"/>
      <c r="X700" s="15"/>
    </row>
    <row r="701">
      <c r="A701" s="7">
        <v>700.0</v>
      </c>
      <c r="B701" s="8" t="s">
        <v>3143</v>
      </c>
      <c r="C701" s="9" t="s">
        <v>3144</v>
      </c>
      <c r="D701" s="10" t="str">
        <f>HYPERLINK("https://facebook.com/367089020688300_417192989011236", "367089020688300_417192989011236")</f>
        <v>367089020688300_417192989011236</v>
      </c>
      <c r="E701" s="11">
        <v>378.0</v>
      </c>
      <c r="F701" s="11">
        <v>3.0</v>
      </c>
      <c r="G701" s="11">
        <v>117.0</v>
      </c>
      <c r="H701" s="9" t="s">
        <v>26</v>
      </c>
      <c r="I701" s="9" t="s">
        <v>3145</v>
      </c>
      <c r="J701" s="9" t="s">
        <v>3146</v>
      </c>
      <c r="K701" s="9" t="s">
        <v>3147</v>
      </c>
      <c r="L701" s="9" t="s">
        <v>30</v>
      </c>
      <c r="M701" s="9" t="s">
        <v>31</v>
      </c>
      <c r="N701" s="9" t="s">
        <v>32</v>
      </c>
      <c r="O701" s="12" t="s">
        <v>33</v>
      </c>
      <c r="P701" s="12" t="s">
        <v>34</v>
      </c>
      <c r="Q701" s="9"/>
      <c r="R701" s="18"/>
      <c r="S701" s="18"/>
      <c r="T701" s="18"/>
      <c r="U701" s="18"/>
      <c r="V701" s="18"/>
      <c r="W701" s="15"/>
      <c r="X701" s="15"/>
    </row>
    <row r="702">
      <c r="A702" s="7">
        <v>701.0</v>
      </c>
      <c r="B702" s="8" t="s">
        <v>3148</v>
      </c>
      <c r="C702" s="9" t="s">
        <v>3149</v>
      </c>
      <c r="D702" s="10" t="str">
        <f>HYPERLINK("https://facebook.com/367089020688300_563159701081230", "367089020688300_563159701081230")</f>
        <v>367089020688300_563159701081230</v>
      </c>
      <c r="E702" s="11">
        <v>112.0</v>
      </c>
      <c r="F702" s="11">
        <v>0.0</v>
      </c>
      <c r="G702" s="11">
        <v>17.0</v>
      </c>
      <c r="H702" s="9" t="s">
        <v>26</v>
      </c>
      <c r="I702" s="9" t="s">
        <v>3150</v>
      </c>
      <c r="J702" s="16" t="s">
        <v>3151</v>
      </c>
      <c r="K702" s="9"/>
      <c r="L702" s="9" t="s">
        <v>30</v>
      </c>
      <c r="M702" s="9" t="s">
        <v>31</v>
      </c>
      <c r="N702" s="9" t="s">
        <v>32</v>
      </c>
      <c r="O702" s="12" t="s">
        <v>33</v>
      </c>
      <c r="P702" s="12" t="s">
        <v>34</v>
      </c>
      <c r="Q702" s="9"/>
      <c r="R702" s="18"/>
      <c r="S702" s="18"/>
      <c r="T702" s="18"/>
      <c r="U702" s="18"/>
      <c r="V702" s="18"/>
      <c r="W702" s="15"/>
      <c r="X702" s="15"/>
    </row>
    <row r="703">
      <c r="A703" s="7">
        <v>702.0</v>
      </c>
      <c r="B703" s="8" t="s">
        <v>3152</v>
      </c>
      <c r="C703" s="9" t="s">
        <v>3153</v>
      </c>
      <c r="D703" s="10" t="str">
        <f>HYPERLINK("https://facebook.com/367089020688300_558788441518356", "367089020688300_558788441518356")</f>
        <v>367089020688300_558788441518356</v>
      </c>
      <c r="E703" s="11">
        <v>138.0</v>
      </c>
      <c r="F703" s="11">
        <v>4.0</v>
      </c>
      <c r="G703" s="11">
        <v>49.0</v>
      </c>
      <c r="H703" s="9" t="s">
        <v>26</v>
      </c>
      <c r="I703" s="9" t="s">
        <v>3154</v>
      </c>
      <c r="J703" s="9" t="s">
        <v>3155</v>
      </c>
      <c r="K703" s="9" t="s">
        <v>3156</v>
      </c>
      <c r="L703" s="9" t="s">
        <v>30</v>
      </c>
      <c r="M703" s="9" t="s">
        <v>31</v>
      </c>
      <c r="N703" s="9" t="s">
        <v>32</v>
      </c>
      <c r="O703" s="12" t="s">
        <v>33</v>
      </c>
      <c r="P703" s="12" t="s">
        <v>34</v>
      </c>
      <c r="Q703" s="9"/>
      <c r="R703" s="18"/>
      <c r="S703" s="18"/>
      <c r="T703" s="18"/>
      <c r="U703" s="18"/>
      <c r="V703" s="18"/>
      <c r="W703" s="15"/>
      <c r="X703" s="15"/>
    </row>
    <row r="704">
      <c r="A704" s="7">
        <v>703.0</v>
      </c>
      <c r="B704" s="8" t="s">
        <v>3157</v>
      </c>
      <c r="C704" s="9" t="s">
        <v>3158</v>
      </c>
      <c r="D704" s="10" t="str">
        <f>HYPERLINK("https://facebook.com/367089020688300_537229417007592", "367089020688300_537229417007592")</f>
        <v>367089020688300_537229417007592</v>
      </c>
      <c r="E704" s="11">
        <v>464.0</v>
      </c>
      <c r="F704" s="11">
        <v>0.0</v>
      </c>
      <c r="G704" s="11">
        <v>112.0</v>
      </c>
      <c r="H704" s="9" t="s">
        <v>26</v>
      </c>
      <c r="I704" s="9" t="s">
        <v>3159</v>
      </c>
      <c r="J704" s="16" t="s">
        <v>3160</v>
      </c>
      <c r="K704" s="9"/>
      <c r="L704" s="9" t="s">
        <v>30</v>
      </c>
      <c r="M704" s="9" t="s">
        <v>31</v>
      </c>
      <c r="N704" s="9" t="s">
        <v>32</v>
      </c>
      <c r="O704" s="12" t="s">
        <v>33</v>
      </c>
      <c r="P704" s="12" t="s">
        <v>34</v>
      </c>
      <c r="Q704" s="9"/>
      <c r="R704" s="18"/>
      <c r="S704" s="18"/>
      <c r="T704" s="18"/>
      <c r="U704" s="18"/>
      <c r="V704" s="18"/>
      <c r="W704" s="15"/>
      <c r="X704" s="15"/>
    </row>
    <row r="705">
      <c r="A705" s="7">
        <v>704.0</v>
      </c>
      <c r="B705" s="8" t="s">
        <v>3161</v>
      </c>
      <c r="C705" s="9" t="s">
        <v>3162</v>
      </c>
      <c r="D705" s="10" t="str">
        <f>HYPERLINK("https://facebook.com/367089020688300_492767244787143", "367089020688300_492767244787143")</f>
        <v>367089020688300_492767244787143</v>
      </c>
      <c r="E705" s="11">
        <v>190.0</v>
      </c>
      <c r="F705" s="11">
        <v>4.0</v>
      </c>
      <c r="G705" s="11">
        <v>173.0</v>
      </c>
      <c r="H705" s="9" t="s">
        <v>26</v>
      </c>
      <c r="I705" s="9" t="s">
        <v>3163</v>
      </c>
      <c r="J705" s="9" t="s">
        <v>3164</v>
      </c>
      <c r="K705" s="9" t="s">
        <v>3165</v>
      </c>
      <c r="L705" s="9" t="s">
        <v>30</v>
      </c>
      <c r="M705" s="9" t="s">
        <v>31</v>
      </c>
      <c r="N705" s="9" t="s">
        <v>32</v>
      </c>
      <c r="O705" s="12" t="s">
        <v>33</v>
      </c>
      <c r="P705" s="12" t="s">
        <v>34</v>
      </c>
      <c r="Q705" s="9"/>
      <c r="R705" s="18"/>
      <c r="S705" s="18"/>
      <c r="T705" s="18"/>
      <c r="U705" s="18"/>
      <c r="V705" s="18"/>
      <c r="W705" s="15"/>
      <c r="X705" s="15"/>
    </row>
    <row r="706">
      <c r="A706" s="7">
        <v>705.0</v>
      </c>
      <c r="B706" s="8" t="s">
        <v>3166</v>
      </c>
      <c r="C706" s="9" t="s">
        <v>3167</v>
      </c>
      <c r="D706" s="10" t="str">
        <f>HYPERLINK("https://facebook.com/367089020688300_540620060001861", "367089020688300_540620060001861")</f>
        <v>367089020688300_540620060001861</v>
      </c>
      <c r="E706" s="11">
        <v>16.0</v>
      </c>
      <c r="F706" s="11">
        <v>0.0</v>
      </c>
      <c r="G706" s="11">
        <v>15.0</v>
      </c>
      <c r="H706" s="9" t="s">
        <v>26</v>
      </c>
      <c r="I706" s="9" t="s">
        <v>3168</v>
      </c>
      <c r="J706" s="9" t="s">
        <v>3169</v>
      </c>
      <c r="K706" s="9" t="s">
        <v>51</v>
      </c>
      <c r="L706" s="9" t="s">
        <v>30</v>
      </c>
      <c r="M706" s="9" t="s">
        <v>31</v>
      </c>
      <c r="N706" s="9" t="s">
        <v>32</v>
      </c>
      <c r="O706" s="12" t="s">
        <v>33</v>
      </c>
      <c r="P706" s="12" t="s">
        <v>34</v>
      </c>
      <c r="Q706" s="9"/>
      <c r="R706" s="18"/>
      <c r="S706" s="18"/>
      <c r="T706" s="18"/>
      <c r="U706" s="18"/>
      <c r="V706" s="18"/>
      <c r="W706" s="15"/>
      <c r="X706" s="15"/>
    </row>
    <row r="707">
      <c r="A707" s="7">
        <v>706.0</v>
      </c>
      <c r="B707" s="8" t="s">
        <v>3170</v>
      </c>
      <c r="C707" s="9" t="s">
        <v>3171</v>
      </c>
      <c r="D707" s="10" t="str">
        <f>HYPERLINK("https://facebook.com/367089020688300_495811364482731", "367089020688300_495811364482731")</f>
        <v>367089020688300_495811364482731</v>
      </c>
      <c r="E707" s="11">
        <v>796.0</v>
      </c>
      <c r="F707" s="11">
        <v>9.0</v>
      </c>
      <c r="G707" s="11">
        <v>132.0</v>
      </c>
      <c r="H707" s="9" t="s">
        <v>26</v>
      </c>
      <c r="I707" s="9" t="s">
        <v>3172</v>
      </c>
      <c r="J707" s="9" t="s">
        <v>3173</v>
      </c>
      <c r="K707" s="9" t="s">
        <v>3174</v>
      </c>
      <c r="L707" s="9" t="s">
        <v>30</v>
      </c>
      <c r="M707" s="9" t="s">
        <v>31</v>
      </c>
      <c r="N707" s="9" t="s">
        <v>32</v>
      </c>
      <c r="O707" s="12" t="s">
        <v>33</v>
      </c>
      <c r="P707" s="12" t="s">
        <v>34</v>
      </c>
      <c r="Q707" s="9"/>
      <c r="R707" s="18"/>
      <c r="S707" s="18"/>
      <c r="T707" s="18"/>
      <c r="U707" s="18"/>
      <c r="V707" s="18"/>
      <c r="W707" s="15"/>
      <c r="X707" s="15"/>
    </row>
    <row r="708">
      <c r="A708" s="7">
        <v>707.0</v>
      </c>
      <c r="B708" s="8" t="s">
        <v>3175</v>
      </c>
      <c r="C708" s="9" t="s">
        <v>3176</v>
      </c>
      <c r="D708" s="10" t="str">
        <f>HYPERLINK("https://facebook.com/367089020688300_546080626122471", "367089020688300_546080626122471")</f>
        <v>367089020688300_546080626122471</v>
      </c>
      <c r="E708" s="11">
        <v>39.0</v>
      </c>
      <c r="F708" s="11">
        <v>0.0</v>
      </c>
      <c r="G708" s="11">
        <v>77.0</v>
      </c>
      <c r="H708" s="9" t="s">
        <v>26</v>
      </c>
      <c r="I708" s="9" t="s">
        <v>3177</v>
      </c>
      <c r="J708" s="16" t="s">
        <v>3178</v>
      </c>
      <c r="K708" s="9"/>
      <c r="L708" s="9" t="s">
        <v>30</v>
      </c>
      <c r="M708" s="9" t="s">
        <v>31</v>
      </c>
      <c r="N708" s="9" t="s">
        <v>32</v>
      </c>
      <c r="O708" s="12" t="s">
        <v>33</v>
      </c>
      <c r="P708" s="12" t="s">
        <v>34</v>
      </c>
      <c r="Q708" s="9"/>
      <c r="R708" s="18"/>
      <c r="S708" s="18"/>
      <c r="T708" s="18"/>
      <c r="U708" s="18"/>
      <c r="V708" s="18"/>
      <c r="W708" s="15"/>
      <c r="X708" s="15"/>
    </row>
    <row r="709">
      <c r="A709" s="7">
        <v>708.0</v>
      </c>
      <c r="B709" s="8" t="s">
        <v>3179</v>
      </c>
      <c r="C709" s="9" t="s">
        <v>3180</v>
      </c>
      <c r="D709" s="10" t="str">
        <f>HYPERLINK("https://facebook.com/367089020688300_533857534011447", "367089020688300_533857534011447")</f>
        <v>367089020688300_533857534011447</v>
      </c>
      <c r="E709" s="11">
        <v>2976.0</v>
      </c>
      <c r="F709" s="11">
        <v>86.0</v>
      </c>
      <c r="G709" s="11">
        <v>973.0</v>
      </c>
      <c r="H709" s="9" t="s">
        <v>26</v>
      </c>
      <c r="I709" s="9" t="s">
        <v>3181</v>
      </c>
      <c r="J709" s="16" t="s">
        <v>3182</v>
      </c>
      <c r="K709" s="9"/>
      <c r="L709" s="9" t="s">
        <v>30</v>
      </c>
      <c r="M709" s="9" t="s">
        <v>31</v>
      </c>
      <c r="N709" s="9" t="s">
        <v>32</v>
      </c>
      <c r="O709" s="12" t="s">
        <v>33</v>
      </c>
      <c r="P709" s="12" t="s">
        <v>34</v>
      </c>
      <c r="Q709" s="9"/>
      <c r="R709" s="18"/>
      <c r="S709" s="18"/>
      <c r="T709" s="18"/>
      <c r="U709" s="18"/>
      <c r="V709" s="18"/>
      <c r="W709" s="15"/>
      <c r="X709" s="15"/>
    </row>
    <row r="710">
      <c r="A710" s="7">
        <v>709.0</v>
      </c>
      <c r="B710" s="8" t="s">
        <v>3183</v>
      </c>
      <c r="C710" s="9" t="s">
        <v>3184</v>
      </c>
      <c r="D710" s="10" t="str">
        <f>HYPERLINK("https://facebook.com/367089020688300_489531038444097", "367089020688300_489531038444097")</f>
        <v>367089020688300_489531038444097</v>
      </c>
      <c r="E710" s="11">
        <v>325.0</v>
      </c>
      <c r="F710" s="11">
        <v>32.0</v>
      </c>
      <c r="G710" s="11">
        <v>226.0</v>
      </c>
      <c r="H710" s="9" t="s">
        <v>26</v>
      </c>
      <c r="I710" s="9" t="s">
        <v>2076</v>
      </c>
      <c r="J710" s="9" t="s">
        <v>3185</v>
      </c>
      <c r="K710" s="9" t="s">
        <v>3186</v>
      </c>
      <c r="L710" s="9" t="s">
        <v>30</v>
      </c>
      <c r="M710" s="9" t="s">
        <v>31</v>
      </c>
      <c r="N710" s="9" t="s">
        <v>32</v>
      </c>
      <c r="O710" s="12" t="s">
        <v>33</v>
      </c>
      <c r="P710" s="12" t="s">
        <v>34</v>
      </c>
      <c r="Q710" s="9"/>
      <c r="R710" s="18"/>
      <c r="S710" s="18"/>
      <c r="T710" s="18"/>
      <c r="U710" s="18"/>
      <c r="V710" s="18"/>
      <c r="W710" s="15"/>
      <c r="X710" s="15"/>
    </row>
    <row r="711">
      <c r="A711" s="7">
        <v>710.0</v>
      </c>
      <c r="B711" s="8" t="s">
        <v>3187</v>
      </c>
      <c r="C711" s="9" t="s">
        <v>3188</v>
      </c>
      <c r="D711" s="10" t="str">
        <f>HYPERLINK("https://facebook.com/367089020688300_562372931159907", "367089020688300_562372931159907")</f>
        <v>367089020688300_562372931159907</v>
      </c>
      <c r="E711" s="11">
        <v>6.0</v>
      </c>
      <c r="F711" s="11">
        <v>0.0</v>
      </c>
      <c r="G711" s="11">
        <v>4.0</v>
      </c>
      <c r="H711" s="9" t="s">
        <v>26</v>
      </c>
      <c r="I711" s="9" t="s">
        <v>3189</v>
      </c>
      <c r="J711" s="9" t="s">
        <v>3190</v>
      </c>
      <c r="K711" s="9" t="s">
        <v>3191</v>
      </c>
      <c r="L711" s="9" t="s">
        <v>30</v>
      </c>
      <c r="M711" s="9" t="s">
        <v>31</v>
      </c>
      <c r="N711" s="9" t="s">
        <v>32</v>
      </c>
      <c r="O711" s="12" t="s">
        <v>33</v>
      </c>
      <c r="P711" s="12" t="s">
        <v>34</v>
      </c>
      <c r="Q711" s="9"/>
      <c r="R711" s="18"/>
      <c r="S711" s="18"/>
      <c r="T711" s="18"/>
      <c r="U711" s="18"/>
      <c r="V711" s="18"/>
      <c r="W711" s="15"/>
      <c r="X711" s="15"/>
    </row>
    <row r="712">
      <c r="A712" s="7">
        <v>711.0</v>
      </c>
      <c r="B712" s="8" t="s">
        <v>3192</v>
      </c>
      <c r="C712" s="9" t="s">
        <v>3193</v>
      </c>
      <c r="D712" s="10" t="str">
        <f>HYPERLINK("https://facebook.com/367089020688300_518745395522661", "367089020688300_518745395522661")</f>
        <v>367089020688300_518745395522661</v>
      </c>
      <c r="E712" s="11">
        <v>39.0</v>
      </c>
      <c r="F712" s="11">
        <v>0.0</v>
      </c>
      <c r="G712" s="11">
        <v>78.0</v>
      </c>
      <c r="H712" s="9" t="s">
        <v>26</v>
      </c>
      <c r="I712" s="9" t="s">
        <v>3194</v>
      </c>
      <c r="J712" s="9" t="s">
        <v>3195</v>
      </c>
      <c r="K712" s="9" t="s">
        <v>3196</v>
      </c>
      <c r="L712" s="9" t="s">
        <v>30</v>
      </c>
      <c r="M712" s="9" t="s">
        <v>31</v>
      </c>
      <c r="N712" s="9" t="s">
        <v>32</v>
      </c>
      <c r="O712" s="12" t="s">
        <v>33</v>
      </c>
      <c r="P712" s="12" t="s">
        <v>34</v>
      </c>
      <c r="Q712" s="9"/>
      <c r="R712" s="18"/>
      <c r="S712" s="18"/>
      <c r="T712" s="18"/>
      <c r="U712" s="18"/>
      <c r="V712" s="18"/>
      <c r="W712" s="15"/>
      <c r="X712" s="15"/>
    </row>
    <row r="713">
      <c r="A713" s="7">
        <v>712.0</v>
      </c>
      <c r="B713" s="8" t="s">
        <v>3197</v>
      </c>
      <c r="C713" s="9" t="s">
        <v>3198</v>
      </c>
      <c r="D713" s="10" t="str">
        <f>HYPERLINK("https://facebook.com/367089020688300_557444264986107", "367089020688300_557444264986107")</f>
        <v>367089020688300_557444264986107</v>
      </c>
      <c r="E713" s="11">
        <v>58.0</v>
      </c>
      <c r="F713" s="11">
        <v>4.0</v>
      </c>
      <c r="G713" s="11">
        <v>72.0</v>
      </c>
      <c r="H713" s="9" t="s">
        <v>26</v>
      </c>
      <c r="I713" s="9" t="s">
        <v>3199</v>
      </c>
      <c r="J713" s="9" t="s">
        <v>3200</v>
      </c>
      <c r="K713" s="9" t="s">
        <v>3201</v>
      </c>
      <c r="L713" s="9" t="s">
        <v>30</v>
      </c>
      <c r="M713" s="9" t="s">
        <v>31</v>
      </c>
      <c r="N713" s="9" t="s">
        <v>32</v>
      </c>
      <c r="O713" s="12" t="s">
        <v>33</v>
      </c>
      <c r="P713" s="12" t="s">
        <v>34</v>
      </c>
      <c r="Q713" s="9"/>
      <c r="R713" s="18"/>
      <c r="S713" s="18"/>
      <c r="T713" s="18"/>
      <c r="U713" s="18"/>
      <c r="V713" s="18"/>
      <c r="W713" s="15"/>
      <c r="X713" s="15"/>
    </row>
    <row r="714">
      <c r="A714" s="7">
        <v>713.0</v>
      </c>
      <c r="B714" s="8" t="s">
        <v>3202</v>
      </c>
      <c r="C714" s="9" t="s">
        <v>3203</v>
      </c>
      <c r="D714" s="10" t="str">
        <f>HYPERLINK("https://facebook.com/367089020688300_538986403498560", "367089020688300_538986403498560")</f>
        <v>367089020688300_538986403498560</v>
      </c>
      <c r="E714" s="11">
        <v>16.0</v>
      </c>
      <c r="F714" s="11">
        <v>0.0</v>
      </c>
      <c r="G714" s="11">
        <v>15.0</v>
      </c>
      <c r="H714" s="9" t="s">
        <v>26</v>
      </c>
      <c r="I714" s="9" t="s">
        <v>3204</v>
      </c>
      <c r="J714" s="16" t="s">
        <v>3205</v>
      </c>
      <c r="K714" s="9"/>
      <c r="L714" s="9" t="s">
        <v>30</v>
      </c>
      <c r="M714" s="9" t="s">
        <v>31</v>
      </c>
      <c r="N714" s="9" t="s">
        <v>32</v>
      </c>
      <c r="O714" s="12" t="s">
        <v>33</v>
      </c>
      <c r="P714" s="12" t="s">
        <v>34</v>
      </c>
      <c r="Q714" s="9"/>
      <c r="R714" s="18"/>
      <c r="S714" s="18"/>
      <c r="T714" s="18"/>
      <c r="U714" s="18"/>
      <c r="V714" s="18"/>
      <c r="W714" s="15"/>
      <c r="X714" s="15"/>
    </row>
    <row r="715">
      <c r="A715" s="7">
        <v>714.0</v>
      </c>
      <c r="B715" s="8" t="s">
        <v>3206</v>
      </c>
      <c r="C715" s="9" t="s">
        <v>3207</v>
      </c>
      <c r="D715" s="10" t="str">
        <f>HYPERLINK("https://facebook.com/367089020688300_546579152739285", "367089020688300_546579152739285")</f>
        <v>367089020688300_546579152739285</v>
      </c>
      <c r="E715" s="11">
        <v>78.0</v>
      </c>
      <c r="F715" s="11">
        <v>0.0</v>
      </c>
      <c r="G715" s="11">
        <v>47.0</v>
      </c>
      <c r="H715" s="9" t="s">
        <v>26</v>
      </c>
      <c r="I715" s="9" t="s">
        <v>3208</v>
      </c>
      <c r="J715" s="9" t="s">
        <v>3209</v>
      </c>
      <c r="K715" s="9" t="s">
        <v>3210</v>
      </c>
      <c r="L715" s="9" t="s">
        <v>30</v>
      </c>
      <c r="M715" s="9" t="s">
        <v>31</v>
      </c>
      <c r="N715" s="9" t="s">
        <v>32</v>
      </c>
      <c r="O715" s="12" t="s">
        <v>33</v>
      </c>
      <c r="P715" s="12" t="s">
        <v>34</v>
      </c>
      <c r="Q715" s="9"/>
      <c r="R715" s="18"/>
      <c r="S715" s="18"/>
      <c r="T715" s="18"/>
      <c r="U715" s="18"/>
      <c r="V715" s="18"/>
      <c r="W715" s="15"/>
      <c r="X715" s="15"/>
    </row>
    <row r="716">
      <c r="A716" s="7">
        <v>715.0</v>
      </c>
      <c r="B716" s="8" t="s">
        <v>3211</v>
      </c>
      <c r="C716" s="9" t="s">
        <v>3212</v>
      </c>
      <c r="D716" s="10" t="str">
        <f>HYPERLINK("https://facebook.com/367089020688300_520393712024496", "367089020688300_520393712024496")</f>
        <v>367089020688300_520393712024496</v>
      </c>
      <c r="E716" s="11">
        <v>27.0</v>
      </c>
      <c r="F716" s="11">
        <v>1.0</v>
      </c>
      <c r="G716" s="11">
        <v>41.0</v>
      </c>
      <c r="H716" s="9" t="s">
        <v>26</v>
      </c>
      <c r="I716" s="9" t="s">
        <v>3213</v>
      </c>
      <c r="J716" s="16" t="s">
        <v>3214</v>
      </c>
      <c r="K716" s="9"/>
      <c r="L716" s="9" t="s">
        <v>30</v>
      </c>
      <c r="M716" s="9" t="s">
        <v>31</v>
      </c>
      <c r="N716" s="9" t="s">
        <v>32</v>
      </c>
      <c r="O716" s="12" t="s">
        <v>33</v>
      </c>
      <c r="P716" s="12" t="s">
        <v>34</v>
      </c>
      <c r="Q716" s="9"/>
      <c r="R716" s="18"/>
      <c r="S716" s="18"/>
      <c r="T716" s="18"/>
      <c r="U716" s="18"/>
      <c r="V716" s="18"/>
      <c r="W716" s="15"/>
      <c r="X716" s="15"/>
    </row>
    <row r="717">
      <c r="A717" s="7">
        <v>716.0</v>
      </c>
      <c r="B717" s="8" t="s">
        <v>3215</v>
      </c>
      <c r="C717" s="9" t="s">
        <v>3216</v>
      </c>
      <c r="D717" s="10" t="str">
        <f>HYPERLINK("https://facebook.com/367089020688300_561375837926283", "367089020688300_561375837926283")</f>
        <v>367089020688300_561375837926283</v>
      </c>
      <c r="E717" s="11">
        <v>27.0</v>
      </c>
      <c r="F717" s="11">
        <v>2.0</v>
      </c>
      <c r="G717" s="11">
        <v>34.0</v>
      </c>
      <c r="H717" s="9" t="s">
        <v>26</v>
      </c>
      <c r="I717" s="9" t="s">
        <v>3217</v>
      </c>
      <c r="J717" s="9" t="s">
        <v>3218</v>
      </c>
      <c r="K717" s="9" t="s">
        <v>51</v>
      </c>
      <c r="L717" s="9" t="s">
        <v>30</v>
      </c>
      <c r="M717" s="9" t="s">
        <v>31</v>
      </c>
      <c r="N717" s="9" t="s">
        <v>32</v>
      </c>
      <c r="O717" s="12" t="s">
        <v>33</v>
      </c>
      <c r="P717" s="12" t="s">
        <v>34</v>
      </c>
      <c r="Q717" s="9"/>
      <c r="R717" s="18"/>
      <c r="S717" s="18"/>
      <c r="T717" s="18"/>
      <c r="U717" s="18"/>
      <c r="V717" s="18"/>
      <c r="W717" s="15"/>
      <c r="X717" s="15"/>
    </row>
    <row r="718">
      <c r="A718" s="7">
        <v>717.0</v>
      </c>
      <c r="B718" s="8" t="s">
        <v>3219</v>
      </c>
      <c r="C718" s="9" t="s">
        <v>3220</v>
      </c>
      <c r="D718" s="10" t="str">
        <f>HYPERLINK("https://facebook.com/367089020688300_541411193256081", "367089020688300_541411193256081")</f>
        <v>367089020688300_541411193256081</v>
      </c>
      <c r="E718" s="11">
        <v>276.0</v>
      </c>
      <c r="F718" s="11">
        <v>0.0</v>
      </c>
      <c r="G718" s="11">
        <v>123.0</v>
      </c>
      <c r="H718" s="9" t="s">
        <v>26</v>
      </c>
      <c r="I718" s="9" t="s">
        <v>3221</v>
      </c>
      <c r="J718" s="9" t="s">
        <v>3222</v>
      </c>
      <c r="K718" s="9" t="s">
        <v>3223</v>
      </c>
      <c r="L718" s="9" t="s">
        <v>30</v>
      </c>
      <c r="M718" s="9" t="s">
        <v>31</v>
      </c>
      <c r="N718" s="9" t="s">
        <v>32</v>
      </c>
      <c r="O718" s="12" t="s">
        <v>33</v>
      </c>
      <c r="P718" s="12" t="s">
        <v>34</v>
      </c>
      <c r="Q718" s="9"/>
      <c r="R718" s="18"/>
      <c r="S718" s="18"/>
      <c r="T718" s="18"/>
      <c r="U718" s="18"/>
      <c r="V718" s="18"/>
      <c r="W718" s="15"/>
      <c r="X718" s="15"/>
    </row>
    <row r="719">
      <c r="A719" s="7">
        <v>718.0</v>
      </c>
      <c r="B719" s="8" t="s">
        <v>3224</v>
      </c>
      <c r="C719" s="9" t="s">
        <v>3225</v>
      </c>
      <c r="D719" s="10" t="str">
        <f>HYPERLINK("https://facebook.com/367089020688300_539254556805078", "367089020688300_539254556805078")</f>
        <v>367089020688300_539254556805078</v>
      </c>
      <c r="E719" s="11">
        <v>35.0</v>
      </c>
      <c r="F719" s="11">
        <v>0.0</v>
      </c>
      <c r="G719" s="11">
        <v>13.0</v>
      </c>
      <c r="H719" s="9" t="s">
        <v>26</v>
      </c>
      <c r="I719" s="9" t="s">
        <v>3226</v>
      </c>
      <c r="J719" s="9" t="s">
        <v>3227</v>
      </c>
      <c r="K719" s="9" t="s">
        <v>476</v>
      </c>
      <c r="L719" s="9" t="s">
        <v>30</v>
      </c>
      <c r="M719" s="9" t="s">
        <v>31</v>
      </c>
      <c r="N719" s="9" t="s">
        <v>32</v>
      </c>
      <c r="O719" s="12" t="s">
        <v>33</v>
      </c>
      <c r="P719" s="12" t="s">
        <v>34</v>
      </c>
      <c r="Q719" s="9"/>
      <c r="R719" s="18"/>
      <c r="S719" s="18"/>
      <c r="T719" s="18"/>
      <c r="U719" s="18"/>
      <c r="V719" s="18"/>
      <c r="W719" s="15"/>
      <c r="X719" s="15"/>
    </row>
    <row r="720">
      <c r="A720" s="7">
        <v>719.0</v>
      </c>
      <c r="B720" s="8" t="s">
        <v>3228</v>
      </c>
      <c r="C720" s="9" t="s">
        <v>3229</v>
      </c>
      <c r="D720" s="10" t="str">
        <f>HYPERLINK("https://facebook.com/367089020688300_537143137016220", "367089020688300_537143137016220")</f>
        <v>367089020688300_537143137016220</v>
      </c>
      <c r="E720" s="11">
        <v>10.0</v>
      </c>
      <c r="F720" s="11">
        <v>0.0</v>
      </c>
      <c r="G720" s="11">
        <v>0.0</v>
      </c>
      <c r="H720" s="9" t="s">
        <v>26</v>
      </c>
      <c r="I720" s="9" t="s">
        <v>3230</v>
      </c>
      <c r="J720" s="16" t="s">
        <v>3231</v>
      </c>
      <c r="K720" s="9"/>
      <c r="L720" s="9" t="s">
        <v>30</v>
      </c>
      <c r="M720" s="9" t="s">
        <v>31</v>
      </c>
      <c r="N720" s="9" t="s">
        <v>32</v>
      </c>
      <c r="O720" s="12" t="s">
        <v>33</v>
      </c>
      <c r="P720" s="12" t="s">
        <v>34</v>
      </c>
      <c r="Q720" s="9"/>
      <c r="R720" s="18"/>
      <c r="S720" s="18"/>
      <c r="T720" s="18"/>
      <c r="U720" s="18"/>
      <c r="V720" s="18"/>
      <c r="W720" s="15"/>
      <c r="X720" s="15"/>
    </row>
    <row r="721">
      <c r="A721" s="7">
        <v>720.0</v>
      </c>
      <c r="B721" s="8" t="s">
        <v>3232</v>
      </c>
      <c r="C721" s="9" t="s">
        <v>3233</v>
      </c>
      <c r="D721" s="10" t="str">
        <f>HYPERLINK("https://facebook.com/367089020688300_546351556095378", "367089020688300_546351556095378")</f>
        <v>367089020688300_546351556095378</v>
      </c>
      <c r="E721" s="11">
        <v>293.0</v>
      </c>
      <c r="F721" s="11">
        <v>1.0</v>
      </c>
      <c r="G721" s="11">
        <v>64.0</v>
      </c>
      <c r="H721" s="9" t="s">
        <v>26</v>
      </c>
      <c r="I721" s="9" t="s">
        <v>3234</v>
      </c>
      <c r="J721" s="9" t="s">
        <v>3235</v>
      </c>
      <c r="K721" s="9" t="s">
        <v>3236</v>
      </c>
      <c r="L721" s="9" t="s">
        <v>30</v>
      </c>
      <c r="M721" s="9" t="s">
        <v>31</v>
      </c>
      <c r="N721" s="9" t="s">
        <v>32</v>
      </c>
      <c r="O721" s="12" t="s">
        <v>33</v>
      </c>
      <c r="P721" s="12" t="s">
        <v>34</v>
      </c>
      <c r="Q721" s="9"/>
      <c r="R721" s="18"/>
      <c r="S721" s="18"/>
      <c r="T721" s="18"/>
      <c r="U721" s="18"/>
      <c r="V721" s="18"/>
      <c r="W721" s="15"/>
      <c r="X721" s="15"/>
    </row>
    <row r="722">
      <c r="A722" s="7">
        <v>721.0</v>
      </c>
      <c r="B722" s="8" t="s">
        <v>3237</v>
      </c>
      <c r="C722" s="9" t="s">
        <v>3238</v>
      </c>
      <c r="D722" s="10" t="str">
        <f>HYPERLINK("https://facebook.com/367089020688300_538763243520876", "367089020688300_538763243520876")</f>
        <v>367089020688300_538763243520876</v>
      </c>
      <c r="E722" s="11">
        <v>13.0</v>
      </c>
      <c r="F722" s="11">
        <v>0.0</v>
      </c>
      <c r="G722" s="11">
        <v>12.0</v>
      </c>
      <c r="H722" s="9" t="s">
        <v>26</v>
      </c>
      <c r="I722" s="9" t="s">
        <v>3239</v>
      </c>
      <c r="J722" s="16" t="s">
        <v>3240</v>
      </c>
      <c r="K722" s="9"/>
      <c r="L722" s="9" t="s">
        <v>30</v>
      </c>
      <c r="M722" s="9" t="s">
        <v>31</v>
      </c>
      <c r="N722" s="9" t="s">
        <v>32</v>
      </c>
      <c r="O722" s="12" t="s">
        <v>33</v>
      </c>
      <c r="P722" s="12" t="s">
        <v>34</v>
      </c>
      <c r="Q722" s="9"/>
      <c r="R722" s="18"/>
      <c r="S722" s="18"/>
      <c r="T722" s="18"/>
      <c r="U722" s="18"/>
      <c r="V722" s="18"/>
      <c r="W722" s="15"/>
      <c r="X722" s="15"/>
    </row>
    <row r="723">
      <c r="A723" s="7">
        <v>722.0</v>
      </c>
      <c r="B723" s="8" t="s">
        <v>3241</v>
      </c>
      <c r="C723" s="9" t="s">
        <v>3242</v>
      </c>
      <c r="D723" s="10" t="str">
        <f>HYPERLINK("https://facebook.com/367089020688300_539168446813689", "367089020688300_539168446813689")</f>
        <v>367089020688300_539168446813689</v>
      </c>
      <c r="E723" s="11">
        <v>1057.0</v>
      </c>
      <c r="F723" s="11">
        <v>78.0</v>
      </c>
      <c r="G723" s="11">
        <v>608.0</v>
      </c>
      <c r="H723" s="9" t="s">
        <v>26</v>
      </c>
      <c r="I723" s="9" t="s">
        <v>3243</v>
      </c>
      <c r="J723" s="16" t="s">
        <v>3244</v>
      </c>
      <c r="K723" s="9"/>
      <c r="L723" s="9" t="s">
        <v>30</v>
      </c>
      <c r="M723" s="9" t="s">
        <v>31</v>
      </c>
      <c r="N723" s="9" t="s">
        <v>32</v>
      </c>
      <c r="O723" s="12" t="s">
        <v>33</v>
      </c>
      <c r="P723" s="12" t="s">
        <v>34</v>
      </c>
      <c r="Q723" s="9"/>
      <c r="R723" s="18"/>
      <c r="S723" s="18"/>
      <c r="T723" s="18"/>
      <c r="U723" s="18"/>
      <c r="V723" s="18"/>
      <c r="W723" s="15"/>
      <c r="X723" s="15"/>
    </row>
    <row r="724">
      <c r="A724" s="7">
        <v>723.0</v>
      </c>
      <c r="B724" s="8" t="s">
        <v>3245</v>
      </c>
      <c r="C724" s="9" t="s">
        <v>3246</v>
      </c>
      <c r="D724" s="10" t="str">
        <f>HYPERLINK("https://facebook.com/367089020688300_505104173553450", "367089020688300_505104173553450")</f>
        <v>367089020688300_505104173553450</v>
      </c>
      <c r="E724" s="11">
        <v>195.0</v>
      </c>
      <c r="F724" s="11">
        <v>5.0</v>
      </c>
      <c r="G724" s="11">
        <v>407.0</v>
      </c>
      <c r="H724" s="9" t="s">
        <v>26</v>
      </c>
      <c r="I724" s="9" t="s">
        <v>3247</v>
      </c>
      <c r="J724" s="16" t="s">
        <v>3248</v>
      </c>
      <c r="K724" s="9"/>
      <c r="L724" s="9" t="s">
        <v>30</v>
      </c>
      <c r="M724" s="9" t="s">
        <v>31</v>
      </c>
      <c r="N724" s="9" t="s">
        <v>32</v>
      </c>
      <c r="O724" s="12" t="s">
        <v>33</v>
      </c>
      <c r="P724" s="12" t="s">
        <v>34</v>
      </c>
      <c r="Q724" s="9"/>
      <c r="R724" s="18"/>
      <c r="S724" s="18"/>
      <c r="T724" s="18"/>
      <c r="U724" s="18"/>
      <c r="V724" s="18"/>
      <c r="W724" s="15"/>
      <c r="X724" s="15"/>
    </row>
    <row r="725">
      <c r="A725" s="7">
        <v>724.0</v>
      </c>
      <c r="B725" s="8" t="s">
        <v>3249</v>
      </c>
      <c r="C725" s="9" t="s">
        <v>3250</v>
      </c>
      <c r="D725" s="10" t="str">
        <f>HYPERLINK("https://facebook.com/367089020688300_542009529862914", "367089020688300_542009529862914")</f>
        <v>367089020688300_542009529862914</v>
      </c>
      <c r="E725" s="11">
        <v>11.0</v>
      </c>
      <c r="F725" s="11">
        <v>0.0</v>
      </c>
      <c r="G725" s="11">
        <v>19.0</v>
      </c>
      <c r="H725" s="9" t="s">
        <v>26</v>
      </c>
      <c r="I725" s="9" t="s">
        <v>3251</v>
      </c>
      <c r="J725" s="16" t="s">
        <v>3252</v>
      </c>
      <c r="K725" s="9"/>
      <c r="L725" s="9" t="s">
        <v>30</v>
      </c>
      <c r="M725" s="9" t="s">
        <v>31</v>
      </c>
      <c r="N725" s="9" t="s">
        <v>32</v>
      </c>
      <c r="O725" s="12" t="s">
        <v>33</v>
      </c>
      <c r="P725" s="12" t="s">
        <v>34</v>
      </c>
      <c r="Q725" s="9"/>
      <c r="R725" s="18"/>
      <c r="S725" s="18"/>
      <c r="T725" s="18"/>
      <c r="U725" s="18"/>
      <c r="V725" s="18"/>
      <c r="W725" s="15"/>
      <c r="X725" s="15"/>
    </row>
    <row r="726">
      <c r="A726" s="7">
        <v>725.0</v>
      </c>
      <c r="B726" s="8" t="s">
        <v>3253</v>
      </c>
      <c r="C726" s="9" t="s">
        <v>3254</v>
      </c>
      <c r="D726" s="10" t="str">
        <f>HYPERLINK("https://facebook.com/367089020688300_503333910397143", "367089020688300_503333910397143")</f>
        <v>367089020688300_503333910397143</v>
      </c>
      <c r="E726" s="11">
        <v>721.0</v>
      </c>
      <c r="F726" s="11">
        <v>25.0</v>
      </c>
      <c r="G726" s="11">
        <v>713.0</v>
      </c>
      <c r="H726" s="9" t="s">
        <v>26</v>
      </c>
      <c r="I726" s="9" t="s">
        <v>3255</v>
      </c>
      <c r="J726" s="9" t="s">
        <v>3256</v>
      </c>
      <c r="K726" s="9" t="s">
        <v>3257</v>
      </c>
      <c r="L726" s="9" t="s">
        <v>30</v>
      </c>
      <c r="M726" s="9" t="s">
        <v>31</v>
      </c>
      <c r="N726" s="9" t="s">
        <v>32</v>
      </c>
      <c r="O726" s="12" t="s">
        <v>33</v>
      </c>
      <c r="P726" s="12" t="s">
        <v>34</v>
      </c>
      <c r="Q726" s="9"/>
      <c r="R726" s="18"/>
      <c r="S726" s="18"/>
      <c r="T726" s="18"/>
      <c r="U726" s="18"/>
      <c r="V726" s="18"/>
      <c r="W726" s="15"/>
      <c r="X726" s="15"/>
    </row>
    <row r="727">
      <c r="A727" s="7">
        <v>726.0</v>
      </c>
      <c r="B727" s="8" t="s">
        <v>3258</v>
      </c>
      <c r="C727" s="9" t="s">
        <v>3259</v>
      </c>
      <c r="D727" s="10" t="str">
        <f>HYPERLINK("https://facebook.com/367089020688300_550600049003862", "367089020688300_550600049003862")</f>
        <v>367089020688300_550600049003862</v>
      </c>
      <c r="E727" s="11">
        <v>39.0</v>
      </c>
      <c r="F727" s="11">
        <v>0.0</v>
      </c>
      <c r="G727" s="11">
        <v>39.0</v>
      </c>
      <c r="H727" s="9" t="s">
        <v>26</v>
      </c>
      <c r="I727" s="9" t="s">
        <v>3260</v>
      </c>
      <c r="J727" s="16" t="s">
        <v>3261</v>
      </c>
      <c r="K727" s="9"/>
      <c r="L727" s="9" t="s">
        <v>30</v>
      </c>
      <c r="M727" s="9" t="s">
        <v>31</v>
      </c>
      <c r="N727" s="9" t="s">
        <v>32</v>
      </c>
      <c r="O727" s="12" t="s">
        <v>33</v>
      </c>
      <c r="P727" s="12" t="s">
        <v>34</v>
      </c>
      <c r="Q727" s="9"/>
      <c r="R727" s="18"/>
      <c r="S727" s="18"/>
      <c r="T727" s="18"/>
      <c r="U727" s="18"/>
      <c r="V727" s="18"/>
      <c r="W727" s="15"/>
      <c r="X727" s="15"/>
    </row>
    <row r="728">
      <c r="A728" s="7">
        <v>727.0</v>
      </c>
      <c r="B728" s="8" t="s">
        <v>3262</v>
      </c>
      <c r="C728" s="9" t="s">
        <v>3263</v>
      </c>
      <c r="D728" s="10" t="str">
        <f>HYPERLINK("https://facebook.com/367089020688300_489589271771607", "367089020688300_489589271771607")</f>
        <v>367089020688300_489589271771607</v>
      </c>
      <c r="E728" s="11">
        <v>439.0</v>
      </c>
      <c r="F728" s="11">
        <v>54.0</v>
      </c>
      <c r="G728" s="11">
        <v>372.0</v>
      </c>
      <c r="H728" s="9" t="s">
        <v>26</v>
      </c>
      <c r="I728" s="9" t="s">
        <v>3264</v>
      </c>
      <c r="J728" s="9" t="s">
        <v>3265</v>
      </c>
      <c r="K728" s="9" t="s">
        <v>3266</v>
      </c>
      <c r="L728" s="9" t="s">
        <v>30</v>
      </c>
      <c r="M728" s="9" t="s">
        <v>31</v>
      </c>
      <c r="N728" s="9" t="s">
        <v>32</v>
      </c>
      <c r="O728" s="12" t="s">
        <v>33</v>
      </c>
      <c r="P728" s="12" t="s">
        <v>34</v>
      </c>
      <c r="Q728" s="9"/>
      <c r="R728" s="18"/>
      <c r="S728" s="18"/>
      <c r="T728" s="18"/>
      <c r="U728" s="18"/>
      <c r="V728" s="18"/>
      <c r="W728" s="15"/>
      <c r="X728" s="15"/>
    </row>
    <row r="729">
      <c r="A729" s="7">
        <v>728.0</v>
      </c>
      <c r="B729" s="8" t="s">
        <v>3267</v>
      </c>
      <c r="C729" s="9" t="s">
        <v>3268</v>
      </c>
      <c r="D729" s="10" t="str">
        <f>HYPERLINK("https://facebook.com/367089020688300_455512025179332", "367089020688300_455512025179332")</f>
        <v>367089020688300_455512025179332</v>
      </c>
      <c r="E729" s="11">
        <v>678.0</v>
      </c>
      <c r="F729" s="11">
        <v>65.0</v>
      </c>
      <c r="G729" s="11">
        <v>582.0</v>
      </c>
      <c r="H729" s="9" t="s">
        <v>26</v>
      </c>
      <c r="I729" s="9" t="s">
        <v>3269</v>
      </c>
      <c r="J729" s="9" t="s">
        <v>3270</v>
      </c>
      <c r="K729" s="9" t="s">
        <v>3271</v>
      </c>
      <c r="L729" s="9" t="s">
        <v>30</v>
      </c>
      <c r="M729" s="9" t="s">
        <v>31</v>
      </c>
      <c r="N729" s="9" t="s">
        <v>32</v>
      </c>
      <c r="O729" s="12" t="s">
        <v>33</v>
      </c>
      <c r="P729" s="12" t="s">
        <v>34</v>
      </c>
      <c r="Q729" s="9"/>
      <c r="R729" s="18"/>
      <c r="S729" s="18"/>
      <c r="T729" s="18"/>
      <c r="U729" s="18"/>
      <c r="V729" s="18"/>
      <c r="W729" s="15"/>
      <c r="X729" s="15"/>
    </row>
    <row r="730">
      <c r="A730" s="7">
        <v>729.0</v>
      </c>
      <c r="B730" s="8" t="s">
        <v>3272</v>
      </c>
      <c r="C730" s="9" t="s">
        <v>3273</v>
      </c>
      <c r="D730" s="10" t="str">
        <f>HYPERLINK("https://facebook.com/367089020688300_531003870963480", "367089020688300_531003870963480")</f>
        <v>367089020688300_531003870963480</v>
      </c>
      <c r="E730" s="11">
        <v>295.0</v>
      </c>
      <c r="F730" s="11">
        <v>0.0</v>
      </c>
      <c r="G730" s="11">
        <v>313.0</v>
      </c>
      <c r="H730" s="9" t="s">
        <v>26</v>
      </c>
      <c r="I730" s="9" t="s">
        <v>3274</v>
      </c>
      <c r="J730" s="16" t="s">
        <v>3275</v>
      </c>
      <c r="K730" s="9"/>
      <c r="L730" s="9" t="s">
        <v>30</v>
      </c>
      <c r="M730" s="9" t="s">
        <v>31</v>
      </c>
      <c r="N730" s="9" t="s">
        <v>32</v>
      </c>
      <c r="O730" s="12" t="s">
        <v>33</v>
      </c>
      <c r="P730" s="12" t="s">
        <v>34</v>
      </c>
      <c r="Q730" s="9"/>
      <c r="R730" s="18"/>
      <c r="S730" s="18"/>
      <c r="T730" s="18"/>
      <c r="U730" s="18"/>
      <c r="V730" s="18"/>
      <c r="W730" s="15"/>
      <c r="X730" s="15"/>
    </row>
    <row r="731">
      <c r="A731" s="7">
        <v>730.0</v>
      </c>
      <c r="B731" s="8" t="s">
        <v>3276</v>
      </c>
      <c r="C731" s="9" t="s">
        <v>3277</v>
      </c>
      <c r="D731" s="10" t="str">
        <f>HYPERLINK("https://facebook.com/367089020688300_546818689381998", "367089020688300_546818689381998")</f>
        <v>367089020688300_546818689381998</v>
      </c>
      <c r="E731" s="11">
        <v>49.0</v>
      </c>
      <c r="F731" s="11">
        <v>0.0</v>
      </c>
      <c r="G731" s="11">
        <v>33.0</v>
      </c>
      <c r="H731" s="9" t="s">
        <v>26</v>
      </c>
      <c r="I731" s="9" t="s">
        <v>3278</v>
      </c>
      <c r="J731" s="16" t="s">
        <v>3279</v>
      </c>
      <c r="K731" s="9"/>
      <c r="L731" s="9" t="s">
        <v>30</v>
      </c>
      <c r="M731" s="9" t="s">
        <v>31</v>
      </c>
      <c r="N731" s="9" t="s">
        <v>32</v>
      </c>
      <c r="O731" s="12" t="s">
        <v>33</v>
      </c>
      <c r="P731" s="12" t="s">
        <v>34</v>
      </c>
      <c r="Q731" s="9"/>
      <c r="R731" s="18"/>
      <c r="S731" s="18"/>
      <c r="T731" s="18"/>
      <c r="U731" s="18"/>
      <c r="V731" s="18"/>
      <c r="W731" s="15"/>
      <c r="X731" s="15"/>
    </row>
    <row r="732">
      <c r="A732" s="7">
        <v>731.0</v>
      </c>
      <c r="B732" s="8" t="s">
        <v>3280</v>
      </c>
      <c r="C732" s="9" t="s">
        <v>3281</v>
      </c>
      <c r="D732" s="10" t="str">
        <f>HYPERLINK("https://facebook.com/367089020688300_542658136464720", "367089020688300_542658136464720")</f>
        <v>367089020688300_542658136464720</v>
      </c>
      <c r="E732" s="11">
        <v>1115.0</v>
      </c>
      <c r="F732" s="11">
        <v>46.0</v>
      </c>
      <c r="G732" s="11">
        <v>567.0</v>
      </c>
      <c r="H732" s="9" t="s">
        <v>26</v>
      </c>
      <c r="I732" s="9" t="s">
        <v>3282</v>
      </c>
      <c r="J732" s="16" t="s">
        <v>3283</v>
      </c>
      <c r="K732" s="9"/>
      <c r="L732" s="9" t="s">
        <v>30</v>
      </c>
      <c r="M732" s="9" t="s">
        <v>31</v>
      </c>
      <c r="N732" s="9" t="s">
        <v>32</v>
      </c>
      <c r="O732" s="12" t="s">
        <v>33</v>
      </c>
      <c r="P732" s="12" t="s">
        <v>34</v>
      </c>
      <c r="Q732" s="9"/>
      <c r="R732" s="18"/>
      <c r="S732" s="18"/>
      <c r="T732" s="18"/>
      <c r="U732" s="18"/>
      <c r="V732" s="18"/>
      <c r="W732" s="15"/>
      <c r="X732" s="15"/>
    </row>
    <row r="733">
      <c r="A733" s="7">
        <v>732.0</v>
      </c>
      <c r="B733" s="8" t="s">
        <v>3284</v>
      </c>
      <c r="C733" s="9" t="s">
        <v>3285</v>
      </c>
      <c r="D733" s="10" t="str">
        <f>HYPERLINK("https://facebook.com/367089020688300_547094226021111", "367089020688300_547094226021111")</f>
        <v>367089020688300_547094226021111</v>
      </c>
      <c r="E733" s="11">
        <v>5.0</v>
      </c>
      <c r="F733" s="11">
        <v>0.0</v>
      </c>
      <c r="G733" s="11">
        <v>9.0</v>
      </c>
      <c r="H733" s="9" t="s">
        <v>26</v>
      </c>
      <c r="I733" s="9" t="s">
        <v>3286</v>
      </c>
      <c r="J733" s="9" t="s">
        <v>3287</v>
      </c>
      <c r="K733" s="9" t="s">
        <v>3288</v>
      </c>
      <c r="L733" s="9" t="s">
        <v>30</v>
      </c>
      <c r="M733" s="9" t="s">
        <v>31</v>
      </c>
      <c r="N733" s="9" t="s">
        <v>32</v>
      </c>
      <c r="O733" s="12" t="s">
        <v>33</v>
      </c>
      <c r="P733" s="12" t="s">
        <v>34</v>
      </c>
      <c r="Q733" s="9"/>
      <c r="R733" s="18"/>
      <c r="S733" s="18"/>
      <c r="T733" s="18"/>
      <c r="U733" s="18"/>
      <c r="V733" s="18"/>
      <c r="W733" s="15"/>
      <c r="X733" s="15"/>
    </row>
    <row r="734">
      <c r="A734" s="7">
        <v>733.0</v>
      </c>
      <c r="B734" s="8" t="s">
        <v>3289</v>
      </c>
      <c r="C734" s="9" t="s">
        <v>3290</v>
      </c>
      <c r="D734" s="10" t="str">
        <f>HYPERLINK("https://facebook.com/367089020688300_516016719128862", "367089020688300_516016719128862")</f>
        <v>367089020688300_516016719128862</v>
      </c>
      <c r="E734" s="11">
        <v>61.0</v>
      </c>
      <c r="F734" s="11">
        <v>0.0</v>
      </c>
      <c r="G734" s="11">
        <v>51.0</v>
      </c>
      <c r="H734" s="9" t="s">
        <v>26</v>
      </c>
      <c r="I734" s="9" t="s">
        <v>3291</v>
      </c>
      <c r="J734" s="16" t="s">
        <v>3292</v>
      </c>
      <c r="K734" s="9"/>
      <c r="L734" s="9" t="s">
        <v>30</v>
      </c>
      <c r="M734" s="9" t="s">
        <v>31</v>
      </c>
      <c r="N734" s="9" t="s">
        <v>32</v>
      </c>
      <c r="O734" s="12" t="s">
        <v>33</v>
      </c>
      <c r="P734" s="12" t="s">
        <v>34</v>
      </c>
      <c r="Q734" s="9"/>
      <c r="R734" s="18"/>
      <c r="S734" s="18"/>
      <c r="T734" s="18"/>
      <c r="U734" s="18"/>
      <c r="V734" s="18"/>
      <c r="W734" s="15"/>
      <c r="X734" s="15"/>
    </row>
    <row r="735">
      <c r="A735" s="7">
        <v>734.0</v>
      </c>
      <c r="B735" s="8" t="s">
        <v>3293</v>
      </c>
      <c r="C735" s="9" t="s">
        <v>3294</v>
      </c>
      <c r="D735" s="10" t="str">
        <f>HYPERLINK("https://facebook.com/367089020688300_539105786819955", "367089020688300_539105786819955")</f>
        <v>367089020688300_539105786819955</v>
      </c>
      <c r="E735" s="11">
        <v>29.0</v>
      </c>
      <c r="F735" s="11">
        <v>0.0</v>
      </c>
      <c r="G735" s="11">
        <v>30.0</v>
      </c>
      <c r="H735" s="9" t="s">
        <v>26</v>
      </c>
      <c r="I735" s="9" t="s">
        <v>3295</v>
      </c>
      <c r="J735" s="16" t="s">
        <v>3296</v>
      </c>
      <c r="K735" s="9"/>
      <c r="L735" s="9" t="s">
        <v>30</v>
      </c>
      <c r="M735" s="9" t="s">
        <v>31</v>
      </c>
      <c r="N735" s="9" t="s">
        <v>32</v>
      </c>
      <c r="O735" s="12" t="s">
        <v>33</v>
      </c>
      <c r="P735" s="12" t="s">
        <v>34</v>
      </c>
      <c r="Q735" s="9"/>
      <c r="R735" s="18"/>
      <c r="S735" s="18"/>
      <c r="T735" s="18"/>
      <c r="U735" s="18"/>
      <c r="V735" s="18"/>
      <c r="W735" s="15"/>
      <c r="X735" s="15"/>
    </row>
    <row r="736">
      <c r="A736" s="7">
        <v>735.0</v>
      </c>
      <c r="B736" s="8" t="s">
        <v>3297</v>
      </c>
      <c r="C736" s="9" t="s">
        <v>3298</v>
      </c>
      <c r="D736" s="10" t="str">
        <f>HYPERLINK("https://facebook.com/367089020688300_550638722333328", "367089020688300_550638722333328")</f>
        <v>367089020688300_550638722333328</v>
      </c>
      <c r="E736" s="11">
        <v>167.0</v>
      </c>
      <c r="F736" s="11">
        <v>2.0</v>
      </c>
      <c r="G736" s="11">
        <v>90.0</v>
      </c>
      <c r="H736" s="9" t="s">
        <v>26</v>
      </c>
      <c r="I736" s="9" t="s">
        <v>3299</v>
      </c>
      <c r="J736" s="9" t="s">
        <v>3300</v>
      </c>
      <c r="K736" s="9" t="s">
        <v>219</v>
      </c>
      <c r="L736" s="9" t="s">
        <v>30</v>
      </c>
      <c r="M736" s="9" t="s">
        <v>31</v>
      </c>
      <c r="N736" s="9" t="s">
        <v>32</v>
      </c>
      <c r="O736" s="12" t="s">
        <v>33</v>
      </c>
      <c r="P736" s="12" t="s">
        <v>34</v>
      </c>
      <c r="Q736" s="9"/>
      <c r="R736" s="18"/>
      <c r="S736" s="18"/>
      <c r="T736" s="18"/>
      <c r="U736" s="18"/>
      <c r="V736" s="18"/>
      <c r="W736" s="15"/>
      <c r="X736" s="15"/>
    </row>
    <row r="737">
      <c r="A737" s="7">
        <v>736.0</v>
      </c>
      <c r="B737" s="8" t="s">
        <v>3301</v>
      </c>
      <c r="C737" s="9" t="s">
        <v>3302</v>
      </c>
      <c r="D737" s="10" t="str">
        <f>HYPERLINK("https://facebook.com/367089020688300_551313338932533", "367089020688300_551313338932533")</f>
        <v>367089020688300_551313338932533</v>
      </c>
      <c r="E737" s="11">
        <v>71.0</v>
      </c>
      <c r="F737" s="11">
        <v>0.0</v>
      </c>
      <c r="G737" s="11">
        <v>44.0</v>
      </c>
      <c r="H737" s="9" t="s">
        <v>26</v>
      </c>
      <c r="I737" s="9" t="s">
        <v>3303</v>
      </c>
      <c r="J737" s="9" t="s">
        <v>3304</v>
      </c>
      <c r="K737" s="9" t="s">
        <v>920</v>
      </c>
      <c r="L737" s="9" t="s">
        <v>30</v>
      </c>
      <c r="M737" s="9" t="s">
        <v>31</v>
      </c>
      <c r="N737" s="9" t="s">
        <v>32</v>
      </c>
      <c r="O737" s="12" t="s">
        <v>33</v>
      </c>
      <c r="P737" s="12" t="s">
        <v>34</v>
      </c>
      <c r="Q737" s="9"/>
      <c r="R737" s="18"/>
      <c r="S737" s="18"/>
      <c r="T737" s="18"/>
      <c r="U737" s="18"/>
      <c r="V737" s="18"/>
      <c r="W737" s="15"/>
      <c r="X737" s="15"/>
    </row>
    <row r="738">
      <c r="A738" s="7">
        <v>737.0</v>
      </c>
      <c r="B738" s="8" t="s">
        <v>3305</v>
      </c>
      <c r="C738" s="9" t="s">
        <v>3306</v>
      </c>
      <c r="D738" s="10" t="str">
        <f>HYPERLINK("https://facebook.com/367089020688300_559309374799596", "367089020688300_559309374799596")</f>
        <v>367089020688300_559309374799596</v>
      </c>
      <c r="E738" s="11">
        <v>72.0</v>
      </c>
      <c r="F738" s="11">
        <v>0.0</v>
      </c>
      <c r="G738" s="11">
        <v>21.0</v>
      </c>
      <c r="H738" s="9" t="s">
        <v>26</v>
      </c>
      <c r="I738" s="9" t="s">
        <v>1003</v>
      </c>
      <c r="J738" s="16" t="s">
        <v>1004</v>
      </c>
      <c r="K738" s="9"/>
      <c r="L738" s="9" t="s">
        <v>30</v>
      </c>
      <c r="M738" s="9" t="s">
        <v>31</v>
      </c>
      <c r="N738" s="9" t="s">
        <v>32</v>
      </c>
      <c r="O738" s="12" t="s">
        <v>33</v>
      </c>
      <c r="P738" s="12" t="s">
        <v>34</v>
      </c>
      <c r="Q738" s="9"/>
      <c r="R738" s="18"/>
      <c r="S738" s="18"/>
      <c r="T738" s="18"/>
      <c r="U738" s="18"/>
      <c r="V738" s="18"/>
      <c r="W738" s="15"/>
      <c r="X738" s="15"/>
    </row>
    <row r="739">
      <c r="A739" s="7">
        <v>738.0</v>
      </c>
      <c r="B739" s="8" t="s">
        <v>3307</v>
      </c>
      <c r="C739" s="9" t="s">
        <v>3308</v>
      </c>
      <c r="D739" s="10" t="str">
        <f>HYPERLINK("https://facebook.com/367089020688300_523966548333879", "367089020688300_523966548333879")</f>
        <v>367089020688300_523966548333879</v>
      </c>
      <c r="E739" s="11">
        <v>51.0</v>
      </c>
      <c r="F739" s="11">
        <v>1.0</v>
      </c>
      <c r="G739" s="11">
        <v>40.0</v>
      </c>
      <c r="H739" s="9" t="s">
        <v>26</v>
      </c>
      <c r="I739" s="9" t="s">
        <v>3309</v>
      </c>
      <c r="J739" s="9" t="s">
        <v>3310</v>
      </c>
      <c r="K739" s="9" t="s">
        <v>663</v>
      </c>
      <c r="L739" s="9" t="s">
        <v>30</v>
      </c>
      <c r="M739" s="9" t="s">
        <v>31</v>
      </c>
      <c r="N739" s="9" t="s">
        <v>32</v>
      </c>
      <c r="O739" s="12" t="s">
        <v>33</v>
      </c>
      <c r="P739" s="12" t="s">
        <v>34</v>
      </c>
      <c r="Q739" s="9"/>
      <c r="R739" s="18"/>
      <c r="S739" s="18"/>
      <c r="T739" s="18"/>
      <c r="U739" s="18"/>
      <c r="V739" s="18"/>
      <c r="W739" s="15"/>
      <c r="X739" s="15"/>
    </row>
    <row r="740">
      <c r="A740" s="7">
        <v>739.0</v>
      </c>
      <c r="B740" s="8" t="s">
        <v>3311</v>
      </c>
      <c r="C740" s="9" t="s">
        <v>3312</v>
      </c>
      <c r="D740" s="10" t="str">
        <f>HYPERLINK("https://facebook.com/367089020688300_547225512674649", "367089020688300_547225512674649")</f>
        <v>367089020688300_547225512674649</v>
      </c>
      <c r="E740" s="11">
        <v>38.0</v>
      </c>
      <c r="F740" s="11">
        <v>0.0</v>
      </c>
      <c r="G740" s="11">
        <v>15.0</v>
      </c>
      <c r="H740" s="9" t="s">
        <v>26</v>
      </c>
      <c r="I740" s="9" t="s">
        <v>3313</v>
      </c>
      <c r="J740" s="16" t="s">
        <v>3314</v>
      </c>
      <c r="K740" s="9"/>
      <c r="L740" s="9" t="s">
        <v>30</v>
      </c>
      <c r="M740" s="9" t="s">
        <v>31</v>
      </c>
      <c r="N740" s="9" t="s">
        <v>32</v>
      </c>
      <c r="O740" s="12" t="s">
        <v>33</v>
      </c>
      <c r="P740" s="12" t="s">
        <v>34</v>
      </c>
      <c r="Q740" s="9"/>
      <c r="R740" s="18"/>
      <c r="S740" s="18"/>
      <c r="T740" s="18"/>
      <c r="U740" s="18"/>
      <c r="V740" s="18"/>
      <c r="W740" s="15"/>
      <c r="X740" s="15"/>
    </row>
    <row r="741">
      <c r="A741" s="7">
        <v>740.0</v>
      </c>
      <c r="B741" s="8" t="s">
        <v>3315</v>
      </c>
      <c r="C741" s="9" t="s">
        <v>3316</v>
      </c>
      <c r="D741" s="10" t="str">
        <f>HYPERLINK("https://facebook.com/367089020688300_463874297676438", "367089020688300_463874297676438")</f>
        <v>367089020688300_463874297676438</v>
      </c>
      <c r="E741" s="11">
        <v>615.0</v>
      </c>
      <c r="F741" s="11">
        <v>9.0</v>
      </c>
      <c r="G741" s="11">
        <v>739.0</v>
      </c>
      <c r="H741" s="9" t="s">
        <v>26</v>
      </c>
      <c r="I741" s="9" t="s">
        <v>3317</v>
      </c>
      <c r="J741" s="9" t="s">
        <v>3318</v>
      </c>
      <c r="K741" s="9" t="s">
        <v>249</v>
      </c>
      <c r="L741" s="9" t="s">
        <v>30</v>
      </c>
      <c r="M741" s="9" t="s">
        <v>31</v>
      </c>
      <c r="N741" s="9" t="s">
        <v>32</v>
      </c>
      <c r="O741" s="12" t="s">
        <v>33</v>
      </c>
      <c r="P741" s="12" t="s">
        <v>34</v>
      </c>
      <c r="Q741" s="9"/>
      <c r="R741" s="18"/>
      <c r="S741" s="18"/>
      <c r="T741" s="18"/>
      <c r="U741" s="18"/>
      <c r="V741" s="18"/>
      <c r="W741" s="15"/>
      <c r="X741" s="15"/>
    </row>
    <row r="742">
      <c r="A742" s="7">
        <v>741.0</v>
      </c>
      <c r="B742" s="8" t="s">
        <v>3319</v>
      </c>
      <c r="C742" s="9" t="s">
        <v>3320</v>
      </c>
      <c r="D742" s="10" t="str">
        <f>HYPERLINK("https://facebook.com/367089020688300_547598045970729", "367089020688300_547598045970729")</f>
        <v>367089020688300_547598045970729</v>
      </c>
      <c r="E742" s="11">
        <v>45.0</v>
      </c>
      <c r="F742" s="11">
        <v>0.0</v>
      </c>
      <c r="G742" s="11">
        <v>29.0</v>
      </c>
      <c r="H742" s="9" t="s">
        <v>26</v>
      </c>
      <c r="I742" s="9" t="s">
        <v>3321</v>
      </c>
      <c r="J742" s="9" t="s">
        <v>3322</v>
      </c>
      <c r="K742" s="9" t="s">
        <v>219</v>
      </c>
      <c r="L742" s="9" t="s">
        <v>30</v>
      </c>
      <c r="M742" s="9" t="s">
        <v>31</v>
      </c>
      <c r="N742" s="9" t="s">
        <v>32</v>
      </c>
      <c r="O742" s="12" t="s">
        <v>33</v>
      </c>
      <c r="P742" s="12" t="s">
        <v>34</v>
      </c>
      <c r="Q742" s="9"/>
      <c r="R742" s="18"/>
      <c r="S742" s="18"/>
      <c r="T742" s="18"/>
      <c r="U742" s="18"/>
      <c r="V742" s="18"/>
      <c r="W742" s="15"/>
      <c r="X742" s="15"/>
    </row>
    <row r="743">
      <c r="A743" s="7">
        <v>742.0</v>
      </c>
      <c r="B743" s="8" t="s">
        <v>3323</v>
      </c>
      <c r="C743" s="9" t="s">
        <v>3324</v>
      </c>
      <c r="D743" s="10" t="str">
        <f>HYPERLINK("https://facebook.com/367089020688300_536545073742693", "367089020688300_536545073742693")</f>
        <v>367089020688300_536545073742693</v>
      </c>
      <c r="E743" s="11">
        <v>6.0</v>
      </c>
      <c r="F743" s="11">
        <v>0.0</v>
      </c>
      <c r="G743" s="11">
        <v>2.0</v>
      </c>
      <c r="H743" s="9" t="s">
        <v>26</v>
      </c>
      <c r="I743" s="9" t="s">
        <v>3325</v>
      </c>
      <c r="J743" s="16" t="s">
        <v>3326</v>
      </c>
      <c r="K743" s="9"/>
      <c r="L743" s="9" t="s">
        <v>30</v>
      </c>
      <c r="M743" s="9" t="s">
        <v>31</v>
      </c>
      <c r="N743" s="9" t="s">
        <v>32</v>
      </c>
      <c r="O743" s="12" t="s">
        <v>33</v>
      </c>
      <c r="P743" s="12" t="s">
        <v>34</v>
      </c>
      <c r="Q743" s="9"/>
      <c r="R743" s="18"/>
      <c r="S743" s="18"/>
      <c r="T743" s="18"/>
      <c r="U743" s="18"/>
      <c r="V743" s="18"/>
      <c r="W743" s="15"/>
      <c r="X743" s="15"/>
    </row>
    <row r="744">
      <c r="A744" s="7">
        <v>743.0</v>
      </c>
      <c r="B744" s="8" t="s">
        <v>3327</v>
      </c>
      <c r="C744" s="9" t="s">
        <v>3328</v>
      </c>
      <c r="D744" s="10" t="str">
        <f>HYPERLINK("https://facebook.com/367089020688300_558456974884836", "367089020688300_558456974884836")</f>
        <v>367089020688300_558456974884836</v>
      </c>
      <c r="E744" s="11">
        <v>294.0</v>
      </c>
      <c r="F744" s="11">
        <v>12.0</v>
      </c>
      <c r="G744" s="11">
        <v>166.0</v>
      </c>
      <c r="H744" s="9" t="s">
        <v>26</v>
      </c>
      <c r="I744" s="9" t="s">
        <v>3329</v>
      </c>
      <c r="J744" s="16" t="s">
        <v>3330</v>
      </c>
      <c r="K744" s="9"/>
      <c r="L744" s="9" t="s">
        <v>30</v>
      </c>
      <c r="M744" s="9" t="s">
        <v>31</v>
      </c>
      <c r="N744" s="9" t="s">
        <v>32</v>
      </c>
      <c r="O744" s="12" t="s">
        <v>33</v>
      </c>
      <c r="P744" s="12" t="s">
        <v>34</v>
      </c>
      <c r="Q744" s="9"/>
      <c r="R744" s="18"/>
      <c r="S744" s="18"/>
      <c r="T744" s="18"/>
      <c r="U744" s="18"/>
      <c r="V744" s="18"/>
      <c r="W744" s="15"/>
      <c r="X744" s="15"/>
    </row>
    <row r="745">
      <c r="A745" s="7">
        <v>744.0</v>
      </c>
      <c r="B745" s="8" t="s">
        <v>3331</v>
      </c>
      <c r="C745" s="9" t="s">
        <v>3332</v>
      </c>
      <c r="D745" s="10" t="str">
        <f>HYPERLINK("https://facebook.com/367089020688300_532866730777194", "367089020688300_532866730777194")</f>
        <v>367089020688300_532866730777194</v>
      </c>
      <c r="E745" s="11">
        <v>332.0</v>
      </c>
      <c r="F745" s="11">
        <v>5.0</v>
      </c>
      <c r="G745" s="11">
        <v>148.0</v>
      </c>
      <c r="H745" s="9" t="s">
        <v>26</v>
      </c>
      <c r="I745" s="9" t="s">
        <v>3333</v>
      </c>
      <c r="J745" s="9" t="s">
        <v>3334</v>
      </c>
      <c r="K745" s="9" t="s">
        <v>3335</v>
      </c>
      <c r="L745" s="9" t="s">
        <v>30</v>
      </c>
      <c r="M745" s="9" t="s">
        <v>31</v>
      </c>
      <c r="N745" s="9" t="s">
        <v>32</v>
      </c>
      <c r="O745" s="12" t="s">
        <v>33</v>
      </c>
      <c r="P745" s="12" t="s">
        <v>34</v>
      </c>
      <c r="Q745" s="9"/>
      <c r="R745" s="18"/>
      <c r="S745" s="18"/>
      <c r="T745" s="18"/>
      <c r="U745" s="18"/>
      <c r="V745" s="18"/>
      <c r="W745" s="15"/>
      <c r="X745" s="15"/>
    </row>
    <row r="746">
      <c r="A746" s="7">
        <v>745.0</v>
      </c>
      <c r="B746" s="8" t="s">
        <v>3336</v>
      </c>
      <c r="C746" s="9" t="s">
        <v>3337</v>
      </c>
      <c r="D746" s="10" t="str">
        <f>HYPERLINK("https://facebook.com/367089020688300_426775934719608", "367089020688300_426775934719608")</f>
        <v>367089020688300_426775934719608</v>
      </c>
      <c r="E746" s="11">
        <v>700.0</v>
      </c>
      <c r="F746" s="11">
        <v>4.0</v>
      </c>
      <c r="G746" s="11">
        <v>409.0</v>
      </c>
      <c r="H746" s="9" t="s">
        <v>26</v>
      </c>
      <c r="I746" s="9" t="s">
        <v>1743</v>
      </c>
      <c r="J746" s="9" t="s">
        <v>1744</v>
      </c>
      <c r="K746" s="9" t="s">
        <v>249</v>
      </c>
      <c r="L746" s="9" t="s">
        <v>30</v>
      </c>
      <c r="M746" s="9" t="s">
        <v>31</v>
      </c>
      <c r="N746" s="9" t="s">
        <v>32</v>
      </c>
      <c r="O746" s="12" t="s">
        <v>33</v>
      </c>
      <c r="P746" s="12" t="s">
        <v>34</v>
      </c>
      <c r="Q746" s="9"/>
      <c r="R746" s="18"/>
      <c r="S746" s="18"/>
      <c r="T746" s="18"/>
      <c r="U746" s="18"/>
      <c r="V746" s="18"/>
      <c r="W746" s="15"/>
      <c r="X746" s="15"/>
    </row>
    <row r="747">
      <c r="A747" s="7">
        <v>746.0</v>
      </c>
      <c r="B747" s="8" t="s">
        <v>3338</v>
      </c>
      <c r="C747" s="9" t="s">
        <v>3339</v>
      </c>
      <c r="D747" s="10" t="str">
        <f>HYPERLINK("https://facebook.com/367089020688300_550904355640098", "367089020688300_550904355640098")</f>
        <v>367089020688300_550904355640098</v>
      </c>
      <c r="E747" s="11">
        <v>170.0</v>
      </c>
      <c r="F747" s="11">
        <v>0.0</v>
      </c>
      <c r="G747" s="11">
        <v>456.0</v>
      </c>
      <c r="H747" s="9" t="s">
        <v>26</v>
      </c>
      <c r="I747" s="9" t="s">
        <v>3340</v>
      </c>
      <c r="J747" s="16" t="s">
        <v>3341</v>
      </c>
      <c r="K747" s="9"/>
      <c r="L747" s="9" t="s">
        <v>30</v>
      </c>
      <c r="M747" s="9" t="s">
        <v>31</v>
      </c>
      <c r="N747" s="9" t="s">
        <v>32</v>
      </c>
      <c r="O747" s="12" t="s">
        <v>33</v>
      </c>
      <c r="P747" s="12" t="s">
        <v>34</v>
      </c>
      <c r="Q747" s="9"/>
      <c r="R747" s="18"/>
      <c r="S747" s="18"/>
      <c r="T747" s="18"/>
      <c r="U747" s="18"/>
      <c r="V747" s="18"/>
      <c r="W747" s="15"/>
      <c r="X747" s="15"/>
    </row>
    <row r="748">
      <c r="A748" s="7">
        <v>747.0</v>
      </c>
      <c r="B748" s="8" t="s">
        <v>3342</v>
      </c>
      <c r="C748" s="9" t="s">
        <v>3343</v>
      </c>
      <c r="D748" s="10" t="str">
        <f>HYPERLINK("https://facebook.com/367089020688300_562035011193699", "367089020688300_562035011193699")</f>
        <v>367089020688300_562035011193699</v>
      </c>
      <c r="E748" s="11">
        <v>176.0</v>
      </c>
      <c r="F748" s="11">
        <v>3.0</v>
      </c>
      <c r="G748" s="11">
        <v>117.0</v>
      </c>
      <c r="H748" s="9" t="s">
        <v>26</v>
      </c>
      <c r="I748" s="9" t="s">
        <v>3344</v>
      </c>
      <c r="J748" s="9" t="s">
        <v>3345</v>
      </c>
      <c r="K748" s="9" t="s">
        <v>3346</v>
      </c>
      <c r="L748" s="9" t="s">
        <v>30</v>
      </c>
      <c r="M748" s="9" t="s">
        <v>31</v>
      </c>
      <c r="N748" s="9" t="s">
        <v>32</v>
      </c>
      <c r="O748" s="12" t="s">
        <v>33</v>
      </c>
      <c r="P748" s="12" t="s">
        <v>34</v>
      </c>
      <c r="Q748" s="9"/>
      <c r="R748" s="18"/>
      <c r="S748" s="18"/>
      <c r="T748" s="18"/>
      <c r="U748" s="18"/>
      <c r="V748" s="18"/>
      <c r="W748" s="15"/>
      <c r="X748" s="15"/>
    </row>
    <row r="749">
      <c r="A749" s="7">
        <v>748.0</v>
      </c>
      <c r="B749" s="8" t="s">
        <v>3347</v>
      </c>
      <c r="C749" s="9" t="s">
        <v>3348</v>
      </c>
      <c r="D749" s="10" t="str">
        <f>HYPERLINK("https://facebook.com/367089020688300_367551743975361", "367089020688300_367551743975361")</f>
        <v>367089020688300_367551743975361</v>
      </c>
      <c r="E749" s="11">
        <v>200.0</v>
      </c>
      <c r="F749" s="11">
        <v>5.0</v>
      </c>
      <c r="G749" s="11">
        <v>216.0</v>
      </c>
      <c r="H749" s="9" t="s">
        <v>26</v>
      </c>
      <c r="I749" s="9" t="s">
        <v>3349</v>
      </c>
      <c r="J749" s="9" t="s">
        <v>3350</v>
      </c>
      <c r="K749" s="9" t="s">
        <v>1874</v>
      </c>
      <c r="L749" s="9" t="s">
        <v>30</v>
      </c>
      <c r="M749" s="9" t="s">
        <v>31</v>
      </c>
      <c r="N749" s="9" t="s">
        <v>32</v>
      </c>
      <c r="O749" s="12" t="s">
        <v>33</v>
      </c>
      <c r="P749" s="12" t="s">
        <v>34</v>
      </c>
      <c r="Q749" s="9"/>
      <c r="R749" s="18"/>
      <c r="S749" s="18"/>
      <c r="T749" s="18"/>
      <c r="U749" s="18"/>
      <c r="V749" s="18"/>
      <c r="W749" s="15"/>
      <c r="X749" s="15"/>
    </row>
    <row r="750">
      <c r="A750" s="7">
        <v>749.0</v>
      </c>
      <c r="B750" s="8" t="s">
        <v>3351</v>
      </c>
      <c r="C750" s="9" t="s">
        <v>3352</v>
      </c>
      <c r="D750" s="10" t="str">
        <f>HYPERLINK("https://facebook.com/367089020688300_532643767466157", "367089020688300_532643767466157")</f>
        <v>367089020688300_532643767466157</v>
      </c>
      <c r="E750" s="11">
        <v>73.0</v>
      </c>
      <c r="F750" s="11">
        <v>2.0</v>
      </c>
      <c r="G750" s="11">
        <v>80.0</v>
      </c>
      <c r="H750" s="9" t="s">
        <v>26</v>
      </c>
      <c r="I750" s="9" t="s">
        <v>3353</v>
      </c>
      <c r="J750" s="9" t="s">
        <v>3354</v>
      </c>
      <c r="K750" s="9" t="s">
        <v>3355</v>
      </c>
      <c r="L750" s="9" t="s">
        <v>30</v>
      </c>
      <c r="M750" s="9" t="s">
        <v>31</v>
      </c>
      <c r="N750" s="9" t="s">
        <v>32</v>
      </c>
      <c r="O750" s="12" t="s">
        <v>33</v>
      </c>
      <c r="P750" s="12" t="s">
        <v>34</v>
      </c>
      <c r="Q750" s="9"/>
      <c r="R750" s="18"/>
      <c r="S750" s="18"/>
      <c r="T750" s="18"/>
      <c r="U750" s="18"/>
      <c r="V750" s="18"/>
      <c r="W750" s="15"/>
      <c r="X750" s="15"/>
    </row>
    <row r="751">
      <c r="A751" s="7">
        <v>750.0</v>
      </c>
      <c r="B751" s="8" t="s">
        <v>3356</v>
      </c>
      <c r="C751" s="9" t="s">
        <v>3357</v>
      </c>
      <c r="D751" s="10" t="str">
        <f>HYPERLINK("https://facebook.com/367089020688300_477540119643189", "367089020688300_477540119643189")</f>
        <v>367089020688300_477540119643189</v>
      </c>
      <c r="E751" s="11">
        <v>1237.0</v>
      </c>
      <c r="F751" s="11">
        <v>10.0</v>
      </c>
      <c r="G751" s="11">
        <v>450.0</v>
      </c>
      <c r="H751" s="9" t="s">
        <v>26</v>
      </c>
      <c r="I751" s="9" t="s">
        <v>3358</v>
      </c>
      <c r="J751" s="9" t="s">
        <v>3359</v>
      </c>
      <c r="K751" s="9" t="s">
        <v>2556</v>
      </c>
      <c r="L751" s="9" t="s">
        <v>30</v>
      </c>
      <c r="M751" s="9" t="s">
        <v>31</v>
      </c>
      <c r="N751" s="9" t="s">
        <v>32</v>
      </c>
      <c r="O751" s="12" t="s">
        <v>33</v>
      </c>
      <c r="P751" s="12" t="s">
        <v>34</v>
      </c>
      <c r="Q751" s="9"/>
      <c r="R751" s="18"/>
      <c r="S751" s="18"/>
      <c r="T751" s="18"/>
      <c r="U751" s="18"/>
      <c r="V751" s="18"/>
      <c r="W751" s="15"/>
      <c r="X751" s="15"/>
    </row>
    <row r="752">
      <c r="A752" s="7">
        <v>751.0</v>
      </c>
      <c r="B752" s="8" t="s">
        <v>3360</v>
      </c>
      <c r="C752" s="9" t="s">
        <v>3361</v>
      </c>
      <c r="D752" s="10" t="str">
        <f>HYPERLINK("https://facebook.com/367089020688300_500549000675634", "367089020688300_500549000675634")</f>
        <v>367089020688300_500549000675634</v>
      </c>
      <c r="E752" s="11">
        <v>669.0</v>
      </c>
      <c r="F752" s="11">
        <v>20.0</v>
      </c>
      <c r="G752" s="11">
        <v>290.0</v>
      </c>
      <c r="H752" s="9" t="s">
        <v>26</v>
      </c>
      <c r="I752" s="9" t="s">
        <v>3362</v>
      </c>
      <c r="J752" s="9" t="s">
        <v>3363</v>
      </c>
      <c r="K752" s="9" t="s">
        <v>3364</v>
      </c>
      <c r="L752" s="9" t="s">
        <v>30</v>
      </c>
      <c r="M752" s="9" t="s">
        <v>31</v>
      </c>
      <c r="N752" s="9" t="s">
        <v>32</v>
      </c>
      <c r="O752" s="12" t="s">
        <v>33</v>
      </c>
      <c r="P752" s="12" t="s">
        <v>34</v>
      </c>
      <c r="Q752" s="9"/>
      <c r="R752" s="18"/>
      <c r="S752" s="18"/>
      <c r="T752" s="18"/>
      <c r="U752" s="18"/>
      <c r="V752" s="18"/>
      <c r="W752" s="15"/>
      <c r="X752" s="15"/>
    </row>
    <row r="753">
      <c r="A753" s="7">
        <v>752.0</v>
      </c>
      <c r="B753" s="8" t="s">
        <v>3365</v>
      </c>
      <c r="C753" s="9" t="s">
        <v>3366</v>
      </c>
      <c r="D753" s="10" t="str">
        <f>HYPERLINK("https://facebook.com/367089020688300_467793590617842", "367089020688300_467793590617842")</f>
        <v>367089020688300_467793590617842</v>
      </c>
      <c r="E753" s="11">
        <v>500.0</v>
      </c>
      <c r="F753" s="11">
        <v>12.0</v>
      </c>
      <c r="G753" s="11">
        <v>790.0</v>
      </c>
      <c r="H753" s="9" t="s">
        <v>26</v>
      </c>
      <c r="I753" s="9" t="s">
        <v>3367</v>
      </c>
      <c r="J753" s="9" t="s">
        <v>3368</v>
      </c>
      <c r="K753" s="9" t="s">
        <v>920</v>
      </c>
      <c r="L753" s="9" t="s">
        <v>30</v>
      </c>
      <c r="M753" s="9" t="s">
        <v>31</v>
      </c>
      <c r="N753" s="9" t="s">
        <v>32</v>
      </c>
      <c r="O753" s="12" t="s">
        <v>33</v>
      </c>
      <c r="P753" s="12" t="s">
        <v>34</v>
      </c>
      <c r="Q753" s="9"/>
      <c r="R753" s="18"/>
      <c r="S753" s="18"/>
      <c r="T753" s="18"/>
      <c r="U753" s="18"/>
      <c r="V753" s="18"/>
      <c r="W753" s="15"/>
      <c r="X753" s="15"/>
    </row>
    <row r="754">
      <c r="A754" s="7">
        <v>753.0</v>
      </c>
      <c r="B754" s="8" t="s">
        <v>3369</v>
      </c>
      <c r="C754" s="9" t="s">
        <v>3370</v>
      </c>
      <c r="D754" s="10" t="str">
        <f>HYPERLINK("https://facebook.com/367089020688300_540551930008674", "367089020688300_540551930008674")</f>
        <v>367089020688300_540551930008674</v>
      </c>
      <c r="E754" s="11">
        <v>3.0</v>
      </c>
      <c r="F754" s="11">
        <v>0.0</v>
      </c>
      <c r="G754" s="11">
        <v>0.0</v>
      </c>
      <c r="H754" s="9" t="s">
        <v>26</v>
      </c>
      <c r="I754" s="9" t="s">
        <v>3371</v>
      </c>
      <c r="J754" s="16" t="s">
        <v>3372</v>
      </c>
      <c r="K754" s="9"/>
      <c r="L754" s="9" t="s">
        <v>30</v>
      </c>
      <c r="M754" s="9" t="s">
        <v>31</v>
      </c>
      <c r="N754" s="9" t="s">
        <v>32</v>
      </c>
      <c r="O754" s="12" t="s">
        <v>33</v>
      </c>
      <c r="P754" s="12" t="s">
        <v>34</v>
      </c>
      <c r="Q754" s="9"/>
      <c r="R754" s="18"/>
      <c r="S754" s="18"/>
      <c r="T754" s="18"/>
      <c r="U754" s="18"/>
      <c r="V754" s="18"/>
      <c r="W754" s="15"/>
      <c r="X754" s="15"/>
    </row>
    <row r="755">
      <c r="A755" s="7">
        <v>754.0</v>
      </c>
      <c r="B755" s="8" t="s">
        <v>3373</v>
      </c>
      <c r="C755" s="9" t="s">
        <v>3374</v>
      </c>
      <c r="D755" s="10" t="str">
        <f>HYPERLINK("https://facebook.com/367089020688300_551864018877465", "367089020688300_551864018877465")</f>
        <v>367089020688300_551864018877465</v>
      </c>
      <c r="E755" s="11">
        <v>136.0</v>
      </c>
      <c r="F755" s="11">
        <v>2.0</v>
      </c>
      <c r="G755" s="11">
        <v>198.0</v>
      </c>
      <c r="H755" s="9" t="s">
        <v>26</v>
      </c>
      <c r="I755" s="9" t="s">
        <v>3375</v>
      </c>
      <c r="J755" s="9" t="s">
        <v>3376</v>
      </c>
      <c r="K755" s="9" t="s">
        <v>3377</v>
      </c>
      <c r="L755" s="9" t="s">
        <v>30</v>
      </c>
      <c r="M755" s="9" t="s">
        <v>31</v>
      </c>
      <c r="N755" s="9" t="s">
        <v>32</v>
      </c>
      <c r="O755" s="12" t="s">
        <v>33</v>
      </c>
      <c r="P755" s="12" t="s">
        <v>34</v>
      </c>
      <c r="Q755" s="9"/>
      <c r="R755" s="18"/>
      <c r="S755" s="18"/>
      <c r="T755" s="18"/>
      <c r="U755" s="18"/>
      <c r="V755" s="18"/>
      <c r="W755" s="15"/>
      <c r="X755" s="15"/>
    </row>
    <row r="756">
      <c r="A756" s="7">
        <v>755.0</v>
      </c>
      <c r="B756" s="8" t="s">
        <v>3378</v>
      </c>
      <c r="C756" s="9" t="s">
        <v>3379</v>
      </c>
      <c r="D756" s="10" t="str">
        <f>HYPERLINK("https://facebook.com/367089020688300_554900105240523", "367089020688300_554900105240523")</f>
        <v>367089020688300_554900105240523</v>
      </c>
      <c r="E756" s="11">
        <v>60.0</v>
      </c>
      <c r="F756" s="11">
        <v>0.0</v>
      </c>
      <c r="G756" s="11">
        <v>7.0</v>
      </c>
      <c r="H756" s="9" t="s">
        <v>26</v>
      </c>
      <c r="I756" s="9" t="s">
        <v>3380</v>
      </c>
      <c r="J756" s="16" t="s">
        <v>3381</v>
      </c>
      <c r="K756" s="9"/>
      <c r="L756" s="9" t="s">
        <v>30</v>
      </c>
      <c r="M756" s="9" t="s">
        <v>31</v>
      </c>
      <c r="N756" s="9" t="s">
        <v>32</v>
      </c>
      <c r="O756" s="12" t="s">
        <v>33</v>
      </c>
      <c r="P756" s="12" t="s">
        <v>34</v>
      </c>
      <c r="Q756" s="9"/>
      <c r="R756" s="18"/>
      <c r="S756" s="18"/>
      <c r="T756" s="18"/>
      <c r="U756" s="18"/>
      <c r="V756" s="18"/>
      <c r="W756" s="15"/>
      <c r="X756" s="15"/>
    </row>
    <row r="757">
      <c r="A757" s="7">
        <v>756.0</v>
      </c>
      <c r="B757" s="8" t="s">
        <v>3382</v>
      </c>
      <c r="C757" s="9" t="s">
        <v>3383</v>
      </c>
      <c r="D757" s="10" t="str">
        <f>HYPERLINK("https://facebook.com/367089020688300_515618215835379", "367089020688300_515618215835379")</f>
        <v>367089020688300_515618215835379</v>
      </c>
      <c r="E757" s="11">
        <v>11.0</v>
      </c>
      <c r="F757" s="11">
        <v>0.0</v>
      </c>
      <c r="G757" s="11">
        <v>41.0</v>
      </c>
      <c r="H757" s="9" t="s">
        <v>26</v>
      </c>
      <c r="I757" s="9" t="s">
        <v>3384</v>
      </c>
      <c r="J757" s="9" t="s">
        <v>3385</v>
      </c>
      <c r="K757" s="9" t="s">
        <v>3386</v>
      </c>
      <c r="L757" s="9" t="s">
        <v>30</v>
      </c>
      <c r="M757" s="9" t="s">
        <v>31</v>
      </c>
      <c r="N757" s="9" t="s">
        <v>32</v>
      </c>
      <c r="O757" s="12" t="s">
        <v>33</v>
      </c>
      <c r="P757" s="12" t="s">
        <v>34</v>
      </c>
      <c r="Q757" s="9"/>
      <c r="R757" s="18"/>
      <c r="S757" s="18"/>
      <c r="T757" s="18"/>
      <c r="U757" s="18"/>
      <c r="V757" s="18"/>
      <c r="W757" s="15"/>
      <c r="X757" s="15"/>
    </row>
    <row r="758">
      <c r="A758" s="7">
        <v>757.0</v>
      </c>
      <c r="B758" s="8" t="s">
        <v>3387</v>
      </c>
      <c r="C758" s="9" t="s">
        <v>3388</v>
      </c>
      <c r="D758" s="10" t="str">
        <f>HYPERLINK("https://facebook.com/367089020688300_551606022236598", "367089020688300_551606022236598")</f>
        <v>367089020688300_551606022236598</v>
      </c>
      <c r="E758" s="11">
        <v>421.0</v>
      </c>
      <c r="F758" s="11">
        <v>1.0</v>
      </c>
      <c r="G758" s="11">
        <v>314.0</v>
      </c>
      <c r="H758" s="9" t="s">
        <v>26</v>
      </c>
      <c r="I758" s="9" t="s">
        <v>1760</v>
      </c>
      <c r="J758" s="16" t="s">
        <v>3389</v>
      </c>
      <c r="K758" s="9"/>
      <c r="L758" s="9" t="s">
        <v>30</v>
      </c>
      <c r="M758" s="9" t="s">
        <v>31</v>
      </c>
      <c r="N758" s="9" t="s">
        <v>32</v>
      </c>
      <c r="O758" s="12" t="s">
        <v>33</v>
      </c>
      <c r="P758" s="12" t="s">
        <v>34</v>
      </c>
      <c r="Q758" s="9"/>
      <c r="R758" s="18"/>
      <c r="S758" s="18"/>
      <c r="T758" s="18"/>
      <c r="U758" s="18"/>
      <c r="V758" s="18"/>
      <c r="W758" s="15"/>
      <c r="X758" s="15"/>
    </row>
    <row r="759">
      <c r="A759" s="7">
        <v>758.0</v>
      </c>
      <c r="B759" s="8" t="s">
        <v>3390</v>
      </c>
      <c r="C759" s="9" t="s">
        <v>3391</v>
      </c>
      <c r="D759" s="10" t="str">
        <f>HYPERLINK("https://facebook.com/367089020688300_549808455749688", "367089020688300_549808455749688")</f>
        <v>367089020688300_549808455749688</v>
      </c>
      <c r="E759" s="11">
        <v>111.0</v>
      </c>
      <c r="F759" s="11">
        <v>2.0</v>
      </c>
      <c r="G759" s="11">
        <v>124.0</v>
      </c>
      <c r="H759" s="9" t="s">
        <v>26</v>
      </c>
      <c r="I759" s="9" t="s">
        <v>3392</v>
      </c>
      <c r="J759" s="16" t="s">
        <v>3393</v>
      </c>
      <c r="K759" s="9"/>
      <c r="L759" s="9" t="s">
        <v>30</v>
      </c>
      <c r="M759" s="9" t="s">
        <v>31</v>
      </c>
      <c r="N759" s="9" t="s">
        <v>32</v>
      </c>
      <c r="O759" s="12" t="s">
        <v>33</v>
      </c>
      <c r="P759" s="12" t="s">
        <v>34</v>
      </c>
      <c r="Q759" s="9"/>
      <c r="R759" s="18"/>
      <c r="S759" s="18"/>
      <c r="T759" s="18"/>
      <c r="U759" s="18"/>
      <c r="V759" s="18"/>
      <c r="W759" s="15"/>
      <c r="X759" s="15"/>
    </row>
    <row r="760">
      <c r="A760" s="7">
        <v>759.0</v>
      </c>
      <c r="B760" s="8" t="s">
        <v>3394</v>
      </c>
      <c r="C760" s="9" t="s">
        <v>3395</v>
      </c>
      <c r="D760" s="10" t="str">
        <f>HYPERLINK("https://facebook.com/367089020688300_555575015173032", "367089020688300_555575015173032")</f>
        <v>367089020688300_555575015173032</v>
      </c>
      <c r="E760" s="11">
        <v>9.0</v>
      </c>
      <c r="F760" s="11">
        <v>0.0</v>
      </c>
      <c r="G760" s="11">
        <v>22.0</v>
      </c>
      <c r="H760" s="9" t="s">
        <v>26</v>
      </c>
      <c r="I760" s="9" t="s">
        <v>3396</v>
      </c>
      <c r="J760" s="16" t="s">
        <v>3397</v>
      </c>
      <c r="K760" s="9"/>
      <c r="L760" s="9" t="s">
        <v>30</v>
      </c>
      <c r="M760" s="9" t="s">
        <v>31</v>
      </c>
      <c r="N760" s="9" t="s">
        <v>32</v>
      </c>
      <c r="O760" s="12" t="s">
        <v>33</v>
      </c>
      <c r="P760" s="12" t="s">
        <v>34</v>
      </c>
      <c r="Q760" s="9"/>
      <c r="R760" s="18"/>
      <c r="S760" s="18"/>
      <c r="T760" s="18"/>
      <c r="U760" s="18"/>
      <c r="V760" s="18"/>
      <c r="W760" s="15"/>
      <c r="X760" s="15"/>
    </row>
    <row r="761">
      <c r="A761" s="7">
        <v>760.0</v>
      </c>
      <c r="B761" s="8" t="s">
        <v>3398</v>
      </c>
      <c r="C761" s="9" t="s">
        <v>3399</v>
      </c>
      <c r="D761" s="10" t="str">
        <f>HYPERLINK("https://facebook.com/367089020688300_542270303170170", "367089020688300_542270303170170")</f>
        <v>367089020688300_542270303170170</v>
      </c>
      <c r="E761" s="11">
        <v>63.0</v>
      </c>
      <c r="F761" s="11">
        <v>0.0</v>
      </c>
      <c r="G761" s="11">
        <v>30.0</v>
      </c>
      <c r="H761" s="9" t="s">
        <v>26</v>
      </c>
      <c r="I761" s="9" t="s">
        <v>3400</v>
      </c>
      <c r="J761" s="9" t="s">
        <v>3401</v>
      </c>
      <c r="K761" s="9" t="s">
        <v>3402</v>
      </c>
      <c r="L761" s="9" t="s">
        <v>30</v>
      </c>
      <c r="M761" s="9" t="s">
        <v>31</v>
      </c>
      <c r="N761" s="9" t="s">
        <v>32</v>
      </c>
      <c r="O761" s="12" t="s">
        <v>33</v>
      </c>
      <c r="P761" s="12" t="s">
        <v>34</v>
      </c>
      <c r="Q761" s="9"/>
      <c r="R761" s="18"/>
      <c r="S761" s="18"/>
      <c r="T761" s="18"/>
      <c r="U761" s="18"/>
      <c r="V761" s="18"/>
      <c r="W761" s="15"/>
      <c r="X761" s="15"/>
    </row>
    <row r="762">
      <c r="A762" s="7">
        <v>761.0</v>
      </c>
      <c r="B762" s="8" t="s">
        <v>3403</v>
      </c>
      <c r="C762" s="9" t="s">
        <v>3404</v>
      </c>
      <c r="D762" s="10" t="str">
        <f>HYPERLINK("https://facebook.com/367089020688300_562453704485163", "367089020688300_562453704485163")</f>
        <v>367089020688300_562453704485163</v>
      </c>
      <c r="E762" s="11">
        <v>11.0</v>
      </c>
      <c r="F762" s="11">
        <v>0.0</v>
      </c>
      <c r="G762" s="11">
        <v>15.0</v>
      </c>
      <c r="H762" s="9" t="s">
        <v>26</v>
      </c>
      <c r="I762" s="9" t="s">
        <v>3405</v>
      </c>
      <c r="J762" s="16" t="s">
        <v>3406</v>
      </c>
      <c r="K762" s="9"/>
      <c r="L762" s="9" t="s">
        <v>30</v>
      </c>
      <c r="M762" s="9" t="s">
        <v>31</v>
      </c>
      <c r="N762" s="9" t="s">
        <v>32</v>
      </c>
      <c r="O762" s="12" t="s">
        <v>33</v>
      </c>
      <c r="P762" s="12" t="s">
        <v>34</v>
      </c>
      <c r="Q762" s="9"/>
      <c r="R762" s="18"/>
      <c r="S762" s="18"/>
      <c r="T762" s="18"/>
      <c r="U762" s="18"/>
      <c r="V762" s="18"/>
      <c r="W762" s="15"/>
      <c r="X762" s="15"/>
    </row>
    <row r="763">
      <c r="A763" s="7">
        <v>762.0</v>
      </c>
      <c r="B763" s="8" t="s">
        <v>3407</v>
      </c>
      <c r="C763" s="9" t="s">
        <v>3408</v>
      </c>
      <c r="D763" s="10" t="str">
        <f>HYPERLINK("https://facebook.com/367089020688300_555181081879092", "367089020688300_555181081879092")</f>
        <v>367089020688300_555181081879092</v>
      </c>
      <c r="E763" s="11">
        <v>13.0</v>
      </c>
      <c r="F763" s="11">
        <v>0.0</v>
      </c>
      <c r="G763" s="11">
        <v>47.0</v>
      </c>
      <c r="H763" s="9" t="s">
        <v>26</v>
      </c>
      <c r="I763" s="9" t="s">
        <v>2554</v>
      </c>
      <c r="J763" s="9" t="s">
        <v>3409</v>
      </c>
      <c r="K763" s="9" t="s">
        <v>3410</v>
      </c>
      <c r="L763" s="9" t="s">
        <v>30</v>
      </c>
      <c r="M763" s="9" t="s">
        <v>31</v>
      </c>
      <c r="N763" s="9" t="s">
        <v>32</v>
      </c>
      <c r="O763" s="12" t="s">
        <v>33</v>
      </c>
      <c r="P763" s="12" t="s">
        <v>34</v>
      </c>
      <c r="Q763" s="9"/>
      <c r="R763" s="18"/>
      <c r="S763" s="18"/>
      <c r="T763" s="18"/>
      <c r="U763" s="18"/>
      <c r="V763" s="18"/>
      <c r="W763" s="15"/>
      <c r="X763" s="15"/>
    </row>
    <row r="764">
      <c r="A764" s="7">
        <v>763.0</v>
      </c>
      <c r="B764" s="8" t="s">
        <v>3411</v>
      </c>
      <c r="C764" s="9" t="s">
        <v>3412</v>
      </c>
      <c r="D764" s="10" t="str">
        <f>HYPERLINK("https://facebook.com/367089020688300_548992979164569", "367089020688300_548992979164569")</f>
        <v>367089020688300_548992979164569</v>
      </c>
      <c r="E764" s="11">
        <v>2080.0</v>
      </c>
      <c r="F764" s="11">
        <v>77.0</v>
      </c>
      <c r="G764" s="11">
        <v>1725.0</v>
      </c>
      <c r="H764" s="9" t="s">
        <v>26</v>
      </c>
      <c r="I764" s="9" t="s">
        <v>3413</v>
      </c>
      <c r="J764" s="16" t="s">
        <v>3414</v>
      </c>
      <c r="K764" s="9"/>
      <c r="L764" s="9" t="s">
        <v>30</v>
      </c>
      <c r="M764" s="9" t="s">
        <v>31</v>
      </c>
      <c r="N764" s="9" t="s">
        <v>32</v>
      </c>
      <c r="O764" s="12" t="s">
        <v>33</v>
      </c>
      <c r="P764" s="12" t="s">
        <v>34</v>
      </c>
      <c r="Q764" s="9"/>
      <c r="R764" s="18"/>
      <c r="S764" s="18"/>
      <c r="T764" s="18"/>
      <c r="U764" s="18"/>
      <c r="V764" s="18"/>
      <c r="W764" s="15"/>
      <c r="X764" s="15"/>
    </row>
    <row r="765">
      <c r="A765" s="7">
        <v>764.0</v>
      </c>
      <c r="B765" s="8" t="s">
        <v>3415</v>
      </c>
      <c r="C765" s="9" t="s">
        <v>3416</v>
      </c>
      <c r="D765" s="10" t="str">
        <f>HYPERLINK("https://facebook.com/367089020688300_548366132560587", "367089020688300_548366132560587")</f>
        <v>367089020688300_548366132560587</v>
      </c>
      <c r="E765" s="11">
        <v>739.0</v>
      </c>
      <c r="F765" s="11">
        <v>79.0</v>
      </c>
      <c r="G765" s="11">
        <v>417.0</v>
      </c>
      <c r="H765" s="9" t="s">
        <v>26</v>
      </c>
      <c r="I765" s="9" t="s">
        <v>3417</v>
      </c>
      <c r="J765" s="9" t="s">
        <v>3418</v>
      </c>
      <c r="K765" s="9" t="s">
        <v>3419</v>
      </c>
      <c r="L765" s="9" t="s">
        <v>30</v>
      </c>
      <c r="M765" s="9" t="s">
        <v>31</v>
      </c>
      <c r="N765" s="9" t="s">
        <v>32</v>
      </c>
      <c r="O765" s="12" t="s">
        <v>33</v>
      </c>
      <c r="P765" s="12" t="s">
        <v>34</v>
      </c>
      <c r="Q765" s="9"/>
      <c r="R765" s="18"/>
      <c r="S765" s="18"/>
      <c r="T765" s="18"/>
      <c r="U765" s="18"/>
      <c r="V765" s="18"/>
      <c r="W765" s="15"/>
      <c r="X765" s="15"/>
    </row>
    <row r="766">
      <c r="A766" s="7">
        <v>765.0</v>
      </c>
      <c r="B766" s="8" t="s">
        <v>3420</v>
      </c>
      <c r="C766" s="9" t="s">
        <v>3421</v>
      </c>
      <c r="D766" s="10" t="str">
        <f>HYPERLINK("https://facebook.com/367089020688300_539175190146348", "367089020688300_539175190146348")</f>
        <v>367089020688300_539175190146348</v>
      </c>
      <c r="E766" s="11">
        <v>62.0</v>
      </c>
      <c r="F766" s="11">
        <v>2.0</v>
      </c>
      <c r="G766" s="11">
        <v>76.0</v>
      </c>
      <c r="H766" s="9" t="s">
        <v>26</v>
      </c>
      <c r="I766" s="9" t="s">
        <v>3422</v>
      </c>
      <c r="J766" s="9" t="s">
        <v>3423</v>
      </c>
      <c r="K766" s="9" t="s">
        <v>577</v>
      </c>
      <c r="L766" s="9" t="s">
        <v>30</v>
      </c>
      <c r="M766" s="9" t="s">
        <v>31</v>
      </c>
      <c r="N766" s="9" t="s">
        <v>32</v>
      </c>
      <c r="O766" s="12" t="s">
        <v>33</v>
      </c>
      <c r="P766" s="12" t="s">
        <v>34</v>
      </c>
      <c r="Q766" s="9"/>
      <c r="R766" s="18"/>
      <c r="S766" s="18"/>
      <c r="T766" s="18"/>
      <c r="U766" s="18"/>
      <c r="V766" s="18"/>
      <c r="W766" s="15"/>
      <c r="X766" s="15"/>
    </row>
    <row r="767">
      <c r="A767" s="7">
        <v>766.0</v>
      </c>
      <c r="B767" s="8" t="s">
        <v>3424</v>
      </c>
      <c r="C767" s="9" t="s">
        <v>3425</v>
      </c>
      <c r="D767" s="10" t="str">
        <f>HYPERLINK("https://facebook.com/367089020688300_550782028985664", "367089020688300_550782028985664")</f>
        <v>367089020688300_550782028985664</v>
      </c>
      <c r="E767" s="11">
        <v>214.0</v>
      </c>
      <c r="F767" s="11">
        <v>7.0</v>
      </c>
      <c r="G767" s="11">
        <v>56.0</v>
      </c>
      <c r="H767" s="9" t="s">
        <v>26</v>
      </c>
      <c r="I767" s="9" t="s">
        <v>3426</v>
      </c>
      <c r="J767" s="9" t="s">
        <v>3427</v>
      </c>
      <c r="K767" s="9" t="s">
        <v>3428</v>
      </c>
      <c r="L767" s="9" t="s">
        <v>30</v>
      </c>
      <c r="M767" s="9" t="s">
        <v>31</v>
      </c>
      <c r="N767" s="9" t="s">
        <v>32</v>
      </c>
      <c r="O767" s="12" t="s">
        <v>33</v>
      </c>
      <c r="P767" s="12" t="s">
        <v>34</v>
      </c>
      <c r="Q767" s="9"/>
      <c r="R767" s="18"/>
      <c r="S767" s="18"/>
      <c r="T767" s="18"/>
      <c r="U767" s="18"/>
      <c r="V767" s="18"/>
      <c r="W767" s="15"/>
      <c r="X767" s="15"/>
    </row>
    <row r="768">
      <c r="A768" s="7">
        <v>767.0</v>
      </c>
      <c r="B768" s="8" t="s">
        <v>3429</v>
      </c>
      <c r="C768" s="9" t="s">
        <v>3430</v>
      </c>
      <c r="D768" s="10" t="str">
        <f>HYPERLINK("https://facebook.com/367089020688300_502125040518030", "367089020688300_502125040518030")</f>
        <v>367089020688300_502125040518030</v>
      </c>
      <c r="E768" s="11">
        <v>338.0</v>
      </c>
      <c r="F768" s="11">
        <v>3.0</v>
      </c>
      <c r="G768" s="11">
        <v>181.0</v>
      </c>
      <c r="H768" s="9" t="s">
        <v>26</v>
      </c>
      <c r="I768" s="9" t="s">
        <v>3431</v>
      </c>
      <c r="J768" s="16" t="s">
        <v>3432</v>
      </c>
      <c r="K768" s="9"/>
      <c r="L768" s="9" t="s">
        <v>30</v>
      </c>
      <c r="M768" s="9" t="s">
        <v>31</v>
      </c>
      <c r="N768" s="9" t="s">
        <v>32</v>
      </c>
      <c r="O768" s="12" t="s">
        <v>33</v>
      </c>
      <c r="P768" s="12" t="s">
        <v>34</v>
      </c>
      <c r="Q768" s="9"/>
      <c r="R768" s="18"/>
      <c r="S768" s="18"/>
      <c r="T768" s="18"/>
      <c r="U768" s="18"/>
      <c r="V768" s="18"/>
      <c r="W768" s="15"/>
      <c r="X768" s="15"/>
    </row>
    <row r="769">
      <c r="A769" s="7">
        <v>768.0</v>
      </c>
      <c r="B769" s="8" t="s">
        <v>3433</v>
      </c>
      <c r="C769" s="9" t="s">
        <v>3434</v>
      </c>
      <c r="D769" s="10" t="str">
        <f>HYPERLINK("https://facebook.com/367089020688300_546155942781606", "367089020688300_546155942781606")</f>
        <v>367089020688300_546155942781606</v>
      </c>
      <c r="E769" s="11">
        <v>19.0</v>
      </c>
      <c r="F769" s="11">
        <v>0.0</v>
      </c>
      <c r="G769" s="11">
        <v>2.0</v>
      </c>
      <c r="H769" s="9" t="s">
        <v>26</v>
      </c>
      <c r="I769" s="9" t="s">
        <v>3435</v>
      </c>
      <c r="J769" s="9" t="s">
        <v>3436</v>
      </c>
      <c r="K769" s="9" t="s">
        <v>51</v>
      </c>
      <c r="L769" s="9" t="s">
        <v>30</v>
      </c>
      <c r="M769" s="9" t="s">
        <v>31</v>
      </c>
      <c r="N769" s="9" t="s">
        <v>32</v>
      </c>
      <c r="O769" s="12" t="s">
        <v>33</v>
      </c>
      <c r="P769" s="12" t="s">
        <v>34</v>
      </c>
      <c r="Q769" s="9"/>
      <c r="R769" s="18"/>
      <c r="S769" s="18"/>
      <c r="T769" s="18"/>
      <c r="U769" s="18"/>
      <c r="V769" s="18"/>
      <c r="W769" s="15"/>
      <c r="X769" s="15"/>
    </row>
    <row r="770">
      <c r="A770" s="7">
        <v>769.0</v>
      </c>
      <c r="B770" s="8" t="s">
        <v>3437</v>
      </c>
      <c r="C770" s="9" t="s">
        <v>3438</v>
      </c>
      <c r="D770" s="10" t="str">
        <f>HYPERLINK("https://facebook.com/367089020688300_453180255412509", "367089020688300_453180255412509")</f>
        <v>367089020688300_453180255412509</v>
      </c>
      <c r="E770" s="11">
        <v>145.0</v>
      </c>
      <c r="F770" s="11">
        <v>0.0</v>
      </c>
      <c r="G770" s="11">
        <v>169.0</v>
      </c>
      <c r="H770" s="9" t="s">
        <v>26</v>
      </c>
      <c r="I770" s="9" t="s">
        <v>706</v>
      </c>
      <c r="J770" s="9" t="s">
        <v>3439</v>
      </c>
      <c r="K770" s="9" t="s">
        <v>3440</v>
      </c>
      <c r="L770" s="9" t="s">
        <v>30</v>
      </c>
      <c r="M770" s="9" t="s">
        <v>31</v>
      </c>
      <c r="N770" s="9" t="s">
        <v>32</v>
      </c>
      <c r="O770" s="12" t="s">
        <v>33</v>
      </c>
      <c r="P770" s="12" t="s">
        <v>34</v>
      </c>
      <c r="Q770" s="9"/>
      <c r="R770" s="18"/>
      <c r="S770" s="18"/>
      <c r="T770" s="18"/>
      <c r="U770" s="18"/>
      <c r="V770" s="18"/>
      <c r="W770" s="15"/>
      <c r="X770" s="15"/>
    </row>
    <row r="771">
      <c r="A771" s="7">
        <v>770.0</v>
      </c>
      <c r="B771" s="8" t="s">
        <v>3441</v>
      </c>
      <c r="C771" s="9" t="s">
        <v>3442</v>
      </c>
      <c r="D771" s="10" t="str">
        <f>HYPERLINK("https://facebook.com/367089020688300_473647866699081", "367089020688300_473647866699081")</f>
        <v>367089020688300_473647866699081</v>
      </c>
      <c r="E771" s="11">
        <v>692.0</v>
      </c>
      <c r="F771" s="11">
        <v>16.0</v>
      </c>
      <c r="G771" s="11">
        <v>404.0</v>
      </c>
      <c r="H771" s="9" t="s">
        <v>26</v>
      </c>
      <c r="I771" s="9" t="s">
        <v>132</v>
      </c>
      <c r="J771" s="9" t="s">
        <v>3443</v>
      </c>
      <c r="K771" s="9" t="s">
        <v>3444</v>
      </c>
      <c r="L771" s="9" t="s">
        <v>30</v>
      </c>
      <c r="M771" s="9" t="s">
        <v>31</v>
      </c>
      <c r="N771" s="9" t="s">
        <v>32</v>
      </c>
      <c r="O771" s="12" t="s">
        <v>33</v>
      </c>
      <c r="P771" s="12" t="s">
        <v>34</v>
      </c>
      <c r="Q771" s="9"/>
      <c r="R771" s="18"/>
      <c r="S771" s="18"/>
      <c r="T771" s="18"/>
      <c r="U771" s="18"/>
      <c r="V771" s="18"/>
      <c r="W771" s="15"/>
      <c r="X771" s="15"/>
    </row>
    <row r="772">
      <c r="A772" s="7">
        <v>771.0</v>
      </c>
      <c r="B772" s="8" t="s">
        <v>3445</v>
      </c>
      <c r="C772" s="9" t="s">
        <v>3446</v>
      </c>
      <c r="D772" s="10" t="str">
        <f>HYPERLINK("https://facebook.com/367089020688300_538978456832688", "367089020688300_538978456832688")</f>
        <v>367089020688300_538978456832688</v>
      </c>
      <c r="E772" s="11">
        <v>16.0</v>
      </c>
      <c r="F772" s="11">
        <v>0.0</v>
      </c>
      <c r="G772" s="11">
        <v>28.0</v>
      </c>
      <c r="H772" s="9" t="s">
        <v>26</v>
      </c>
      <c r="I772" s="9" t="s">
        <v>3447</v>
      </c>
      <c r="J772" s="16" t="s">
        <v>3448</v>
      </c>
      <c r="K772" s="9"/>
      <c r="L772" s="9" t="s">
        <v>30</v>
      </c>
      <c r="M772" s="9" t="s">
        <v>31</v>
      </c>
      <c r="N772" s="9" t="s">
        <v>32</v>
      </c>
      <c r="O772" s="12" t="s">
        <v>33</v>
      </c>
      <c r="P772" s="12" t="s">
        <v>34</v>
      </c>
      <c r="Q772" s="9"/>
      <c r="R772" s="18"/>
      <c r="S772" s="18"/>
      <c r="T772" s="18"/>
      <c r="U772" s="18"/>
      <c r="V772" s="18"/>
      <c r="W772" s="15"/>
      <c r="X772" s="15"/>
    </row>
    <row r="773">
      <c r="A773" s="7">
        <v>772.0</v>
      </c>
      <c r="B773" s="8" t="s">
        <v>3449</v>
      </c>
      <c r="C773" s="9" t="s">
        <v>3450</v>
      </c>
      <c r="D773" s="10" t="str">
        <f>HYPERLINK("https://facebook.com/367089020688300_558727494857784", "367089020688300_558727494857784")</f>
        <v>367089020688300_558727494857784</v>
      </c>
      <c r="E773" s="11">
        <v>22.0</v>
      </c>
      <c r="F773" s="11">
        <v>0.0</v>
      </c>
      <c r="G773" s="11">
        <v>37.0</v>
      </c>
      <c r="H773" s="9" t="s">
        <v>26</v>
      </c>
      <c r="I773" s="9" t="s">
        <v>3451</v>
      </c>
      <c r="J773" s="16" t="s">
        <v>3452</v>
      </c>
      <c r="K773" s="9"/>
      <c r="L773" s="9" t="s">
        <v>30</v>
      </c>
      <c r="M773" s="9" t="s">
        <v>31</v>
      </c>
      <c r="N773" s="9" t="s">
        <v>32</v>
      </c>
      <c r="O773" s="12" t="s">
        <v>33</v>
      </c>
      <c r="P773" s="12" t="s">
        <v>34</v>
      </c>
      <c r="Q773" s="9"/>
      <c r="R773" s="18"/>
      <c r="S773" s="18"/>
      <c r="T773" s="18"/>
      <c r="U773" s="18"/>
      <c r="V773" s="18"/>
      <c r="W773" s="15"/>
      <c r="X773" s="15"/>
    </row>
    <row r="774">
      <c r="A774" s="7">
        <v>773.0</v>
      </c>
      <c r="B774" s="8" t="s">
        <v>3453</v>
      </c>
      <c r="C774" s="9" t="s">
        <v>3454</v>
      </c>
      <c r="D774" s="10" t="str">
        <f>HYPERLINK("https://facebook.com/367089020688300_545134686217065", "367089020688300_545134686217065")</f>
        <v>367089020688300_545134686217065</v>
      </c>
      <c r="E774" s="11">
        <v>69.0</v>
      </c>
      <c r="F774" s="11">
        <v>0.0</v>
      </c>
      <c r="G774" s="11">
        <v>38.0</v>
      </c>
      <c r="H774" s="9" t="s">
        <v>26</v>
      </c>
      <c r="I774" s="9" t="s">
        <v>3455</v>
      </c>
      <c r="J774" s="9" t="s">
        <v>3456</v>
      </c>
      <c r="K774" s="9" t="s">
        <v>249</v>
      </c>
      <c r="L774" s="9" t="s">
        <v>30</v>
      </c>
      <c r="M774" s="9" t="s">
        <v>31</v>
      </c>
      <c r="N774" s="9" t="s">
        <v>32</v>
      </c>
      <c r="O774" s="12" t="s">
        <v>33</v>
      </c>
      <c r="P774" s="12" t="s">
        <v>34</v>
      </c>
      <c r="Q774" s="9"/>
      <c r="R774" s="18"/>
      <c r="S774" s="18"/>
      <c r="T774" s="18"/>
      <c r="U774" s="18"/>
      <c r="V774" s="18"/>
      <c r="W774" s="15"/>
      <c r="X774" s="15"/>
    </row>
    <row r="775">
      <c r="A775" s="7">
        <v>774.0</v>
      </c>
      <c r="B775" s="21" t="s">
        <v>3457</v>
      </c>
      <c r="C775" s="21" t="s">
        <v>3458</v>
      </c>
      <c r="D775" s="22" t="str">
        <f>HYPERLINK("https://facebook.com/367089020688300_563761451021055", "367089020688300_563761451021055")</f>
        <v>367089020688300_563761451021055</v>
      </c>
      <c r="E775" s="23">
        <v>61.0</v>
      </c>
      <c r="F775" s="23">
        <v>0.0</v>
      </c>
      <c r="G775" s="23">
        <v>42.0</v>
      </c>
      <c r="H775" s="21" t="s">
        <v>26</v>
      </c>
      <c r="I775" s="21" t="s">
        <v>3459</v>
      </c>
      <c r="J775" s="21" t="s">
        <v>3460</v>
      </c>
      <c r="K775" s="21" t="s">
        <v>3461</v>
      </c>
      <c r="L775" s="21" t="s">
        <v>30</v>
      </c>
      <c r="M775" s="21" t="s">
        <v>31</v>
      </c>
      <c r="N775" s="21" t="s">
        <v>32</v>
      </c>
      <c r="O775" s="21" t="s">
        <v>33</v>
      </c>
      <c r="P775" s="12" t="s">
        <v>34</v>
      </c>
      <c r="Q775" s="21"/>
      <c r="R775" s="24"/>
      <c r="S775" s="24"/>
      <c r="T775" s="24"/>
      <c r="U775" s="24"/>
      <c r="V775" s="24"/>
      <c r="W775" s="13" t="s">
        <v>242</v>
      </c>
      <c r="X775" s="24"/>
    </row>
    <row r="776">
      <c r="A776" s="7">
        <v>775.0</v>
      </c>
      <c r="B776" s="8" t="s">
        <v>3462</v>
      </c>
      <c r="C776" s="9" t="s">
        <v>3463</v>
      </c>
      <c r="D776" s="10" t="str">
        <f>HYPERLINK("https://facebook.com/367089020688300_514662379264296", "367089020688300_514662379264296")</f>
        <v>367089020688300_514662379264296</v>
      </c>
      <c r="E776" s="11">
        <v>577.0</v>
      </c>
      <c r="F776" s="11">
        <v>21.0</v>
      </c>
      <c r="G776" s="11">
        <v>850.0</v>
      </c>
      <c r="H776" s="9" t="s">
        <v>26</v>
      </c>
      <c r="I776" s="9" t="s">
        <v>3464</v>
      </c>
      <c r="J776" s="9" t="s">
        <v>3465</v>
      </c>
      <c r="K776" s="9" t="s">
        <v>3466</v>
      </c>
      <c r="L776" s="9" t="s">
        <v>30</v>
      </c>
      <c r="M776" s="9" t="s">
        <v>31</v>
      </c>
      <c r="N776" s="9" t="s">
        <v>32</v>
      </c>
      <c r="O776" s="12" t="s">
        <v>33</v>
      </c>
      <c r="P776" s="12" t="s">
        <v>34</v>
      </c>
      <c r="Q776" s="9"/>
      <c r="R776" s="18"/>
      <c r="S776" s="18"/>
      <c r="T776" s="18"/>
      <c r="U776" s="18"/>
      <c r="V776" s="18"/>
      <c r="W776" s="15"/>
      <c r="X776" s="15"/>
    </row>
    <row r="777">
      <c r="A777" s="7">
        <v>776.0</v>
      </c>
      <c r="B777" s="8" t="s">
        <v>3467</v>
      </c>
      <c r="C777" s="9" t="s">
        <v>3468</v>
      </c>
      <c r="D777" s="10" t="str">
        <f>HYPERLINK("https://facebook.com/367089020688300_555891178474749", "367089020688300_555891178474749")</f>
        <v>367089020688300_555891178474749</v>
      </c>
      <c r="E777" s="11">
        <v>19.0</v>
      </c>
      <c r="F777" s="11">
        <v>0.0</v>
      </c>
      <c r="G777" s="11">
        <v>16.0</v>
      </c>
      <c r="H777" s="9" t="s">
        <v>26</v>
      </c>
      <c r="I777" s="9" t="s">
        <v>3469</v>
      </c>
      <c r="J777" s="9" t="s">
        <v>3470</v>
      </c>
      <c r="K777" s="9" t="s">
        <v>3471</v>
      </c>
      <c r="L777" s="9" t="s">
        <v>30</v>
      </c>
      <c r="M777" s="9" t="s">
        <v>31</v>
      </c>
      <c r="N777" s="9" t="s">
        <v>32</v>
      </c>
      <c r="O777" s="12" t="s">
        <v>33</v>
      </c>
      <c r="P777" s="12" t="s">
        <v>34</v>
      </c>
      <c r="Q777" s="9"/>
      <c r="R777" s="18"/>
      <c r="S777" s="18"/>
      <c r="T777" s="18"/>
      <c r="U777" s="18"/>
      <c r="V777" s="18"/>
      <c r="W777" s="15"/>
      <c r="X777" s="15"/>
    </row>
    <row r="778">
      <c r="A778" s="7">
        <v>777.0</v>
      </c>
      <c r="B778" s="8" t="s">
        <v>3472</v>
      </c>
      <c r="C778" s="9" t="s">
        <v>3473</v>
      </c>
      <c r="D778" s="10" t="str">
        <f>HYPERLINK("https://facebook.com/367089020688300_545000752897125", "367089020688300_545000752897125")</f>
        <v>367089020688300_545000752897125</v>
      </c>
      <c r="E778" s="11">
        <v>701.0</v>
      </c>
      <c r="F778" s="11">
        <v>101.0</v>
      </c>
      <c r="G778" s="11">
        <v>52.0</v>
      </c>
      <c r="H778" s="9" t="s">
        <v>26</v>
      </c>
      <c r="I778" s="9" t="s">
        <v>1764</v>
      </c>
      <c r="J778" s="16" t="s">
        <v>1765</v>
      </c>
      <c r="K778" s="9"/>
      <c r="L778" s="9" t="s">
        <v>30</v>
      </c>
      <c r="M778" s="9" t="s">
        <v>31</v>
      </c>
      <c r="N778" s="9" t="s">
        <v>32</v>
      </c>
      <c r="O778" s="12" t="s">
        <v>33</v>
      </c>
      <c r="P778" s="12" t="s">
        <v>34</v>
      </c>
      <c r="Q778" s="9"/>
      <c r="R778" s="18"/>
      <c r="S778" s="18"/>
      <c r="T778" s="18"/>
      <c r="U778" s="18"/>
      <c r="V778" s="18"/>
      <c r="W778" s="15"/>
      <c r="X778" s="15"/>
    </row>
    <row r="779">
      <c r="A779" s="7">
        <v>778.0</v>
      </c>
      <c r="B779" s="8" t="s">
        <v>3474</v>
      </c>
      <c r="C779" s="9" t="s">
        <v>3475</v>
      </c>
      <c r="D779" s="10" t="str">
        <f>HYPERLINK("https://facebook.com/367089020688300_542775003119700", "367089020688300_542775003119700")</f>
        <v>367089020688300_542775003119700</v>
      </c>
      <c r="E779" s="11">
        <v>45.0</v>
      </c>
      <c r="F779" s="11">
        <v>1.0</v>
      </c>
      <c r="G779" s="11">
        <v>41.0</v>
      </c>
      <c r="H779" s="9" t="s">
        <v>26</v>
      </c>
      <c r="I779" s="9" t="s">
        <v>3476</v>
      </c>
      <c r="J779" s="9" t="s">
        <v>3477</v>
      </c>
      <c r="K779" s="9" t="s">
        <v>249</v>
      </c>
      <c r="L779" s="9" t="s">
        <v>30</v>
      </c>
      <c r="M779" s="9" t="s">
        <v>31</v>
      </c>
      <c r="N779" s="9" t="s">
        <v>32</v>
      </c>
      <c r="O779" s="12" t="s">
        <v>33</v>
      </c>
      <c r="P779" s="12" t="s">
        <v>34</v>
      </c>
      <c r="Q779" s="9"/>
      <c r="R779" s="18"/>
      <c r="S779" s="18"/>
      <c r="T779" s="18"/>
      <c r="U779" s="18"/>
      <c r="V779" s="18"/>
      <c r="W779" s="15"/>
      <c r="X779" s="15"/>
    </row>
    <row r="780">
      <c r="A780" s="7">
        <v>779.0</v>
      </c>
      <c r="B780" s="8" t="s">
        <v>3478</v>
      </c>
      <c r="C780" s="9" t="s">
        <v>3479</v>
      </c>
      <c r="D780" s="10" t="str">
        <f>HYPERLINK("https://facebook.com/367089020688300_535334767197057", "367089020688300_535334767197057")</f>
        <v>367089020688300_535334767197057</v>
      </c>
      <c r="E780" s="11">
        <v>92.0</v>
      </c>
      <c r="F780" s="11">
        <v>0.0</v>
      </c>
      <c r="G780" s="11">
        <v>68.0</v>
      </c>
      <c r="H780" s="9" t="s">
        <v>26</v>
      </c>
      <c r="I780" s="9" t="s">
        <v>3480</v>
      </c>
      <c r="J780" s="16" t="s">
        <v>3481</v>
      </c>
      <c r="K780" s="9"/>
      <c r="L780" s="9" t="s">
        <v>30</v>
      </c>
      <c r="M780" s="9" t="s">
        <v>31</v>
      </c>
      <c r="N780" s="9" t="s">
        <v>32</v>
      </c>
      <c r="O780" s="12" t="s">
        <v>33</v>
      </c>
      <c r="P780" s="12" t="s">
        <v>34</v>
      </c>
      <c r="Q780" s="9"/>
      <c r="R780" s="18"/>
      <c r="S780" s="18"/>
      <c r="T780" s="18"/>
      <c r="U780" s="18"/>
      <c r="V780" s="18"/>
      <c r="W780" s="15"/>
      <c r="X780" s="15"/>
    </row>
    <row r="781">
      <c r="A781" s="7">
        <v>780.0</v>
      </c>
      <c r="B781" s="8" t="s">
        <v>3482</v>
      </c>
      <c r="C781" s="9" t="s">
        <v>3483</v>
      </c>
      <c r="D781" s="10" t="str">
        <f>HYPERLINK("https://facebook.com/367089020688300_555390128524854", "367089020688300_555390128524854")</f>
        <v>367089020688300_555390128524854</v>
      </c>
      <c r="E781" s="11">
        <v>6.0</v>
      </c>
      <c r="F781" s="11">
        <v>1.0</v>
      </c>
      <c r="G781" s="11">
        <v>5.0</v>
      </c>
      <c r="H781" s="9" t="s">
        <v>26</v>
      </c>
      <c r="I781" s="9" t="s">
        <v>3484</v>
      </c>
      <c r="J781" s="9" t="s">
        <v>3485</v>
      </c>
      <c r="K781" s="9" t="s">
        <v>3486</v>
      </c>
      <c r="L781" s="9" t="s">
        <v>30</v>
      </c>
      <c r="M781" s="9" t="s">
        <v>31</v>
      </c>
      <c r="N781" s="9" t="s">
        <v>32</v>
      </c>
      <c r="O781" s="12" t="s">
        <v>33</v>
      </c>
      <c r="P781" s="12" t="s">
        <v>34</v>
      </c>
      <c r="Q781" s="9"/>
      <c r="R781" s="18"/>
      <c r="S781" s="18"/>
      <c r="T781" s="18"/>
      <c r="U781" s="18"/>
      <c r="V781" s="18"/>
      <c r="W781" s="15"/>
      <c r="X781" s="15"/>
    </row>
    <row r="782">
      <c r="A782" s="7">
        <v>781.0</v>
      </c>
      <c r="B782" s="8" t="s">
        <v>3487</v>
      </c>
      <c r="C782" s="9" t="s">
        <v>3488</v>
      </c>
      <c r="D782" s="10" t="str">
        <f>HYPERLINK("https://facebook.com/367089020688300_548945355835998", "367089020688300_548945355835998")</f>
        <v>367089020688300_548945355835998</v>
      </c>
      <c r="E782" s="11">
        <v>1496.0</v>
      </c>
      <c r="F782" s="11">
        <v>276.0</v>
      </c>
      <c r="G782" s="11">
        <v>438.0</v>
      </c>
      <c r="H782" s="9" t="s">
        <v>26</v>
      </c>
      <c r="I782" s="9" t="s">
        <v>3489</v>
      </c>
      <c r="J782" s="16" t="s">
        <v>3490</v>
      </c>
      <c r="K782" s="9"/>
      <c r="L782" s="9" t="s">
        <v>30</v>
      </c>
      <c r="M782" s="9" t="s">
        <v>31</v>
      </c>
      <c r="N782" s="9" t="s">
        <v>32</v>
      </c>
      <c r="O782" s="12" t="s">
        <v>33</v>
      </c>
      <c r="P782" s="12" t="s">
        <v>34</v>
      </c>
      <c r="Q782" s="9"/>
      <c r="R782" s="18"/>
      <c r="S782" s="18"/>
      <c r="T782" s="18"/>
      <c r="U782" s="18"/>
      <c r="V782" s="18"/>
      <c r="W782" s="15"/>
      <c r="X782" s="15"/>
    </row>
    <row r="783">
      <c r="A783" s="7">
        <v>782.0</v>
      </c>
      <c r="B783" s="8" t="s">
        <v>3491</v>
      </c>
      <c r="C783" s="9" t="s">
        <v>3492</v>
      </c>
      <c r="D783" s="10" t="str">
        <f>HYPERLINK("https://facebook.com/367089020688300_515458925851308", "367089020688300_515458925851308")</f>
        <v>367089020688300_515458925851308</v>
      </c>
      <c r="E783" s="11">
        <v>13.0</v>
      </c>
      <c r="F783" s="11">
        <v>1.0</v>
      </c>
      <c r="G783" s="11">
        <v>21.0</v>
      </c>
      <c r="H783" s="9" t="s">
        <v>26</v>
      </c>
      <c r="I783" s="9" t="s">
        <v>3493</v>
      </c>
      <c r="J783" s="9" t="s">
        <v>3494</v>
      </c>
      <c r="K783" s="9" t="s">
        <v>3495</v>
      </c>
      <c r="L783" s="9" t="s">
        <v>30</v>
      </c>
      <c r="M783" s="9" t="s">
        <v>31</v>
      </c>
      <c r="N783" s="9" t="s">
        <v>32</v>
      </c>
      <c r="O783" s="12" t="s">
        <v>33</v>
      </c>
      <c r="P783" s="12" t="s">
        <v>34</v>
      </c>
      <c r="Q783" s="9"/>
      <c r="R783" s="18"/>
      <c r="S783" s="18"/>
      <c r="T783" s="18"/>
      <c r="U783" s="18"/>
      <c r="V783" s="18"/>
      <c r="W783" s="15"/>
      <c r="X783" s="15"/>
    </row>
    <row r="784">
      <c r="A784" s="7">
        <v>783.0</v>
      </c>
      <c r="B784" s="8" t="s">
        <v>3496</v>
      </c>
      <c r="C784" s="9" t="s">
        <v>3497</v>
      </c>
      <c r="D784" s="10" t="str">
        <f>HYPERLINK("https://facebook.com/367089020688300_395646571165878", "367089020688300_395646571165878")</f>
        <v>367089020688300_395646571165878</v>
      </c>
      <c r="E784" s="11">
        <v>302.0</v>
      </c>
      <c r="F784" s="11">
        <v>8.0</v>
      </c>
      <c r="G784" s="11">
        <v>236.0</v>
      </c>
      <c r="H784" s="9" t="s">
        <v>26</v>
      </c>
      <c r="I784" s="9" t="s">
        <v>3498</v>
      </c>
      <c r="J784" s="9" t="s">
        <v>3499</v>
      </c>
      <c r="K784" s="9" t="s">
        <v>249</v>
      </c>
      <c r="L784" s="9" t="s">
        <v>30</v>
      </c>
      <c r="M784" s="9" t="s">
        <v>31</v>
      </c>
      <c r="N784" s="9" t="s">
        <v>32</v>
      </c>
      <c r="O784" s="12" t="s">
        <v>33</v>
      </c>
      <c r="P784" s="12" t="s">
        <v>34</v>
      </c>
      <c r="Q784" s="9"/>
      <c r="R784" s="18"/>
      <c r="S784" s="18"/>
      <c r="T784" s="18"/>
      <c r="U784" s="18"/>
      <c r="V784" s="18"/>
      <c r="W784" s="15"/>
      <c r="X784" s="15"/>
    </row>
    <row r="785">
      <c r="A785" s="7">
        <v>784.0</v>
      </c>
      <c r="B785" s="8" t="s">
        <v>3500</v>
      </c>
      <c r="C785" s="9" t="s">
        <v>3501</v>
      </c>
      <c r="D785" s="10" t="str">
        <f>HYPERLINK("https://facebook.com/367089020688300_409063886490813", "367089020688300_409063886490813")</f>
        <v>367089020688300_409063886490813</v>
      </c>
      <c r="E785" s="11">
        <v>53.0</v>
      </c>
      <c r="F785" s="11">
        <v>1.0</v>
      </c>
      <c r="G785" s="11">
        <v>42.0</v>
      </c>
      <c r="H785" s="9" t="s">
        <v>26</v>
      </c>
      <c r="I785" s="9" t="s">
        <v>3502</v>
      </c>
      <c r="J785" s="9" t="s">
        <v>3503</v>
      </c>
      <c r="K785" s="9" t="s">
        <v>3504</v>
      </c>
      <c r="L785" s="9" t="s">
        <v>30</v>
      </c>
      <c r="M785" s="9" t="s">
        <v>31</v>
      </c>
      <c r="N785" s="9" t="s">
        <v>32</v>
      </c>
      <c r="O785" s="12" t="s">
        <v>33</v>
      </c>
      <c r="P785" s="12" t="s">
        <v>34</v>
      </c>
      <c r="Q785" s="9"/>
      <c r="R785" s="18"/>
      <c r="S785" s="18"/>
      <c r="T785" s="18"/>
      <c r="U785" s="18"/>
      <c r="V785" s="18"/>
      <c r="W785" s="15"/>
      <c r="X785" s="15"/>
    </row>
    <row r="786">
      <c r="A786" s="7">
        <v>785.0</v>
      </c>
      <c r="B786" s="8" t="s">
        <v>3505</v>
      </c>
      <c r="C786" s="9" t="s">
        <v>3506</v>
      </c>
      <c r="D786" s="10" t="str">
        <f>HYPERLINK("https://facebook.com/367089020688300_525879804809220", "367089020688300_525879804809220")</f>
        <v>367089020688300_525879804809220</v>
      </c>
      <c r="E786" s="11">
        <v>56.0</v>
      </c>
      <c r="F786" s="11">
        <v>6.0</v>
      </c>
      <c r="G786" s="11">
        <v>128.0</v>
      </c>
      <c r="H786" s="9" t="s">
        <v>26</v>
      </c>
      <c r="I786" s="9" t="s">
        <v>3507</v>
      </c>
      <c r="J786" s="16" t="s">
        <v>3508</v>
      </c>
      <c r="K786" s="9"/>
      <c r="L786" s="9" t="s">
        <v>30</v>
      </c>
      <c r="M786" s="9" t="s">
        <v>31</v>
      </c>
      <c r="N786" s="9" t="s">
        <v>32</v>
      </c>
      <c r="O786" s="12" t="s">
        <v>33</v>
      </c>
      <c r="P786" s="12" t="s">
        <v>34</v>
      </c>
      <c r="Q786" s="9"/>
      <c r="R786" s="18"/>
      <c r="S786" s="18"/>
      <c r="T786" s="18"/>
      <c r="U786" s="18"/>
      <c r="V786" s="18"/>
      <c r="W786" s="15"/>
      <c r="X786" s="15"/>
    </row>
    <row r="787">
      <c r="A787" s="7">
        <v>786.0</v>
      </c>
      <c r="B787" s="8" t="s">
        <v>3509</v>
      </c>
      <c r="C787" s="9" t="s">
        <v>3510</v>
      </c>
      <c r="D787" s="10" t="str">
        <f>HYPERLINK("https://facebook.com/367089020688300_536181620445705", "367089020688300_536181620445705")</f>
        <v>367089020688300_536181620445705</v>
      </c>
      <c r="E787" s="11">
        <v>208.0</v>
      </c>
      <c r="F787" s="11">
        <v>4.0</v>
      </c>
      <c r="G787" s="11">
        <v>330.0</v>
      </c>
      <c r="H787" s="9" t="s">
        <v>26</v>
      </c>
      <c r="I787" s="9" t="s">
        <v>3511</v>
      </c>
      <c r="J787" s="9" t="s">
        <v>3512</v>
      </c>
      <c r="K787" s="9" t="s">
        <v>2622</v>
      </c>
      <c r="L787" s="9" t="s">
        <v>30</v>
      </c>
      <c r="M787" s="9" t="s">
        <v>31</v>
      </c>
      <c r="N787" s="9" t="s">
        <v>32</v>
      </c>
      <c r="O787" s="12" t="s">
        <v>33</v>
      </c>
      <c r="P787" s="12" t="s">
        <v>34</v>
      </c>
      <c r="Q787" s="9"/>
      <c r="R787" s="18"/>
      <c r="S787" s="18"/>
      <c r="T787" s="18"/>
      <c r="U787" s="18"/>
      <c r="V787" s="18"/>
      <c r="W787" s="15"/>
      <c r="X787" s="15"/>
    </row>
    <row r="788">
      <c r="A788" s="7">
        <v>787.0</v>
      </c>
      <c r="B788" s="8" t="s">
        <v>3513</v>
      </c>
      <c r="C788" s="9" t="s">
        <v>3514</v>
      </c>
      <c r="D788" s="10" t="str">
        <f>HYPERLINK("https://facebook.com/367089020688300_536539587076575", "367089020688300_536539587076575")</f>
        <v>367089020688300_536539587076575</v>
      </c>
      <c r="E788" s="11">
        <v>30.0</v>
      </c>
      <c r="F788" s="11">
        <v>0.0</v>
      </c>
      <c r="G788" s="11">
        <v>57.0</v>
      </c>
      <c r="H788" s="9" t="s">
        <v>26</v>
      </c>
      <c r="I788" s="9" t="s">
        <v>3515</v>
      </c>
      <c r="J788" s="9" t="s">
        <v>3516</v>
      </c>
      <c r="K788" s="9" t="s">
        <v>3517</v>
      </c>
      <c r="L788" s="9" t="s">
        <v>30</v>
      </c>
      <c r="M788" s="9" t="s">
        <v>31</v>
      </c>
      <c r="N788" s="9" t="s">
        <v>32</v>
      </c>
      <c r="O788" s="12" t="s">
        <v>33</v>
      </c>
      <c r="P788" s="12" t="s">
        <v>34</v>
      </c>
      <c r="Q788" s="9"/>
      <c r="R788" s="18"/>
      <c r="S788" s="18"/>
      <c r="T788" s="18"/>
      <c r="U788" s="18"/>
      <c r="V788" s="18"/>
      <c r="W788" s="15"/>
      <c r="X788" s="15"/>
    </row>
    <row r="789">
      <c r="A789" s="7">
        <v>788.0</v>
      </c>
      <c r="B789" s="8" t="s">
        <v>3518</v>
      </c>
      <c r="C789" s="9" t="s">
        <v>3519</v>
      </c>
      <c r="D789" s="10" t="str">
        <f>HYPERLINK("https://facebook.com/367089020688300_552376528826214", "367089020688300_552376528826214")</f>
        <v>367089020688300_552376528826214</v>
      </c>
      <c r="E789" s="11">
        <v>64.0</v>
      </c>
      <c r="F789" s="11">
        <v>2.0</v>
      </c>
      <c r="G789" s="11">
        <v>81.0</v>
      </c>
      <c r="H789" s="9" t="s">
        <v>26</v>
      </c>
      <c r="I789" s="9" t="s">
        <v>3520</v>
      </c>
      <c r="J789" s="16" t="s">
        <v>3521</v>
      </c>
      <c r="K789" s="9"/>
      <c r="L789" s="9" t="s">
        <v>30</v>
      </c>
      <c r="M789" s="9" t="s">
        <v>31</v>
      </c>
      <c r="N789" s="9" t="s">
        <v>32</v>
      </c>
      <c r="O789" s="12" t="s">
        <v>33</v>
      </c>
      <c r="P789" s="12" t="s">
        <v>34</v>
      </c>
      <c r="Q789" s="9"/>
      <c r="R789" s="18"/>
      <c r="S789" s="18"/>
      <c r="T789" s="18"/>
      <c r="U789" s="18"/>
      <c r="V789" s="18"/>
      <c r="W789" s="15"/>
      <c r="X789" s="15"/>
    </row>
    <row r="790">
      <c r="A790" s="7">
        <v>789.0</v>
      </c>
      <c r="B790" s="8" t="s">
        <v>3522</v>
      </c>
      <c r="C790" s="9" t="s">
        <v>3523</v>
      </c>
      <c r="D790" s="10" t="str">
        <f>HYPERLINK("https://facebook.com/367089020688300_455237948540073", "367089020688300_455237948540073")</f>
        <v>367089020688300_455237948540073</v>
      </c>
      <c r="E790" s="11">
        <v>867.0</v>
      </c>
      <c r="F790" s="11">
        <v>30.0</v>
      </c>
      <c r="G790" s="11">
        <v>1273.0</v>
      </c>
      <c r="H790" s="9" t="s">
        <v>26</v>
      </c>
      <c r="I790" s="9" t="s">
        <v>3524</v>
      </c>
      <c r="J790" s="9" t="s">
        <v>3525</v>
      </c>
      <c r="K790" s="9" t="s">
        <v>3526</v>
      </c>
      <c r="L790" s="9" t="s">
        <v>30</v>
      </c>
      <c r="M790" s="9" t="s">
        <v>31</v>
      </c>
      <c r="N790" s="9" t="s">
        <v>32</v>
      </c>
      <c r="O790" s="12" t="s">
        <v>33</v>
      </c>
      <c r="P790" s="12" t="s">
        <v>34</v>
      </c>
      <c r="Q790" s="9"/>
      <c r="R790" s="18"/>
      <c r="S790" s="18"/>
      <c r="T790" s="18"/>
      <c r="U790" s="18"/>
      <c r="V790" s="18"/>
      <c r="W790" s="15"/>
      <c r="X790" s="15"/>
    </row>
    <row r="791">
      <c r="A791" s="7">
        <v>790.0</v>
      </c>
      <c r="B791" s="8" t="s">
        <v>3527</v>
      </c>
      <c r="C791" s="9" t="s">
        <v>3528</v>
      </c>
      <c r="D791" s="10" t="str">
        <f>HYPERLINK("https://facebook.com/367089020688300_531618657568668", "367089020688300_531618657568668")</f>
        <v>367089020688300_531618657568668</v>
      </c>
      <c r="E791" s="11">
        <v>30.0</v>
      </c>
      <c r="F791" s="11">
        <v>0.0</v>
      </c>
      <c r="G791" s="11">
        <v>59.0</v>
      </c>
      <c r="H791" s="9" t="s">
        <v>26</v>
      </c>
      <c r="I791" s="9" t="s">
        <v>3529</v>
      </c>
      <c r="J791" s="16" t="s">
        <v>3530</v>
      </c>
      <c r="K791" s="9"/>
      <c r="L791" s="9" t="s">
        <v>30</v>
      </c>
      <c r="M791" s="9" t="s">
        <v>31</v>
      </c>
      <c r="N791" s="9" t="s">
        <v>32</v>
      </c>
      <c r="O791" s="12" t="s">
        <v>33</v>
      </c>
      <c r="P791" s="12" t="s">
        <v>34</v>
      </c>
      <c r="Q791" s="9"/>
      <c r="R791" s="18"/>
      <c r="S791" s="18"/>
      <c r="T791" s="18"/>
      <c r="U791" s="18"/>
      <c r="V791" s="18"/>
      <c r="W791" s="15"/>
      <c r="X791" s="15"/>
    </row>
    <row r="792">
      <c r="A792" s="7">
        <v>791.0</v>
      </c>
      <c r="B792" s="8" t="s">
        <v>3531</v>
      </c>
      <c r="C792" s="9" t="s">
        <v>3532</v>
      </c>
      <c r="D792" s="10" t="str">
        <f>HYPERLINK("https://facebook.com/367089020688300_464166914313843", "367089020688300_464166914313843")</f>
        <v>367089020688300_464166914313843</v>
      </c>
      <c r="E792" s="11">
        <v>604.0</v>
      </c>
      <c r="F792" s="11">
        <v>6.0</v>
      </c>
      <c r="G792" s="11">
        <v>341.0</v>
      </c>
      <c r="H792" s="9" t="s">
        <v>26</v>
      </c>
      <c r="I792" s="9" t="s">
        <v>3533</v>
      </c>
      <c r="J792" s="9" t="s">
        <v>3534</v>
      </c>
      <c r="K792" s="9" t="s">
        <v>3535</v>
      </c>
      <c r="L792" s="9" t="s">
        <v>30</v>
      </c>
      <c r="M792" s="9" t="s">
        <v>31</v>
      </c>
      <c r="N792" s="9" t="s">
        <v>32</v>
      </c>
      <c r="O792" s="12" t="s">
        <v>33</v>
      </c>
      <c r="P792" s="12" t="s">
        <v>34</v>
      </c>
      <c r="Q792" s="9"/>
      <c r="R792" s="18"/>
      <c r="S792" s="18"/>
      <c r="T792" s="18"/>
      <c r="U792" s="18"/>
      <c r="V792" s="18"/>
      <c r="W792" s="15"/>
      <c r="X792" s="15"/>
    </row>
    <row r="793">
      <c r="A793" s="7">
        <v>792.0</v>
      </c>
      <c r="B793" s="8" t="s">
        <v>3536</v>
      </c>
      <c r="C793" s="9" t="s">
        <v>3537</v>
      </c>
      <c r="D793" s="10" t="str">
        <f>HYPERLINK("https://facebook.com/367089020688300_560610574669476", "367089020688300_560610574669476")</f>
        <v>367089020688300_560610574669476</v>
      </c>
      <c r="E793" s="11">
        <v>147.0</v>
      </c>
      <c r="F793" s="11">
        <v>1.0</v>
      </c>
      <c r="G793" s="11">
        <v>132.0</v>
      </c>
      <c r="H793" s="9" t="s">
        <v>26</v>
      </c>
      <c r="I793" s="9" t="s">
        <v>3538</v>
      </c>
      <c r="J793" s="9" t="s">
        <v>3539</v>
      </c>
      <c r="K793" s="9" t="s">
        <v>3540</v>
      </c>
      <c r="L793" s="9" t="s">
        <v>30</v>
      </c>
      <c r="M793" s="9" t="s">
        <v>31</v>
      </c>
      <c r="N793" s="9" t="s">
        <v>32</v>
      </c>
      <c r="O793" s="12" t="s">
        <v>33</v>
      </c>
      <c r="P793" s="12" t="s">
        <v>34</v>
      </c>
      <c r="Q793" s="9"/>
      <c r="R793" s="18"/>
      <c r="S793" s="18"/>
      <c r="T793" s="18"/>
      <c r="U793" s="18"/>
      <c r="V793" s="18"/>
      <c r="W793" s="15"/>
      <c r="X793" s="15"/>
    </row>
    <row r="794">
      <c r="A794" s="7">
        <v>793.0</v>
      </c>
      <c r="B794" s="8" t="s">
        <v>3541</v>
      </c>
      <c r="C794" s="9" t="s">
        <v>3542</v>
      </c>
      <c r="D794" s="10" t="str">
        <f>HYPERLINK("https://facebook.com/367089020688300_538746190189248", "367089020688300_538746190189248")</f>
        <v>367089020688300_538746190189248</v>
      </c>
      <c r="E794" s="11">
        <v>102.0</v>
      </c>
      <c r="F794" s="11">
        <v>5.0</v>
      </c>
      <c r="G794" s="11">
        <v>74.0</v>
      </c>
      <c r="H794" s="9" t="s">
        <v>26</v>
      </c>
      <c r="I794" s="9" t="s">
        <v>3543</v>
      </c>
      <c r="J794" s="9" t="s">
        <v>3544</v>
      </c>
      <c r="K794" s="9" t="s">
        <v>3545</v>
      </c>
      <c r="L794" s="9" t="s">
        <v>30</v>
      </c>
      <c r="M794" s="9" t="s">
        <v>31</v>
      </c>
      <c r="N794" s="9" t="s">
        <v>32</v>
      </c>
      <c r="O794" s="12" t="s">
        <v>33</v>
      </c>
      <c r="P794" s="12" t="s">
        <v>34</v>
      </c>
      <c r="Q794" s="9"/>
      <c r="R794" s="18"/>
      <c r="S794" s="18"/>
      <c r="T794" s="18"/>
      <c r="U794" s="18"/>
      <c r="V794" s="18"/>
      <c r="W794" s="15"/>
      <c r="X794" s="15"/>
    </row>
    <row r="795">
      <c r="A795" s="7">
        <v>794.0</v>
      </c>
      <c r="B795" s="8" t="s">
        <v>3546</v>
      </c>
      <c r="C795" s="9" t="s">
        <v>3547</v>
      </c>
      <c r="D795" s="10" t="str">
        <f>HYPERLINK("https://facebook.com/367089020688300_502407697156431", "367089020688300_502407697156431")</f>
        <v>367089020688300_502407697156431</v>
      </c>
      <c r="E795" s="11">
        <v>802.0</v>
      </c>
      <c r="F795" s="11">
        <v>22.0</v>
      </c>
      <c r="G795" s="11">
        <v>886.0</v>
      </c>
      <c r="H795" s="9" t="s">
        <v>26</v>
      </c>
      <c r="I795" s="9" t="s">
        <v>3548</v>
      </c>
      <c r="J795" s="9" t="s">
        <v>3549</v>
      </c>
      <c r="K795" s="9" t="s">
        <v>3550</v>
      </c>
      <c r="L795" s="9" t="s">
        <v>30</v>
      </c>
      <c r="M795" s="9" t="s">
        <v>31</v>
      </c>
      <c r="N795" s="9" t="s">
        <v>32</v>
      </c>
      <c r="O795" s="12" t="s">
        <v>33</v>
      </c>
      <c r="P795" s="12" t="s">
        <v>34</v>
      </c>
      <c r="Q795" s="9"/>
      <c r="R795" s="18"/>
      <c r="S795" s="18"/>
      <c r="T795" s="18"/>
      <c r="U795" s="18"/>
      <c r="V795" s="18"/>
      <c r="W795" s="15"/>
      <c r="X795" s="15"/>
    </row>
    <row r="796">
      <c r="A796" s="7">
        <v>795.0</v>
      </c>
      <c r="B796" s="8" t="s">
        <v>3551</v>
      </c>
      <c r="C796" s="9" t="s">
        <v>3552</v>
      </c>
      <c r="D796" s="10" t="str">
        <f>HYPERLINK("https://facebook.com/367089020688300_497899244273943", "367089020688300_497899244273943")</f>
        <v>367089020688300_497899244273943</v>
      </c>
      <c r="E796" s="11">
        <v>436.0</v>
      </c>
      <c r="F796" s="11">
        <v>10.0</v>
      </c>
      <c r="G796" s="11">
        <v>382.0</v>
      </c>
      <c r="H796" s="9" t="s">
        <v>26</v>
      </c>
      <c r="I796" s="9" t="s">
        <v>3553</v>
      </c>
      <c r="J796" s="9" t="s">
        <v>3554</v>
      </c>
      <c r="K796" s="9" t="s">
        <v>3555</v>
      </c>
      <c r="L796" s="9" t="s">
        <v>30</v>
      </c>
      <c r="M796" s="9" t="s">
        <v>31</v>
      </c>
      <c r="N796" s="9" t="s">
        <v>32</v>
      </c>
      <c r="O796" s="12" t="s">
        <v>33</v>
      </c>
      <c r="P796" s="12" t="s">
        <v>34</v>
      </c>
      <c r="Q796" s="9"/>
      <c r="R796" s="18"/>
      <c r="S796" s="18"/>
      <c r="T796" s="18"/>
      <c r="U796" s="18"/>
      <c r="V796" s="18"/>
      <c r="W796" s="15"/>
      <c r="X796" s="15"/>
    </row>
    <row r="797">
      <c r="A797" s="7">
        <v>796.0</v>
      </c>
      <c r="B797" s="8" t="s">
        <v>3556</v>
      </c>
      <c r="C797" s="9" t="s">
        <v>3557</v>
      </c>
      <c r="D797" s="10" t="str">
        <f>HYPERLINK("https://facebook.com/367089020688300_537008490363018", "367089020688300_537008490363018")</f>
        <v>367089020688300_537008490363018</v>
      </c>
      <c r="E797" s="11">
        <v>158.0</v>
      </c>
      <c r="F797" s="11">
        <v>0.0</v>
      </c>
      <c r="G797" s="11">
        <v>121.0</v>
      </c>
      <c r="H797" s="9" t="s">
        <v>26</v>
      </c>
      <c r="I797" s="9" t="s">
        <v>3558</v>
      </c>
      <c r="J797" s="16" t="s">
        <v>3559</v>
      </c>
      <c r="K797" s="9"/>
      <c r="L797" s="9" t="s">
        <v>30</v>
      </c>
      <c r="M797" s="9" t="s">
        <v>31</v>
      </c>
      <c r="N797" s="9" t="s">
        <v>32</v>
      </c>
      <c r="O797" s="12" t="s">
        <v>33</v>
      </c>
      <c r="P797" s="12" t="s">
        <v>34</v>
      </c>
      <c r="Q797" s="9"/>
      <c r="R797" s="18"/>
      <c r="S797" s="18"/>
      <c r="T797" s="18"/>
      <c r="U797" s="18"/>
      <c r="V797" s="18"/>
      <c r="W797" s="15"/>
      <c r="X797" s="15"/>
    </row>
    <row r="798">
      <c r="A798" s="7">
        <v>797.0</v>
      </c>
      <c r="B798" s="8" t="s">
        <v>3560</v>
      </c>
      <c r="C798" s="9" t="s">
        <v>3561</v>
      </c>
      <c r="D798" s="10" t="str">
        <f>HYPERLINK("https://facebook.com/367089020688300_535576160506251", "367089020688300_535576160506251")</f>
        <v>367089020688300_535576160506251</v>
      </c>
      <c r="E798" s="11">
        <v>174.0</v>
      </c>
      <c r="F798" s="11">
        <v>1.0</v>
      </c>
      <c r="G798" s="11">
        <v>90.0</v>
      </c>
      <c r="H798" s="9" t="s">
        <v>26</v>
      </c>
      <c r="I798" s="9" t="s">
        <v>3562</v>
      </c>
      <c r="J798" s="16" t="s">
        <v>3563</v>
      </c>
      <c r="K798" s="9"/>
      <c r="L798" s="9" t="s">
        <v>30</v>
      </c>
      <c r="M798" s="9" t="s">
        <v>31</v>
      </c>
      <c r="N798" s="9" t="s">
        <v>32</v>
      </c>
      <c r="O798" s="12" t="s">
        <v>33</v>
      </c>
      <c r="P798" s="12" t="s">
        <v>34</v>
      </c>
      <c r="Q798" s="9"/>
      <c r="R798" s="18"/>
      <c r="S798" s="18"/>
      <c r="T798" s="18"/>
      <c r="U798" s="18"/>
      <c r="V798" s="18"/>
      <c r="W798" s="15"/>
      <c r="X798" s="15"/>
    </row>
    <row r="799">
      <c r="A799" s="7">
        <v>798.0</v>
      </c>
      <c r="B799" s="8" t="s">
        <v>3564</v>
      </c>
      <c r="C799" s="9" t="s">
        <v>3565</v>
      </c>
      <c r="D799" s="10" t="str">
        <f>HYPERLINK("https://facebook.com/367089020688300_456195841777617", "367089020688300_456195841777617")</f>
        <v>367089020688300_456195841777617</v>
      </c>
      <c r="E799" s="11">
        <v>134.0</v>
      </c>
      <c r="F799" s="11">
        <v>1.0</v>
      </c>
      <c r="G799" s="11">
        <v>106.0</v>
      </c>
      <c r="H799" s="9" t="s">
        <v>26</v>
      </c>
      <c r="I799" s="9" t="s">
        <v>3566</v>
      </c>
      <c r="J799" s="9" t="s">
        <v>3567</v>
      </c>
      <c r="K799" s="9" t="s">
        <v>3461</v>
      </c>
      <c r="L799" s="9" t="s">
        <v>30</v>
      </c>
      <c r="M799" s="9" t="s">
        <v>31</v>
      </c>
      <c r="N799" s="9" t="s">
        <v>32</v>
      </c>
      <c r="O799" s="12" t="s">
        <v>33</v>
      </c>
      <c r="P799" s="12" t="s">
        <v>34</v>
      </c>
      <c r="Q799" s="9"/>
      <c r="R799" s="18"/>
      <c r="S799" s="18"/>
      <c r="T799" s="18"/>
      <c r="U799" s="18"/>
      <c r="V799" s="18"/>
      <c r="W799" s="15"/>
      <c r="X799" s="15"/>
    </row>
    <row r="800">
      <c r="A800" s="7">
        <v>799.0</v>
      </c>
      <c r="B800" s="8" t="s">
        <v>3568</v>
      </c>
      <c r="C800" s="9" t="s">
        <v>3569</v>
      </c>
      <c r="D800" s="10" t="str">
        <f>HYPERLINK("https://facebook.com/367089020688300_413042739426261", "367089020688300_413042739426261")</f>
        <v>367089020688300_413042739426261</v>
      </c>
      <c r="E800" s="11">
        <v>418.0</v>
      </c>
      <c r="F800" s="11">
        <v>39.0</v>
      </c>
      <c r="G800" s="11">
        <v>785.0</v>
      </c>
      <c r="H800" s="9" t="s">
        <v>26</v>
      </c>
      <c r="I800" s="9" t="s">
        <v>3570</v>
      </c>
      <c r="J800" s="9" t="s">
        <v>3571</v>
      </c>
      <c r="K800" s="9" t="s">
        <v>249</v>
      </c>
      <c r="L800" s="9" t="s">
        <v>30</v>
      </c>
      <c r="M800" s="9" t="s">
        <v>31</v>
      </c>
      <c r="N800" s="9" t="s">
        <v>32</v>
      </c>
      <c r="O800" s="12" t="s">
        <v>33</v>
      </c>
      <c r="P800" s="12" t="s">
        <v>34</v>
      </c>
      <c r="Q800" s="9"/>
      <c r="R800" s="18"/>
      <c r="S800" s="18"/>
      <c r="T800" s="18"/>
      <c r="U800" s="18"/>
      <c r="V800" s="18"/>
      <c r="W800" s="15"/>
      <c r="X800" s="15"/>
    </row>
    <row r="801">
      <c r="A801" s="7">
        <v>800.0</v>
      </c>
      <c r="B801" s="8" t="s">
        <v>3572</v>
      </c>
      <c r="C801" s="9" t="s">
        <v>3573</v>
      </c>
      <c r="D801" s="10" t="str">
        <f>HYPERLINK("https://facebook.com/367089020688300_367294980667704", "367089020688300_367294980667704")</f>
        <v>367089020688300_367294980667704</v>
      </c>
      <c r="E801" s="11">
        <v>19.0</v>
      </c>
      <c r="F801" s="11">
        <v>0.0</v>
      </c>
      <c r="G801" s="11">
        <v>18.0</v>
      </c>
      <c r="H801" s="9" t="s">
        <v>26</v>
      </c>
      <c r="I801" s="9" t="s">
        <v>3574</v>
      </c>
      <c r="J801" s="9" t="s">
        <v>3575</v>
      </c>
      <c r="K801" s="9" t="s">
        <v>3576</v>
      </c>
      <c r="L801" s="9" t="s">
        <v>30</v>
      </c>
      <c r="M801" s="9" t="s">
        <v>31</v>
      </c>
      <c r="N801" s="9" t="s">
        <v>32</v>
      </c>
      <c r="O801" s="12" t="s">
        <v>33</v>
      </c>
      <c r="P801" s="12" t="s">
        <v>34</v>
      </c>
      <c r="Q801" s="9"/>
      <c r="R801" s="18"/>
      <c r="S801" s="18"/>
      <c r="T801" s="18"/>
      <c r="U801" s="18"/>
      <c r="V801" s="18"/>
      <c r="W801" s="15"/>
      <c r="X801" s="15"/>
    </row>
    <row r="802">
      <c r="A802" s="7">
        <v>801.0</v>
      </c>
      <c r="B802" s="8" t="s">
        <v>3577</v>
      </c>
      <c r="C802" s="9" t="s">
        <v>3578</v>
      </c>
      <c r="D802" s="10" t="str">
        <f>HYPERLINK("https://facebook.com/367089020688300_471702816893586", "367089020688300_471702816893586")</f>
        <v>367089020688300_471702816893586</v>
      </c>
      <c r="E802" s="11">
        <v>1308.0</v>
      </c>
      <c r="F802" s="11">
        <v>107.0</v>
      </c>
      <c r="G802" s="11">
        <v>320.0</v>
      </c>
      <c r="H802" s="9" t="s">
        <v>26</v>
      </c>
      <c r="I802" s="9" t="s">
        <v>3579</v>
      </c>
      <c r="J802" s="9" t="s">
        <v>3580</v>
      </c>
      <c r="K802" s="9" t="s">
        <v>3581</v>
      </c>
      <c r="L802" s="9" t="s">
        <v>30</v>
      </c>
      <c r="M802" s="9" t="s">
        <v>31</v>
      </c>
      <c r="N802" s="9" t="s">
        <v>32</v>
      </c>
      <c r="O802" s="12" t="s">
        <v>33</v>
      </c>
      <c r="P802" s="12" t="s">
        <v>34</v>
      </c>
      <c r="Q802" s="9"/>
      <c r="R802" s="18"/>
      <c r="S802" s="18"/>
      <c r="T802" s="18"/>
      <c r="U802" s="18"/>
      <c r="V802" s="18"/>
      <c r="W802" s="15"/>
      <c r="X802" s="15"/>
    </row>
    <row r="803">
      <c r="A803" s="7">
        <v>802.0</v>
      </c>
      <c r="B803" s="8" t="s">
        <v>3582</v>
      </c>
      <c r="C803" s="9" t="s">
        <v>3583</v>
      </c>
      <c r="D803" s="10" t="str">
        <f>HYPERLINK("https://facebook.com/367089020688300_528374491226418", "367089020688300_528374491226418")</f>
        <v>367089020688300_528374491226418</v>
      </c>
      <c r="E803" s="11">
        <v>90.0</v>
      </c>
      <c r="F803" s="11">
        <v>4.0</v>
      </c>
      <c r="G803" s="11">
        <v>188.0</v>
      </c>
      <c r="H803" s="9" t="s">
        <v>26</v>
      </c>
      <c r="I803" s="9" t="s">
        <v>3584</v>
      </c>
      <c r="J803" s="16" t="s">
        <v>3585</v>
      </c>
      <c r="K803" s="9"/>
      <c r="L803" s="9" t="s">
        <v>30</v>
      </c>
      <c r="M803" s="9" t="s">
        <v>31</v>
      </c>
      <c r="N803" s="9" t="s">
        <v>32</v>
      </c>
      <c r="O803" s="12" t="s">
        <v>33</v>
      </c>
      <c r="P803" s="12" t="s">
        <v>34</v>
      </c>
      <c r="Q803" s="9"/>
      <c r="R803" s="18"/>
      <c r="S803" s="18"/>
      <c r="T803" s="18"/>
      <c r="U803" s="18"/>
      <c r="V803" s="18"/>
      <c r="W803" s="15"/>
      <c r="X803" s="15"/>
    </row>
    <row r="804">
      <c r="A804" s="7">
        <v>803.0</v>
      </c>
      <c r="B804" s="8" t="s">
        <v>3586</v>
      </c>
      <c r="C804" s="9" t="s">
        <v>3587</v>
      </c>
      <c r="D804" s="10" t="str">
        <f>HYPERLINK("https://facebook.com/367089020688300_539101900153677", "367089020688300_539101900153677")</f>
        <v>367089020688300_539101900153677</v>
      </c>
      <c r="E804" s="11">
        <v>1.0</v>
      </c>
      <c r="F804" s="11">
        <v>1.0</v>
      </c>
      <c r="G804" s="11">
        <v>1.0</v>
      </c>
      <c r="H804" s="9" t="s">
        <v>26</v>
      </c>
      <c r="I804" s="9" t="s">
        <v>3588</v>
      </c>
      <c r="J804" s="16" t="s">
        <v>3589</v>
      </c>
      <c r="K804" s="9"/>
      <c r="L804" s="9" t="s">
        <v>30</v>
      </c>
      <c r="M804" s="9" t="s">
        <v>31</v>
      </c>
      <c r="N804" s="9" t="s">
        <v>32</v>
      </c>
      <c r="O804" s="12" t="s">
        <v>33</v>
      </c>
      <c r="P804" s="12" t="s">
        <v>34</v>
      </c>
      <c r="Q804" s="9"/>
      <c r="R804" s="18"/>
      <c r="S804" s="18"/>
      <c r="T804" s="18"/>
      <c r="U804" s="18"/>
      <c r="V804" s="18"/>
      <c r="W804" s="15"/>
      <c r="X804" s="15"/>
    </row>
    <row r="805">
      <c r="A805" s="7">
        <v>804.0</v>
      </c>
      <c r="B805" s="8" t="s">
        <v>3590</v>
      </c>
      <c r="C805" s="9" t="s">
        <v>3591</v>
      </c>
      <c r="D805" s="10" t="str">
        <f>HYPERLINK("https://facebook.com/367089020688300_535214230542444", "367089020688300_535214230542444")</f>
        <v>367089020688300_535214230542444</v>
      </c>
      <c r="E805" s="11">
        <v>828.0</v>
      </c>
      <c r="F805" s="11">
        <v>40.0</v>
      </c>
      <c r="G805" s="11">
        <v>377.0</v>
      </c>
      <c r="H805" s="9" t="s">
        <v>26</v>
      </c>
      <c r="I805" s="9" t="s">
        <v>270</v>
      </c>
      <c r="J805" s="16" t="s">
        <v>3592</v>
      </c>
      <c r="K805" s="9"/>
      <c r="L805" s="9" t="s">
        <v>30</v>
      </c>
      <c r="M805" s="9" t="s">
        <v>31</v>
      </c>
      <c r="N805" s="9" t="s">
        <v>32</v>
      </c>
      <c r="O805" s="12" t="s">
        <v>33</v>
      </c>
      <c r="P805" s="12" t="s">
        <v>34</v>
      </c>
      <c r="Q805" s="9"/>
      <c r="R805" s="18"/>
      <c r="S805" s="18"/>
      <c r="T805" s="18"/>
      <c r="U805" s="18"/>
      <c r="V805" s="18"/>
      <c r="W805" s="15"/>
      <c r="X805" s="15"/>
    </row>
    <row r="806">
      <c r="A806" s="7">
        <v>805.0</v>
      </c>
      <c r="B806" s="8" t="s">
        <v>3593</v>
      </c>
      <c r="C806" s="9" t="s">
        <v>3594</v>
      </c>
      <c r="D806" s="10" t="str">
        <f>HYPERLINK("https://facebook.com/367089020688300_516092965787904", "367089020688300_516092965787904")</f>
        <v>367089020688300_516092965787904</v>
      </c>
      <c r="E806" s="11">
        <v>1438.0</v>
      </c>
      <c r="F806" s="11">
        <v>19.0</v>
      </c>
      <c r="G806" s="11">
        <v>659.0</v>
      </c>
      <c r="H806" s="9" t="s">
        <v>26</v>
      </c>
      <c r="I806" s="9" t="s">
        <v>3595</v>
      </c>
      <c r="J806" s="9" t="s">
        <v>3596</v>
      </c>
      <c r="K806" s="9" t="s">
        <v>3597</v>
      </c>
      <c r="L806" s="9" t="s">
        <v>30</v>
      </c>
      <c r="M806" s="9" t="s">
        <v>31</v>
      </c>
      <c r="N806" s="9" t="s">
        <v>32</v>
      </c>
      <c r="O806" s="12" t="s">
        <v>33</v>
      </c>
      <c r="P806" s="12" t="s">
        <v>34</v>
      </c>
      <c r="Q806" s="9"/>
      <c r="R806" s="18"/>
      <c r="S806" s="18"/>
      <c r="T806" s="18"/>
      <c r="U806" s="18"/>
      <c r="V806" s="18"/>
      <c r="W806" s="15"/>
      <c r="X806" s="15"/>
    </row>
    <row r="807">
      <c r="A807" s="7">
        <v>806.0</v>
      </c>
      <c r="B807" s="8" t="s">
        <v>3598</v>
      </c>
      <c r="C807" s="9" t="s">
        <v>3599</v>
      </c>
      <c r="D807" s="10" t="str">
        <f>HYPERLINK("https://facebook.com/367089020688300_562405084490025", "367089020688300_562405084490025")</f>
        <v>367089020688300_562405084490025</v>
      </c>
      <c r="E807" s="11">
        <v>16.0</v>
      </c>
      <c r="F807" s="11">
        <v>2.0</v>
      </c>
      <c r="G807" s="11">
        <v>20.0</v>
      </c>
      <c r="H807" s="9" t="s">
        <v>26</v>
      </c>
      <c r="I807" s="9" t="s">
        <v>3600</v>
      </c>
      <c r="J807" s="16" t="s">
        <v>3601</v>
      </c>
      <c r="K807" s="9"/>
      <c r="L807" s="9" t="s">
        <v>30</v>
      </c>
      <c r="M807" s="9" t="s">
        <v>31</v>
      </c>
      <c r="N807" s="9" t="s">
        <v>32</v>
      </c>
      <c r="O807" s="12" t="s">
        <v>33</v>
      </c>
      <c r="P807" s="12" t="s">
        <v>34</v>
      </c>
      <c r="Q807" s="9"/>
      <c r="R807" s="18"/>
      <c r="S807" s="18"/>
      <c r="T807" s="18"/>
      <c r="U807" s="18"/>
      <c r="V807" s="18"/>
      <c r="W807" s="15"/>
      <c r="X807" s="15"/>
    </row>
    <row r="808">
      <c r="A808" s="7">
        <v>807.0</v>
      </c>
      <c r="B808" s="8" t="s">
        <v>3602</v>
      </c>
      <c r="C808" s="9" t="s">
        <v>3603</v>
      </c>
      <c r="D808" s="10" t="str">
        <f>HYPERLINK("https://facebook.com/367089020688300_446219262775275", "367089020688300_446219262775275")</f>
        <v>367089020688300_446219262775275</v>
      </c>
      <c r="E808" s="11">
        <v>97.0</v>
      </c>
      <c r="F808" s="11">
        <v>1.0</v>
      </c>
      <c r="G808" s="11">
        <v>66.0</v>
      </c>
      <c r="H808" s="9" t="s">
        <v>26</v>
      </c>
      <c r="I808" s="9" t="s">
        <v>3604</v>
      </c>
      <c r="J808" s="9" t="s">
        <v>3605</v>
      </c>
      <c r="K808" s="9" t="s">
        <v>3606</v>
      </c>
      <c r="L808" s="9" t="s">
        <v>30</v>
      </c>
      <c r="M808" s="9" t="s">
        <v>31</v>
      </c>
      <c r="N808" s="9" t="s">
        <v>32</v>
      </c>
      <c r="O808" s="12" t="s">
        <v>33</v>
      </c>
      <c r="P808" s="12" t="s">
        <v>34</v>
      </c>
      <c r="Q808" s="9"/>
      <c r="R808" s="18"/>
      <c r="S808" s="18"/>
      <c r="T808" s="18"/>
      <c r="U808" s="18"/>
      <c r="V808" s="18"/>
      <c r="W808" s="15"/>
      <c r="X808" s="15"/>
    </row>
    <row r="809">
      <c r="A809" s="7">
        <v>808.0</v>
      </c>
      <c r="B809" s="8" t="s">
        <v>3607</v>
      </c>
      <c r="C809" s="9" t="s">
        <v>3608</v>
      </c>
      <c r="D809" s="10" t="str">
        <f>HYPERLINK("https://facebook.com/367089020688300_505370513526816", "367089020688300_505370513526816")</f>
        <v>367089020688300_505370513526816</v>
      </c>
      <c r="E809" s="11">
        <v>237.0</v>
      </c>
      <c r="F809" s="11">
        <v>11.0</v>
      </c>
      <c r="G809" s="11">
        <v>70.0</v>
      </c>
      <c r="H809" s="9" t="s">
        <v>26</v>
      </c>
      <c r="I809" s="9" t="s">
        <v>3609</v>
      </c>
      <c r="J809" s="9" t="s">
        <v>3610</v>
      </c>
      <c r="K809" s="9" t="s">
        <v>3611</v>
      </c>
      <c r="L809" s="9" t="s">
        <v>30</v>
      </c>
      <c r="M809" s="9" t="s">
        <v>31</v>
      </c>
      <c r="N809" s="9" t="s">
        <v>32</v>
      </c>
      <c r="O809" s="12" t="s">
        <v>33</v>
      </c>
      <c r="P809" s="12" t="s">
        <v>34</v>
      </c>
      <c r="Q809" s="9"/>
      <c r="R809" s="18"/>
      <c r="S809" s="18"/>
      <c r="T809" s="18"/>
      <c r="U809" s="18"/>
      <c r="V809" s="18"/>
      <c r="W809" s="15"/>
      <c r="X809" s="15"/>
    </row>
    <row r="810">
      <c r="A810" s="7">
        <v>809.0</v>
      </c>
      <c r="B810" s="8" t="s">
        <v>3612</v>
      </c>
      <c r="C810" s="9" t="s">
        <v>3613</v>
      </c>
      <c r="D810" s="10" t="str">
        <f>HYPERLINK("https://facebook.com/367089020688300_561964237867443", "367089020688300_561964237867443")</f>
        <v>367089020688300_561964237867443</v>
      </c>
      <c r="E810" s="11">
        <v>1820.0</v>
      </c>
      <c r="F810" s="11">
        <v>40.0</v>
      </c>
      <c r="G810" s="11">
        <v>625.0</v>
      </c>
      <c r="H810" s="9" t="s">
        <v>26</v>
      </c>
      <c r="I810" s="9" t="s">
        <v>2370</v>
      </c>
      <c r="J810" s="16" t="s">
        <v>3614</v>
      </c>
      <c r="K810" s="9"/>
      <c r="L810" s="9" t="s">
        <v>30</v>
      </c>
      <c r="M810" s="9" t="s">
        <v>31</v>
      </c>
      <c r="N810" s="9" t="s">
        <v>32</v>
      </c>
      <c r="O810" s="12" t="s">
        <v>33</v>
      </c>
      <c r="P810" s="12" t="s">
        <v>34</v>
      </c>
      <c r="Q810" s="9"/>
      <c r="R810" s="18"/>
      <c r="S810" s="18"/>
      <c r="T810" s="18"/>
      <c r="U810" s="18"/>
      <c r="V810" s="18"/>
      <c r="W810" s="15"/>
      <c r="X810" s="15"/>
    </row>
    <row r="811">
      <c r="A811" s="7">
        <v>810.0</v>
      </c>
      <c r="B811" s="8" t="s">
        <v>3615</v>
      </c>
      <c r="C811" s="9" t="s">
        <v>3616</v>
      </c>
      <c r="D811" s="10" t="str">
        <f>HYPERLINK("https://facebook.com/367089020688300_549875139076353", "367089020688300_549875139076353")</f>
        <v>367089020688300_549875139076353</v>
      </c>
      <c r="E811" s="11">
        <v>175.0</v>
      </c>
      <c r="F811" s="11">
        <v>2.0</v>
      </c>
      <c r="G811" s="11">
        <v>157.0</v>
      </c>
      <c r="H811" s="9" t="s">
        <v>26</v>
      </c>
      <c r="I811" s="9" t="s">
        <v>2406</v>
      </c>
      <c r="J811" s="16" t="s">
        <v>3617</v>
      </c>
      <c r="K811" s="9"/>
      <c r="L811" s="9" t="s">
        <v>30</v>
      </c>
      <c r="M811" s="9" t="s">
        <v>31</v>
      </c>
      <c r="N811" s="9" t="s">
        <v>32</v>
      </c>
      <c r="O811" s="12" t="s">
        <v>33</v>
      </c>
      <c r="P811" s="12" t="s">
        <v>34</v>
      </c>
      <c r="Q811" s="9"/>
      <c r="R811" s="18"/>
      <c r="S811" s="18"/>
      <c r="T811" s="18"/>
      <c r="U811" s="18"/>
      <c r="V811" s="18"/>
      <c r="W811" s="15"/>
      <c r="X811" s="15"/>
    </row>
    <row r="812">
      <c r="A812" s="7">
        <v>811.0</v>
      </c>
      <c r="B812" s="8" t="s">
        <v>3618</v>
      </c>
      <c r="C812" s="9" t="s">
        <v>3619</v>
      </c>
      <c r="D812" s="10" t="str">
        <f>HYPERLINK("https://facebook.com/367089020688300_499009674162900", "367089020688300_499009674162900")</f>
        <v>367089020688300_499009674162900</v>
      </c>
      <c r="E812" s="11">
        <v>301.0</v>
      </c>
      <c r="F812" s="11">
        <v>32.0</v>
      </c>
      <c r="G812" s="11">
        <v>437.0</v>
      </c>
      <c r="H812" s="9" t="s">
        <v>26</v>
      </c>
      <c r="I812" s="9" t="s">
        <v>3620</v>
      </c>
      <c r="J812" s="9" t="s">
        <v>3621</v>
      </c>
      <c r="K812" s="9" t="s">
        <v>3622</v>
      </c>
      <c r="L812" s="9" t="s">
        <v>30</v>
      </c>
      <c r="M812" s="9" t="s">
        <v>31</v>
      </c>
      <c r="N812" s="9" t="s">
        <v>32</v>
      </c>
      <c r="O812" s="12" t="s">
        <v>33</v>
      </c>
      <c r="P812" s="12" t="s">
        <v>34</v>
      </c>
      <c r="Q812" s="9"/>
      <c r="R812" s="18"/>
      <c r="S812" s="18"/>
      <c r="T812" s="18"/>
      <c r="U812" s="18"/>
      <c r="V812" s="18"/>
      <c r="W812" s="15"/>
      <c r="X812" s="15"/>
    </row>
    <row r="813">
      <c r="A813" s="7">
        <v>812.0</v>
      </c>
      <c r="B813" s="8" t="s">
        <v>3623</v>
      </c>
      <c r="C813" s="9" t="s">
        <v>3624</v>
      </c>
      <c r="D813" s="10" t="str">
        <f>HYPERLINK("https://facebook.com/367089020688300_502846400445894", "367089020688300_502846400445894")</f>
        <v>367089020688300_502846400445894</v>
      </c>
      <c r="E813" s="11">
        <v>6.0</v>
      </c>
      <c r="F813" s="11">
        <v>0.0</v>
      </c>
      <c r="G813" s="11">
        <v>4.0</v>
      </c>
      <c r="H813" s="9" t="s">
        <v>26</v>
      </c>
      <c r="I813" s="9" t="s">
        <v>3625</v>
      </c>
      <c r="J813" s="9" t="s">
        <v>3626</v>
      </c>
      <c r="K813" s="9" t="s">
        <v>249</v>
      </c>
      <c r="L813" s="9" t="s">
        <v>30</v>
      </c>
      <c r="M813" s="9" t="s">
        <v>31</v>
      </c>
      <c r="N813" s="9" t="s">
        <v>32</v>
      </c>
      <c r="O813" s="12" t="s">
        <v>33</v>
      </c>
      <c r="P813" s="12" t="s">
        <v>34</v>
      </c>
      <c r="Q813" s="9"/>
      <c r="R813" s="18"/>
      <c r="S813" s="18"/>
      <c r="T813" s="18"/>
      <c r="U813" s="18"/>
      <c r="V813" s="18"/>
      <c r="W813" s="15"/>
      <c r="X813" s="15"/>
    </row>
    <row r="814">
      <c r="A814" s="7">
        <v>813.0</v>
      </c>
      <c r="B814" s="8" t="s">
        <v>3627</v>
      </c>
      <c r="C814" s="9" t="s">
        <v>3628</v>
      </c>
      <c r="D814" s="10" t="str">
        <f>HYPERLINK("https://facebook.com/367089020688300_541594423237758", "367089020688300_541594423237758")</f>
        <v>367089020688300_541594423237758</v>
      </c>
      <c r="E814" s="11">
        <v>319.0</v>
      </c>
      <c r="F814" s="11">
        <v>8.0</v>
      </c>
      <c r="G814" s="11">
        <v>357.0</v>
      </c>
      <c r="H814" s="9" t="s">
        <v>26</v>
      </c>
      <c r="I814" s="9" t="s">
        <v>3629</v>
      </c>
      <c r="J814" s="16" t="s">
        <v>3630</v>
      </c>
      <c r="K814" s="9"/>
      <c r="L814" s="9" t="s">
        <v>30</v>
      </c>
      <c r="M814" s="9" t="s">
        <v>31</v>
      </c>
      <c r="N814" s="9" t="s">
        <v>32</v>
      </c>
      <c r="O814" s="12" t="s">
        <v>33</v>
      </c>
      <c r="P814" s="12" t="s">
        <v>34</v>
      </c>
      <c r="Q814" s="9"/>
      <c r="R814" s="18"/>
      <c r="S814" s="18"/>
      <c r="T814" s="18"/>
      <c r="U814" s="18"/>
      <c r="V814" s="18"/>
      <c r="W814" s="15"/>
      <c r="X814" s="15"/>
    </row>
    <row r="815">
      <c r="A815" s="7">
        <v>814.0</v>
      </c>
      <c r="B815" s="8" t="s">
        <v>3631</v>
      </c>
      <c r="C815" s="9" t="s">
        <v>3632</v>
      </c>
      <c r="D815" s="10" t="str">
        <f>HYPERLINK("https://facebook.com/367089020688300_538785593518641", "367089020688300_538785593518641")</f>
        <v>367089020688300_538785593518641</v>
      </c>
      <c r="E815" s="11">
        <v>97.0</v>
      </c>
      <c r="F815" s="11">
        <v>1.0</v>
      </c>
      <c r="G815" s="11">
        <v>33.0</v>
      </c>
      <c r="H815" s="9" t="s">
        <v>26</v>
      </c>
      <c r="I815" s="9" t="s">
        <v>3633</v>
      </c>
      <c r="J815" s="9" t="s">
        <v>3634</v>
      </c>
      <c r="K815" s="9" t="s">
        <v>219</v>
      </c>
      <c r="L815" s="9" t="s">
        <v>30</v>
      </c>
      <c r="M815" s="9" t="s">
        <v>31</v>
      </c>
      <c r="N815" s="9" t="s">
        <v>32</v>
      </c>
      <c r="O815" s="12" t="s">
        <v>33</v>
      </c>
      <c r="P815" s="12" t="s">
        <v>34</v>
      </c>
      <c r="Q815" s="9"/>
      <c r="R815" s="18"/>
      <c r="S815" s="18"/>
      <c r="T815" s="18"/>
      <c r="U815" s="18"/>
      <c r="V815" s="18"/>
      <c r="W815" s="15"/>
      <c r="X815" s="15"/>
    </row>
    <row r="816">
      <c r="A816" s="7">
        <v>815.0</v>
      </c>
      <c r="B816" s="8" t="s">
        <v>3635</v>
      </c>
      <c r="C816" s="9" t="s">
        <v>3636</v>
      </c>
      <c r="D816" s="10" t="str">
        <f>HYPERLINK("https://facebook.com/367089020688300_532885550775312", "367089020688300_532885550775312")</f>
        <v>367089020688300_532885550775312</v>
      </c>
      <c r="E816" s="11">
        <v>345.0</v>
      </c>
      <c r="F816" s="11">
        <v>2.0</v>
      </c>
      <c r="G816" s="11">
        <v>237.0</v>
      </c>
      <c r="H816" s="9" t="s">
        <v>26</v>
      </c>
      <c r="I816" s="9" t="s">
        <v>3637</v>
      </c>
      <c r="J816" s="16" t="s">
        <v>3638</v>
      </c>
      <c r="K816" s="9"/>
      <c r="L816" s="9" t="s">
        <v>30</v>
      </c>
      <c r="M816" s="9" t="s">
        <v>31</v>
      </c>
      <c r="N816" s="9" t="s">
        <v>32</v>
      </c>
      <c r="O816" s="12" t="s">
        <v>33</v>
      </c>
      <c r="P816" s="12" t="s">
        <v>34</v>
      </c>
      <c r="Q816" s="9"/>
      <c r="R816" s="18"/>
      <c r="S816" s="18"/>
      <c r="T816" s="18"/>
      <c r="U816" s="18"/>
      <c r="V816" s="18"/>
      <c r="W816" s="15"/>
      <c r="X816" s="15"/>
    </row>
    <row r="817">
      <c r="A817" s="7">
        <v>816.0</v>
      </c>
      <c r="B817" s="8" t="s">
        <v>3639</v>
      </c>
      <c r="C817" s="9" t="s">
        <v>3640</v>
      </c>
      <c r="D817" s="10" t="str">
        <f>HYPERLINK("https://facebook.com/367089020688300_536313147099219", "367089020688300_536313147099219")</f>
        <v>367089020688300_536313147099219</v>
      </c>
      <c r="E817" s="11">
        <v>128.0</v>
      </c>
      <c r="F817" s="11">
        <v>6.0</v>
      </c>
      <c r="G817" s="11">
        <v>136.0</v>
      </c>
      <c r="H817" s="9" t="s">
        <v>26</v>
      </c>
      <c r="I817" s="9" t="s">
        <v>3641</v>
      </c>
      <c r="J817" s="16" t="s">
        <v>3642</v>
      </c>
      <c r="K817" s="9"/>
      <c r="L817" s="9" t="s">
        <v>30</v>
      </c>
      <c r="M817" s="9" t="s">
        <v>31</v>
      </c>
      <c r="N817" s="9" t="s">
        <v>32</v>
      </c>
      <c r="O817" s="12" t="s">
        <v>33</v>
      </c>
      <c r="P817" s="12" t="s">
        <v>34</v>
      </c>
      <c r="Q817" s="9"/>
      <c r="R817" s="18"/>
      <c r="S817" s="18"/>
      <c r="T817" s="18"/>
      <c r="U817" s="18"/>
      <c r="V817" s="18"/>
      <c r="W817" s="15"/>
      <c r="X817" s="15"/>
    </row>
    <row r="818">
      <c r="A818" s="7">
        <v>817.0</v>
      </c>
      <c r="B818" s="8" t="s">
        <v>3643</v>
      </c>
      <c r="C818" s="9" t="s">
        <v>3644</v>
      </c>
      <c r="D818" s="10" t="str">
        <f>HYPERLINK("https://facebook.com/367089020688300_531767447553789", "367089020688300_531767447553789")</f>
        <v>367089020688300_531767447553789</v>
      </c>
      <c r="E818" s="11">
        <v>247.0</v>
      </c>
      <c r="F818" s="11">
        <v>7.0</v>
      </c>
      <c r="G818" s="11">
        <v>225.0</v>
      </c>
      <c r="H818" s="9" t="s">
        <v>26</v>
      </c>
      <c r="I818" s="9" t="s">
        <v>1917</v>
      </c>
      <c r="J818" s="9" t="s">
        <v>3645</v>
      </c>
      <c r="K818" s="9" t="s">
        <v>3646</v>
      </c>
      <c r="L818" s="9" t="s">
        <v>30</v>
      </c>
      <c r="M818" s="9" t="s">
        <v>31</v>
      </c>
      <c r="N818" s="9" t="s">
        <v>32</v>
      </c>
      <c r="O818" s="12" t="s">
        <v>33</v>
      </c>
      <c r="P818" s="12" t="s">
        <v>34</v>
      </c>
      <c r="Q818" s="9"/>
      <c r="R818" s="18"/>
      <c r="S818" s="18"/>
      <c r="T818" s="18"/>
      <c r="U818" s="18"/>
      <c r="V818" s="18"/>
      <c r="W818" s="15"/>
      <c r="X818" s="15"/>
    </row>
    <row r="819">
      <c r="A819" s="7">
        <v>818.0</v>
      </c>
      <c r="B819" s="8" t="s">
        <v>3647</v>
      </c>
      <c r="C819" s="9" t="s">
        <v>3648</v>
      </c>
      <c r="D819" s="10" t="str">
        <f>HYPERLINK("https://facebook.com/367089020688300_461911374539397", "367089020688300_461911374539397")</f>
        <v>367089020688300_461911374539397</v>
      </c>
      <c r="E819" s="11">
        <v>145.0</v>
      </c>
      <c r="F819" s="11">
        <v>5.0</v>
      </c>
      <c r="G819" s="11">
        <v>144.0</v>
      </c>
      <c r="H819" s="9" t="s">
        <v>26</v>
      </c>
      <c r="I819" s="9" t="s">
        <v>3524</v>
      </c>
      <c r="J819" s="9" t="s">
        <v>3525</v>
      </c>
      <c r="K819" s="9" t="s">
        <v>3649</v>
      </c>
      <c r="L819" s="9" t="s">
        <v>30</v>
      </c>
      <c r="M819" s="9" t="s">
        <v>31</v>
      </c>
      <c r="N819" s="9" t="s">
        <v>32</v>
      </c>
      <c r="O819" s="12" t="s">
        <v>33</v>
      </c>
      <c r="P819" s="12" t="s">
        <v>34</v>
      </c>
      <c r="Q819" s="9"/>
      <c r="R819" s="18"/>
      <c r="S819" s="18"/>
      <c r="T819" s="18"/>
      <c r="U819" s="18"/>
      <c r="V819" s="18"/>
      <c r="W819" s="15"/>
      <c r="X819" s="15"/>
    </row>
    <row r="820">
      <c r="A820" s="7">
        <v>819.0</v>
      </c>
      <c r="B820" s="8" t="s">
        <v>3650</v>
      </c>
      <c r="C820" s="9" t="s">
        <v>3651</v>
      </c>
      <c r="D820" s="10" t="str">
        <f>HYPERLINK("https://facebook.com/367089020688300_504313306965870", "367089020688300_504313306965870")</f>
        <v>367089020688300_504313306965870</v>
      </c>
      <c r="E820" s="11">
        <v>452.0</v>
      </c>
      <c r="F820" s="11">
        <v>0.0</v>
      </c>
      <c r="G820" s="11">
        <v>373.0</v>
      </c>
      <c r="H820" s="9" t="s">
        <v>26</v>
      </c>
      <c r="I820" s="9" t="s">
        <v>3652</v>
      </c>
      <c r="J820" s="9" t="s">
        <v>3653</v>
      </c>
      <c r="K820" s="9" t="s">
        <v>3654</v>
      </c>
      <c r="L820" s="9" t="s">
        <v>30</v>
      </c>
      <c r="M820" s="9" t="s">
        <v>31</v>
      </c>
      <c r="N820" s="9" t="s">
        <v>32</v>
      </c>
      <c r="O820" s="12" t="s">
        <v>33</v>
      </c>
      <c r="P820" s="12" t="s">
        <v>34</v>
      </c>
      <c r="Q820" s="9"/>
      <c r="R820" s="18"/>
      <c r="S820" s="18"/>
      <c r="T820" s="18"/>
      <c r="U820" s="18"/>
      <c r="V820" s="18"/>
      <c r="W820" s="15"/>
      <c r="X820" s="15"/>
    </row>
    <row r="821">
      <c r="A821" s="7">
        <v>820.0</v>
      </c>
      <c r="B821" s="8" t="s">
        <v>3655</v>
      </c>
      <c r="C821" s="9" t="s">
        <v>3656</v>
      </c>
      <c r="D821" s="10" t="str">
        <f>HYPERLINK("https://facebook.com/367089020688300_541955623201638", "367089020688300_541955623201638")</f>
        <v>367089020688300_541955623201638</v>
      </c>
      <c r="E821" s="11">
        <v>66.0</v>
      </c>
      <c r="F821" s="11">
        <v>2.0</v>
      </c>
      <c r="G821" s="11">
        <v>26.0</v>
      </c>
      <c r="H821" s="9" t="s">
        <v>26</v>
      </c>
      <c r="I821" s="9" t="s">
        <v>3657</v>
      </c>
      <c r="J821" s="16" t="s">
        <v>3658</v>
      </c>
      <c r="K821" s="9"/>
      <c r="L821" s="9" t="s">
        <v>30</v>
      </c>
      <c r="M821" s="9" t="s">
        <v>31</v>
      </c>
      <c r="N821" s="9" t="s">
        <v>32</v>
      </c>
      <c r="O821" s="12" t="s">
        <v>33</v>
      </c>
      <c r="P821" s="12" t="s">
        <v>34</v>
      </c>
      <c r="Q821" s="9"/>
      <c r="R821" s="18"/>
      <c r="S821" s="18"/>
      <c r="T821" s="18"/>
      <c r="U821" s="18"/>
      <c r="V821" s="18"/>
      <c r="W821" s="15"/>
      <c r="X821" s="15"/>
    </row>
    <row r="822">
      <c r="A822" s="7">
        <v>821.0</v>
      </c>
      <c r="B822" s="8" t="s">
        <v>3659</v>
      </c>
      <c r="C822" s="9" t="s">
        <v>3660</v>
      </c>
      <c r="D822" s="10" t="str">
        <f>HYPERLINK("https://facebook.com/367089020688300_461195604610974", "367089020688300_461195604610974")</f>
        <v>367089020688300_461195604610974</v>
      </c>
      <c r="E822" s="11">
        <v>279.0</v>
      </c>
      <c r="F822" s="11">
        <v>9.0</v>
      </c>
      <c r="G822" s="11">
        <v>379.0</v>
      </c>
      <c r="H822" s="9" t="s">
        <v>26</v>
      </c>
      <c r="I822" s="9" t="s">
        <v>3417</v>
      </c>
      <c r="J822" s="9" t="s">
        <v>3661</v>
      </c>
      <c r="K822" s="9" t="s">
        <v>3662</v>
      </c>
      <c r="L822" s="9" t="s">
        <v>30</v>
      </c>
      <c r="M822" s="9" t="s">
        <v>31</v>
      </c>
      <c r="N822" s="9" t="s">
        <v>32</v>
      </c>
      <c r="O822" s="12" t="s">
        <v>33</v>
      </c>
      <c r="P822" s="12" t="s">
        <v>34</v>
      </c>
      <c r="Q822" s="9"/>
      <c r="R822" s="18"/>
      <c r="S822" s="18"/>
      <c r="T822" s="18"/>
      <c r="U822" s="18"/>
      <c r="V822" s="18"/>
      <c r="W822" s="15"/>
      <c r="X822" s="15"/>
    </row>
    <row r="823">
      <c r="A823" s="7">
        <v>822.0</v>
      </c>
      <c r="B823" s="8" t="s">
        <v>3663</v>
      </c>
      <c r="C823" s="9" t="s">
        <v>3664</v>
      </c>
      <c r="D823" s="10" t="str">
        <f>HYPERLINK("https://facebook.com/367089020688300_543726839691183", "367089020688300_543726839691183")</f>
        <v>367089020688300_543726839691183</v>
      </c>
      <c r="E823" s="11">
        <v>4.0</v>
      </c>
      <c r="F823" s="11">
        <v>0.0</v>
      </c>
      <c r="G823" s="11">
        <v>1.0</v>
      </c>
      <c r="H823" s="9" t="s">
        <v>26</v>
      </c>
      <c r="I823" s="9" t="s">
        <v>2091</v>
      </c>
      <c r="J823" s="16" t="s">
        <v>2092</v>
      </c>
      <c r="K823" s="9"/>
      <c r="L823" s="9" t="s">
        <v>30</v>
      </c>
      <c r="M823" s="9" t="s">
        <v>31</v>
      </c>
      <c r="N823" s="9" t="s">
        <v>32</v>
      </c>
      <c r="O823" s="12" t="s">
        <v>33</v>
      </c>
      <c r="P823" s="12" t="s">
        <v>34</v>
      </c>
      <c r="Q823" s="9"/>
      <c r="R823" s="18"/>
      <c r="S823" s="18"/>
      <c r="T823" s="18"/>
      <c r="U823" s="18"/>
      <c r="V823" s="18"/>
      <c r="W823" s="15"/>
      <c r="X823" s="15"/>
    </row>
    <row r="824">
      <c r="A824" s="7">
        <v>823.0</v>
      </c>
      <c r="B824" s="8" t="s">
        <v>3665</v>
      </c>
      <c r="C824" s="9" t="s">
        <v>3666</v>
      </c>
      <c r="D824" s="10" t="str">
        <f>HYPERLINK("https://facebook.com/367089020688300_526638908066643", "367089020688300_526638908066643")</f>
        <v>367089020688300_526638908066643</v>
      </c>
      <c r="E824" s="11">
        <v>26.0</v>
      </c>
      <c r="F824" s="11">
        <v>2.0</v>
      </c>
      <c r="G824" s="11">
        <v>14.0</v>
      </c>
      <c r="H824" s="9" t="s">
        <v>26</v>
      </c>
      <c r="I824" s="9" t="s">
        <v>3667</v>
      </c>
      <c r="J824" s="16" t="s">
        <v>3668</v>
      </c>
      <c r="K824" s="9"/>
      <c r="L824" s="9" t="s">
        <v>30</v>
      </c>
      <c r="M824" s="9" t="s">
        <v>31</v>
      </c>
      <c r="N824" s="9" t="s">
        <v>32</v>
      </c>
      <c r="O824" s="12" t="s">
        <v>33</v>
      </c>
      <c r="P824" s="12" t="s">
        <v>34</v>
      </c>
      <c r="Q824" s="9"/>
      <c r="R824" s="18"/>
      <c r="S824" s="18"/>
      <c r="T824" s="18"/>
      <c r="U824" s="18"/>
      <c r="V824" s="18"/>
      <c r="W824" s="15"/>
      <c r="X824" s="15"/>
    </row>
    <row r="825">
      <c r="A825" s="7">
        <v>824.0</v>
      </c>
      <c r="B825" s="8" t="s">
        <v>3669</v>
      </c>
      <c r="C825" s="9" t="s">
        <v>3670</v>
      </c>
      <c r="D825" s="10" t="str">
        <f>HYPERLINK("https://facebook.com/367089020688300_504383816958819", "367089020688300_504383816958819")</f>
        <v>367089020688300_504383816958819</v>
      </c>
      <c r="E825" s="11">
        <v>51.0</v>
      </c>
      <c r="F825" s="11">
        <v>2.0</v>
      </c>
      <c r="G825" s="11">
        <v>66.0</v>
      </c>
      <c r="H825" s="9" t="s">
        <v>26</v>
      </c>
      <c r="I825" s="9" t="s">
        <v>1927</v>
      </c>
      <c r="J825" s="9" t="s">
        <v>1928</v>
      </c>
      <c r="K825" s="9" t="s">
        <v>3671</v>
      </c>
      <c r="L825" s="9" t="s">
        <v>30</v>
      </c>
      <c r="M825" s="9" t="s">
        <v>31</v>
      </c>
      <c r="N825" s="9" t="s">
        <v>32</v>
      </c>
      <c r="O825" s="12" t="s">
        <v>33</v>
      </c>
      <c r="P825" s="12" t="s">
        <v>34</v>
      </c>
      <c r="Q825" s="9"/>
      <c r="R825" s="18"/>
      <c r="S825" s="18"/>
      <c r="T825" s="18"/>
      <c r="U825" s="18"/>
      <c r="V825" s="18"/>
      <c r="W825" s="15"/>
      <c r="X825" s="15"/>
    </row>
    <row r="826">
      <c r="A826" s="7">
        <v>825.0</v>
      </c>
      <c r="B826" s="8" t="s">
        <v>3672</v>
      </c>
      <c r="C826" s="9" t="s">
        <v>3673</v>
      </c>
      <c r="D826" s="10" t="str">
        <f>HYPERLINK("https://facebook.com/367089020688300_559545071442693", "367089020688300_559545071442693")</f>
        <v>367089020688300_559545071442693</v>
      </c>
      <c r="E826" s="11">
        <v>816.0</v>
      </c>
      <c r="F826" s="11">
        <v>5.0</v>
      </c>
      <c r="G826" s="11">
        <v>56.0</v>
      </c>
      <c r="H826" s="9" t="s">
        <v>26</v>
      </c>
      <c r="I826" s="9" t="s">
        <v>3674</v>
      </c>
      <c r="J826" s="9" t="s">
        <v>3675</v>
      </c>
      <c r="K826" s="9" t="s">
        <v>3676</v>
      </c>
      <c r="L826" s="9" t="s">
        <v>30</v>
      </c>
      <c r="M826" s="9" t="s">
        <v>31</v>
      </c>
      <c r="N826" s="9" t="s">
        <v>32</v>
      </c>
      <c r="O826" s="12" t="s">
        <v>33</v>
      </c>
      <c r="P826" s="12" t="s">
        <v>34</v>
      </c>
      <c r="Q826" s="9"/>
      <c r="R826" s="18"/>
      <c r="S826" s="18"/>
      <c r="T826" s="18"/>
      <c r="U826" s="18"/>
      <c r="V826" s="18"/>
      <c r="W826" s="15"/>
      <c r="X826" s="15"/>
    </row>
    <row r="827">
      <c r="A827" s="7">
        <v>826.0</v>
      </c>
      <c r="B827" s="8" t="s">
        <v>3677</v>
      </c>
      <c r="C827" s="9" t="s">
        <v>3678</v>
      </c>
      <c r="D827" s="10" t="str">
        <f>HYPERLINK("https://facebook.com/367089020688300_430074694389732", "367089020688300_430074694389732")</f>
        <v>367089020688300_430074694389732</v>
      </c>
      <c r="E827" s="11">
        <v>2051.0</v>
      </c>
      <c r="F827" s="11">
        <v>3.0</v>
      </c>
      <c r="G827" s="11">
        <v>645.0</v>
      </c>
      <c r="H827" s="9" t="s">
        <v>26</v>
      </c>
      <c r="I827" s="9" t="s">
        <v>3679</v>
      </c>
      <c r="J827" s="16" t="s">
        <v>3680</v>
      </c>
      <c r="K827" s="9"/>
      <c r="L827" s="9" t="s">
        <v>30</v>
      </c>
      <c r="M827" s="9" t="s">
        <v>31</v>
      </c>
      <c r="N827" s="9" t="s">
        <v>32</v>
      </c>
      <c r="O827" s="12" t="s">
        <v>33</v>
      </c>
      <c r="P827" s="12" t="s">
        <v>34</v>
      </c>
      <c r="Q827" s="9"/>
      <c r="R827" s="18"/>
      <c r="S827" s="18"/>
      <c r="T827" s="18"/>
      <c r="U827" s="18"/>
      <c r="V827" s="18"/>
      <c r="W827" s="15"/>
      <c r="X827" s="15"/>
    </row>
    <row r="828">
      <c r="A828" s="7">
        <v>827.0</v>
      </c>
      <c r="B828" s="8" t="s">
        <v>3681</v>
      </c>
      <c r="C828" s="9" t="s">
        <v>3682</v>
      </c>
      <c r="D828" s="10" t="str">
        <f>HYPERLINK("https://facebook.com/367089020688300_542806419783225", "367089020688300_542806419783225")</f>
        <v>367089020688300_542806419783225</v>
      </c>
      <c r="E828" s="11">
        <v>173.0</v>
      </c>
      <c r="F828" s="11">
        <v>0.0</v>
      </c>
      <c r="G828" s="11">
        <v>109.0</v>
      </c>
      <c r="H828" s="9" t="s">
        <v>26</v>
      </c>
      <c r="I828" s="9" t="s">
        <v>3683</v>
      </c>
      <c r="J828" s="9" t="s">
        <v>3684</v>
      </c>
      <c r="K828" s="9" t="s">
        <v>3685</v>
      </c>
      <c r="L828" s="9" t="s">
        <v>30</v>
      </c>
      <c r="M828" s="9" t="s">
        <v>31</v>
      </c>
      <c r="N828" s="9" t="s">
        <v>32</v>
      </c>
      <c r="O828" s="12" t="s">
        <v>33</v>
      </c>
      <c r="P828" s="12" t="s">
        <v>34</v>
      </c>
      <c r="Q828" s="9"/>
      <c r="R828" s="18"/>
      <c r="S828" s="18"/>
      <c r="T828" s="18"/>
      <c r="U828" s="18"/>
      <c r="V828" s="18"/>
      <c r="W828" s="15"/>
      <c r="X828" s="15"/>
    </row>
    <row r="829">
      <c r="A829" s="7">
        <v>828.0</v>
      </c>
      <c r="B829" s="8" t="s">
        <v>3686</v>
      </c>
      <c r="C829" s="9" t="s">
        <v>3687</v>
      </c>
      <c r="D829" s="10" t="str">
        <f>HYPERLINK("https://facebook.com/367089020688300_562837007780166", "367089020688300_562837007780166")</f>
        <v>367089020688300_562837007780166</v>
      </c>
      <c r="E829" s="11">
        <v>129.0</v>
      </c>
      <c r="F829" s="11">
        <v>1.0</v>
      </c>
      <c r="G829" s="11">
        <v>62.0</v>
      </c>
      <c r="H829" s="9" t="s">
        <v>26</v>
      </c>
      <c r="I829" s="9" t="s">
        <v>3688</v>
      </c>
      <c r="J829" s="16" t="s">
        <v>3689</v>
      </c>
      <c r="K829" s="9"/>
      <c r="L829" s="9" t="s">
        <v>30</v>
      </c>
      <c r="M829" s="9" t="s">
        <v>31</v>
      </c>
      <c r="N829" s="9" t="s">
        <v>32</v>
      </c>
      <c r="O829" s="12" t="s">
        <v>33</v>
      </c>
      <c r="P829" s="12" t="s">
        <v>34</v>
      </c>
      <c r="Q829" s="9"/>
      <c r="R829" s="18"/>
      <c r="S829" s="18"/>
      <c r="T829" s="18"/>
      <c r="U829" s="18"/>
      <c r="V829" s="18"/>
      <c r="W829" s="15"/>
      <c r="X829" s="15"/>
    </row>
    <row r="830">
      <c r="A830" s="7">
        <v>829.0</v>
      </c>
      <c r="B830" s="8" t="s">
        <v>3690</v>
      </c>
      <c r="C830" s="9" t="s">
        <v>3691</v>
      </c>
      <c r="D830" s="10" t="str">
        <f>HYPERLINK("https://facebook.com/367089020688300_538694300194437", "367089020688300_538694300194437")</f>
        <v>367089020688300_538694300194437</v>
      </c>
      <c r="E830" s="11">
        <v>129.0</v>
      </c>
      <c r="F830" s="11">
        <v>1.0</v>
      </c>
      <c r="G830" s="11">
        <v>199.0</v>
      </c>
      <c r="H830" s="9" t="s">
        <v>26</v>
      </c>
      <c r="I830" s="9" t="s">
        <v>3692</v>
      </c>
      <c r="J830" s="9" t="s">
        <v>3693</v>
      </c>
      <c r="K830" s="9" t="s">
        <v>219</v>
      </c>
      <c r="L830" s="9" t="s">
        <v>30</v>
      </c>
      <c r="M830" s="9" t="s">
        <v>31</v>
      </c>
      <c r="N830" s="9" t="s">
        <v>32</v>
      </c>
      <c r="O830" s="12" t="s">
        <v>33</v>
      </c>
      <c r="P830" s="12" t="s">
        <v>34</v>
      </c>
      <c r="Q830" s="9"/>
      <c r="R830" s="18"/>
      <c r="S830" s="18"/>
      <c r="T830" s="18"/>
      <c r="U830" s="18"/>
      <c r="V830" s="18"/>
      <c r="W830" s="15"/>
      <c r="X830" s="15"/>
    </row>
    <row r="831">
      <c r="A831" s="7">
        <v>830.0</v>
      </c>
      <c r="B831" s="8" t="s">
        <v>3694</v>
      </c>
      <c r="C831" s="9" t="s">
        <v>3695</v>
      </c>
      <c r="D831" s="10" t="str">
        <f>HYPERLINK("https://facebook.com/367089020688300_466747597389108", "367089020688300_466747597389108")</f>
        <v>367089020688300_466747597389108</v>
      </c>
      <c r="E831" s="11">
        <v>310.0</v>
      </c>
      <c r="F831" s="11">
        <v>4.0</v>
      </c>
      <c r="G831" s="11">
        <v>383.0</v>
      </c>
      <c r="H831" s="9" t="s">
        <v>26</v>
      </c>
      <c r="I831" s="9" t="s">
        <v>3696</v>
      </c>
      <c r="J831" s="16" t="s">
        <v>3697</v>
      </c>
      <c r="K831" s="9"/>
      <c r="L831" s="9" t="s">
        <v>30</v>
      </c>
      <c r="M831" s="9" t="s">
        <v>31</v>
      </c>
      <c r="N831" s="9" t="s">
        <v>32</v>
      </c>
      <c r="O831" s="12" t="s">
        <v>33</v>
      </c>
      <c r="P831" s="12" t="s">
        <v>34</v>
      </c>
      <c r="Q831" s="9"/>
      <c r="R831" s="18"/>
      <c r="S831" s="18"/>
      <c r="T831" s="18"/>
      <c r="U831" s="18"/>
      <c r="V831" s="18"/>
      <c r="W831" s="15"/>
      <c r="X831" s="15"/>
    </row>
    <row r="832">
      <c r="A832" s="7">
        <v>831.0</v>
      </c>
      <c r="B832" s="8" t="s">
        <v>3698</v>
      </c>
      <c r="C832" s="9" t="s">
        <v>3699</v>
      </c>
      <c r="D832" s="10" t="str">
        <f>HYPERLINK("https://facebook.com/367089020688300_440876896642845", "367089020688300_440876896642845")</f>
        <v>367089020688300_440876896642845</v>
      </c>
      <c r="E832" s="11">
        <v>289.0</v>
      </c>
      <c r="F832" s="11">
        <v>9.0</v>
      </c>
      <c r="G832" s="11">
        <v>355.0</v>
      </c>
      <c r="H832" s="9" t="s">
        <v>26</v>
      </c>
      <c r="I832" s="9" t="s">
        <v>3700</v>
      </c>
      <c r="J832" s="9" t="s">
        <v>3701</v>
      </c>
      <c r="K832" s="9" t="s">
        <v>3702</v>
      </c>
      <c r="L832" s="9" t="s">
        <v>30</v>
      </c>
      <c r="M832" s="9" t="s">
        <v>31</v>
      </c>
      <c r="N832" s="9" t="s">
        <v>32</v>
      </c>
      <c r="O832" s="12" t="s">
        <v>33</v>
      </c>
      <c r="P832" s="12" t="s">
        <v>34</v>
      </c>
      <c r="Q832" s="9"/>
      <c r="R832" s="18"/>
      <c r="S832" s="18"/>
      <c r="T832" s="18"/>
      <c r="U832" s="18"/>
      <c r="V832" s="18"/>
      <c r="W832" s="15"/>
      <c r="X832" s="15"/>
    </row>
    <row r="833">
      <c r="A833" s="7">
        <v>832.0</v>
      </c>
      <c r="B833" s="8" t="s">
        <v>3703</v>
      </c>
      <c r="C833" s="9" t="s">
        <v>3704</v>
      </c>
      <c r="D833" s="10" t="str">
        <f>HYPERLINK("https://facebook.com/367089020688300_464114684319066", "367089020688300_464114684319066")</f>
        <v>367089020688300_464114684319066</v>
      </c>
      <c r="E833" s="11">
        <v>293.0</v>
      </c>
      <c r="F833" s="11">
        <v>8.0</v>
      </c>
      <c r="G833" s="11">
        <v>285.0</v>
      </c>
      <c r="H833" s="9" t="s">
        <v>26</v>
      </c>
      <c r="I833" s="9" t="s">
        <v>3705</v>
      </c>
      <c r="J833" s="9" t="s">
        <v>3706</v>
      </c>
      <c r="K833" s="9" t="s">
        <v>3707</v>
      </c>
      <c r="L833" s="9" t="s">
        <v>30</v>
      </c>
      <c r="M833" s="9" t="s">
        <v>31</v>
      </c>
      <c r="N833" s="9" t="s">
        <v>32</v>
      </c>
      <c r="O833" s="12" t="s">
        <v>33</v>
      </c>
      <c r="P833" s="12" t="s">
        <v>34</v>
      </c>
      <c r="Q833" s="9"/>
      <c r="R833" s="18"/>
      <c r="S833" s="18"/>
      <c r="T833" s="18"/>
      <c r="U833" s="18"/>
      <c r="V833" s="18"/>
      <c r="W833" s="15"/>
      <c r="X833" s="15"/>
    </row>
    <row r="834">
      <c r="A834" s="7">
        <v>833.0</v>
      </c>
      <c r="B834" s="8" t="s">
        <v>3708</v>
      </c>
      <c r="C834" s="9" t="s">
        <v>3709</v>
      </c>
      <c r="D834" s="10" t="str">
        <f>HYPERLINK("https://facebook.com/367089020688300_562768154453718", "367089020688300_562768154453718")</f>
        <v>367089020688300_562768154453718</v>
      </c>
      <c r="E834" s="11">
        <v>44.0</v>
      </c>
      <c r="F834" s="11">
        <v>1.0</v>
      </c>
      <c r="G834" s="11">
        <v>22.0</v>
      </c>
      <c r="H834" s="9" t="s">
        <v>26</v>
      </c>
      <c r="I834" s="9" t="s">
        <v>3710</v>
      </c>
      <c r="J834" s="16" t="s">
        <v>3711</v>
      </c>
      <c r="K834" s="9"/>
      <c r="L834" s="9" t="s">
        <v>30</v>
      </c>
      <c r="M834" s="9" t="s">
        <v>31</v>
      </c>
      <c r="N834" s="9" t="s">
        <v>32</v>
      </c>
      <c r="O834" s="12" t="s">
        <v>33</v>
      </c>
      <c r="P834" s="12" t="s">
        <v>34</v>
      </c>
      <c r="Q834" s="9"/>
      <c r="R834" s="18"/>
      <c r="S834" s="18"/>
      <c r="T834" s="18"/>
      <c r="U834" s="18"/>
      <c r="V834" s="18"/>
      <c r="W834" s="15"/>
      <c r="X834" s="15"/>
    </row>
    <row r="835">
      <c r="A835" s="7">
        <v>834.0</v>
      </c>
      <c r="B835" s="8" t="s">
        <v>3712</v>
      </c>
      <c r="C835" s="9" t="s">
        <v>3713</v>
      </c>
      <c r="D835" s="10" t="str">
        <f>HYPERLINK("https://facebook.com/367089020688300_547099579353909", "367089020688300_547099579353909")</f>
        <v>367089020688300_547099579353909</v>
      </c>
      <c r="E835" s="11">
        <v>2.0</v>
      </c>
      <c r="F835" s="11">
        <v>0.0</v>
      </c>
      <c r="G835" s="11">
        <v>0.0</v>
      </c>
      <c r="H835" s="9" t="s">
        <v>26</v>
      </c>
      <c r="I835" s="9" t="s">
        <v>3714</v>
      </c>
      <c r="J835" s="9" t="s">
        <v>3715</v>
      </c>
      <c r="K835" s="9" t="s">
        <v>3716</v>
      </c>
      <c r="L835" s="9" t="s">
        <v>30</v>
      </c>
      <c r="M835" s="9" t="s">
        <v>31</v>
      </c>
      <c r="N835" s="9" t="s">
        <v>32</v>
      </c>
      <c r="O835" s="12" t="s">
        <v>33</v>
      </c>
      <c r="P835" s="12" t="s">
        <v>34</v>
      </c>
      <c r="Q835" s="9"/>
      <c r="R835" s="18"/>
      <c r="S835" s="18"/>
      <c r="T835" s="18"/>
      <c r="U835" s="18"/>
      <c r="V835" s="18"/>
      <c r="W835" s="15"/>
      <c r="X835" s="15"/>
    </row>
    <row r="836">
      <c r="A836" s="7">
        <v>835.0</v>
      </c>
      <c r="B836" s="8" t="s">
        <v>3717</v>
      </c>
      <c r="C836" s="9" t="s">
        <v>3718</v>
      </c>
      <c r="D836" s="10" t="str">
        <f>HYPERLINK("https://facebook.com/367089020688300_536917370372130", "367089020688300_536917370372130")</f>
        <v>367089020688300_536917370372130</v>
      </c>
      <c r="E836" s="11">
        <v>29.0</v>
      </c>
      <c r="F836" s="11">
        <v>0.0</v>
      </c>
      <c r="G836" s="11">
        <v>16.0</v>
      </c>
      <c r="H836" s="9" t="s">
        <v>26</v>
      </c>
      <c r="I836" s="9" t="s">
        <v>3719</v>
      </c>
      <c r="J836" s="16" t="s">
        <v>3720</v>
      </c>
      <c r="K836" s="9"/>
      <c r="L836" s="9" t="s">
        <v>30</v>
      </c>
      <c r="M836" s="9" t="s">
        <v>31</v>
      </c>
      <c r="N836" s="9" t="s">
        <v>32</v>
      </c>
      <c r="O836" s="12" t="s">
        <v>33</v>
      </c>
      <c r="P836" s="12" t="s">
        <v>34</v>
      </c>
      <c r="Q836" s="9"/>
      <c r="R836" s="18"/>
      <c r="S836" s="18"/>
      <c r="T836" s="18"/>
      <c r="U836" s="18"/>
      <c r="V836" s="18"/>
      <c r="W836" s="15"/>
      <c r="X836" s="15"/>
    </row>
    <row r="837">
      <c r="A837" s="7">
        <v>836.0</v>
      </c>
      <c r="B837" s="8" t="s">
        <v>3721</v>
      </c>
      <c r="C837" s="9" t="s">
        <v>3722</v>
      </c>
      <c r="D837" s="10" t="str">
        <f>HYPERLINK("https://facebook.com/367089020688300_555835558480311", "367089020688300_555835558480311")</f>
        <v>367089020688300_555835558480311</v>
      </c>
      <c r="E837" s="11">
        <v>100.0</v>
      </c>
      <c r="F837" s="11">
        <v>0.0</v>
      </c>
      <c r="G837" s="11">
        <v>27.0</v>
      </c>
      <c r="H837" s="9" t="s">
        <v>26</v>
      </c>
      <c r="I837" s="9" t="s">
        <v>3723</v>
      </c>
      <c r="J837" s="9" t="s">
        <v>3724</v>
      </c>
      <c r="K837" s="9" t="s">
        <v>214</v>
      </c>
      <c r="L837" s="9" t="s">
        <v>30</v>
      </c>
      <c r="M837" s="9" t="s">
        <v>31</v>
      </c>
      <c r="N837" s="9" t="s">
        <v>32</v>
      </c>
      <c r="O837" s="12" t="s">
        <v>33</v>
      </c>
      <c r="P837" s="12" t="s">
        <v>34</v>
      </c>
      <c r="Q837" s="9"/>
      <c r="R837" s="18"/>
      <c r="S837" s="18"/>
      <c r="T837" s="18"/>
      <c r="U837" s="18"/>
      <c r="V837" s="18"/>
      <c r="W837" s="15"/>
      <c r="X837" s="15"/>
    </row>
    <row r="838">
      <c r="A838" s="7">
        <v>837.0</v>
      </c>
      <c r="B838" s="8" t="s">
        <v>3725</v>
      </c>
      <c r="C838" s="9" t="s">
        <v>3726</v>
      </c>
      <c r="D838" s="10" t="str">
        <f>HYPERLINK("https://facebook.com/367089020688300_560255861371614", "367089020688300_560255861371614")</f>
        <v>367089020688300_560255861371614</v>
      </c>
      <c r="E838" s="11">
        <v>39.0</v>
      </c>
      <c r="F838" s="11">
        <v>1.0</v>
      </c>
      <c r="G838" s="11">
        <v>31.0</v>
      </c>
      <c r="H838" s="9" t="s">
        <v>26</v>
      </c>
      <c r="I838" s="9" t="s">
        <v>2853</v>
      </c>
      <c r="J838" s="16" t="s">
        <v>2854</v>
      </c>
      <c r="K838" s="9"/>
      <c r="L838" s="9" t="s">
        <v>30</v>
      </c>
      <c r="M838" s="9" t="s">
        <v>31</v>
      </c>
      <c r="N838" s="9" t="s">
        <v>32</v>
      </c>
      <c r="O838" s="12" t="s">
        <v>33</v>
      </c>
      <c r="P838" s="12" t="s">
        <v>34</v>
      </c>
      <c r="Q838" s="9"/>
      <c r="R838" s="18"/>
      <c r="S838" s="18"/>
      <c r="T838" s="18"/>
      <c r="U838" s="18"/>
      <c r="V838" s="18"/>
      <c r="W838" s="15"/>
      <c r="X838" s="15"/>
    </row>
    <row r="839">
      <c r="A839" s="7">
        <v>838.0</v>
      </c>
      <c r="B839" s="8" t="s">
        <v>3727</v>
      </c>
      <c r="C839" s="9" t="s">
        <v>3728</v>
      </c>
      <c r="D839" s="10" t="str">
        <f>HYPERLINK("https://facebook.com/367089020688300_426604878070047", "367089020688300_426604878070047")</f>
        <v>367089020688300_426604878070047</v>
      </c>
      <c r="E839" s="11">
        <v>244.0</v>
      </c>
      <c r="F839" s="11">
        <v>2.0</v>
      </c>
      <c r="G839" s="11">
        <v>101.0</v>
      </c>
      <c r="H839" s="9" t="s">
        <v>26</v>
      </c>
      <c r="I839" s="9" t="s">
        <v>3729</v>
      </c>
      <c r="J839" s="9" t="s">
        <v>3730</v>
      </c>
      <c r="K839" s="9" t="s">
        <v>663</v>
      </c>
      <c r="L839" s="9" t="s">
        <v>30</v>
      </c>
      <c r="M839" s="9" t="s">
        <v>31</v>
      </c>
      <c r="N839" s="9" t="s">
        <v>32</v>
      </c>
      <c r="O839" s="12" t="s">
        <v>33</v>
      </c>
      <c r="P839" s="12" t="s">
        <v>34</v>
      </c>
      <c r="Q839" s="9"/>
      <c r="R839" s="18"/>
      <c r="S839" s="18"/>
      <c r="T839" s="18"/>
      <c r="U839" s="18"/>
      <c r="V839" s="18"/>
      <c r="W839" s="15"/>
      <c r="X839" s="15"/>
    </row>
    <row r="840">
      <c r="A840" s="7">
        <v>839.0</v>
      </c>
      <c r="B840" s="8" t="s">
        <v>3731</v>
      </c>
      <c r="C840" s="9" t="s">
        <v>3732</v>
      </c>
      <c r="D840" s="10" t="str">
        <f>HYPERLINK("https://facebook.com/367089020688300_557985501598650", "367089020688300_557985501598650")</f>
        <v>367089020688300_557985501598650</v>
      </c>
      <c r="E840" s="11">
        <v>40.0</v>
      </c>
      <c r="F840" s="11">
        <v>0.0</v>
      </c>
      <c r="G840" s="11">
        <v>29.0</v>
      </c>
      <c r="H840" s="9" t="s">
        <v>26</v>
      </c>
      <c r="I840" s="9" t="s">
        <v>3733</v>
      </c>
      <c r="J840" s="9" t="s">
        <v>3734</v>
      </c>
      <c r="K840" s="9" t="s">
        <v>3735</v>
      </c>
      <c r="L840" s="9" t="s">
        <v>30</v>
      </c>
      <c r="M840" s="9" t="s">
        <v>31</v>
      </c>
      <c r="N840" s="9" t="s">
        <v>32</v>
      </c>
      <c r="O840" s="12" t="s">
        <v>33</v>
      </c>
      <c r="P840" s="12" t="s">
        <v>34</v>
      </c>
      <c r="Q840" s="9"/>
      <c r="R840" s="18"/>
      <c r="S840" s="18"/>
      <c r="T840" s="18"/>
      <c r="U840" s="18"/>
      <c r="V840" s="18"/>
      <c r="W840" s="15"/>
      <c r="X840" s="15"/>
    </row>
    <row r="841">
      <c r="A841" s="7">
        <v>840.0</v>
      </c>
      <c r="B841" s="8" t="s">
        <v>3736</v>
      </c>
      <c r="C841" s="9" t="s">
        <v>3737</v>
      </c>
      <c r="D841" s="10" t="str">
        <f>HYPERLINK("https://facebook.com/367089020688300_553205475409986", "367089020688300_553205475409986")</f>
        <v>367089020688300_553205475409986</v>
      </c>
      <c r="E841" s="11">
        <v>53.0</v>
      </c>
      <c r="F841" s="11">
        <v>0.0</v>
      </c>
      <c r="G841" s="11">
        <v>49.0</v>
      </c>
      <c r="H841" s="9" t="s">
        <v>26</v>
      </c>
      <c r="I841" s="9" t="s">
        <v>3738</v>
      </c>
      <c r="J841" s="16" t="s">
        <v>3739</v>
      </c>
      <c r="K841" s="9"/>
      <c r="L841" s="9" t="s">
        <v>30</v>
      </c>
      <c r="M841" s="9" t="s">
        <v>31</v>
      </c>
      <c r="N841" s="9" t="s">
        <v>32</v>
      </c>
      <c r="O841" s="12" t="s">
        <v>33</v>
      </c>
      <c r="P841" s="12" t="s">
        <v>34</v>
      </c>
      <c r="Q841" s="9"/>
      <c r="R841" s="18"/>
      <c r="S841" s="18"/>
      <c r="T841" s="18"/>
      <c r="U841" s="18"/>
      <c r="V841" s="18"/>
      <c r="W841" s="15"/>
      <c r="X841" s="15"/>
    </row>
    <row r="842">
      <c r="A842" s="7">
        <v>841.0</v>
      </c>
      <c r="B842" s="8" t="s">
        <v>3740</v>
      </c>
      <c r="C842" s="9" t="s">
        <v>3741</v>
      </c>
      <c r="D842" s="10" t="str">
        <f>HYPERLINK("https://facebook.com/367089020688300_490148928382308", "367089020688300_490148928382308")</f>
        <v>367089020688300_490148928382308</v>
      </c>
      <c r="E842" s="11">
        <v>1936.0</v>
      </c>
      <c r="F842" s="11">
        <v>119.0</v>
      </c>
      <c r="G842" s="11">
        <v>831.0</v>
      </c>
      <c r="H842" s="9" t="s">
        <v>26</v>
      </c>
      <c r="I842" s="9" t="s">
        <v>3742</v>
      </c>
      <c r="J842" s="9" t="s">
        <v>3743</v>
      </c>
      <c r="K842" s="9" t="s">
        <v>3744</v>
      </c>
      <c r="L842" s="9" t="s">
        <v>30</v>
      </c>
      <c r="M842" s="9" t="s">
        <v>31</v>
      </c>
      <c r="N842" s="9" t="s">
        <v>32</v>
      </c>
      <c r="O842" s="12" t="s">
        <v>33</v>
      </c>
      <c r="P842" s="12" t="s">
        <v>34</v>
      </c>
      <c r="Q842" s="9"/>
      <c r="R842" s="18"/>
      <c r="S842" s="18"/>
      <c r="T842" s="18"/>
      <c r="U842" s="18"/>
      <c r="V842" s="18"/>
      <c r="W842" s="15"/>
      <c r="X842" s="15"/>
    </row>
    <row r="843">
      <c r="A843" s="7">
        <v>842.0</v>
      </c>
      <c r="B843" s="8" t="s">
        <v>3745</v>
      </c>
      <c r="C843" s="9" t="s">
        <v>3746</v>
      </c>
      <c r="D843" s="10" t="str">
        <f>HYPERLINK("https://facebook.com/367089020688300_541933516537182", "367089020688300_541933516537182")</f>
        <v>367089020688300_541933516537182</v>
      </c>
      <c r="E843" s="11">
        <v>402.0</v>
      </c>
      <c r="F843" s="11">
        <v>5.0</v>
      </c>
      <c r="G843" s="11">
        <v>368.0</v>
      </c>
      <c r="H843" s="9" t="s">
        <v>26</v>
      </c>
      <c r="I843" s="9" t="s">
        <v>3747</v>
      </c>
      <c r="J843" s="9" t="s">
        <v>3748</v>
      </c>
      <c r="K843" s="9" t="s">
        <v>2642</v>
      </c>
      <c r="L843" s="9" t="s">
        <v>30</v>
      </c>
      <c r="M843" s="9" t="s">
        <v>31</v>
      </c>
      <c r="N843" s="9" t="s">
        <v>32</v>
      </c>
      <c r="O843" s="12" t="s">
        <v>33</v>
      </c>
      <c r="P843" s="12" t="s">
        <v>34</v>
      </c>
      <c r="Q843" s="9"/>
      <c r="R843" s="18"/>
      <c r="S843" s="18"/>
      <c r="T843" s="18"/>
      <c r="U843" s="18"/>
      <c r="V843" s="18"/>
      <c r="W843" s="15"/>
      <c r="X843" s="15"/>
    </row>
    <row r="844">
      <c r="A844" s="7">
        <v>843.0</v>
      </c>
      <c r="B844" s="8" t="s">
        <v>3749</v>
      </c>
      <c r="C844" s="9" t="s">
        <v>3750</v>
      </c>
      <c r="D844" s="10" t="str">
        <f>HYPERLINK("https://facebook.com/367089020688300_464586317605236", "367089020688300_464586317605236")</f>
        <v>367089020688300_464586317605236</v>
      </c>
      <c r="E844" s="11">
        <v>191.0</v>
      </c>
      <c r="F844" s="11">
        <v>2.0</v>
      </c>
      <c r="G844" s="11">
        <v>158.0</v>
      </c>
      <c r="H844" s="9" t="s">
        <v>26</v>
      </c>
      <c r="I844" s="9" t="s">
        <v>3751</v>
      </c>
      <c r="J844" s="9" t="s">
        <v>3752</v>
      </c>
      <c r="K844" s="9" t="s">
        <v>249</v>
      </c>
      <c r="L844" s="9" t="s">
        <v>30</v>
      </c>
      <c r="M844" s="9" t="s">
        <v>31</v>
      </c>
      <c r="N844" s="9" t="s">
        <v>32</v>
      </c>
      <c r="O844" s="12" t="s">
        <v>33</v>
      </c>
      <c r="P844" s="12" t="s">
        <v>34</v>
      </c>
      <c r="Q844" s="9"/>
      <c r="R844" s="18"/>
      <c r="S844" s="18"/>
      <c r="T844" s="18"/>
      <c r="U844" s="18"/>
      <c r="V844" s="18"/>
      <c r="W844" s="15"/>
      <c r="X844" s="15"/>
    </row>
    <row r="845">
      <c r="A845" s="7">
        <v>844.0</v>
      </c>
      <c r="B845" s="8" t="s">
        <v>3753</v>
      </c>
      <c r="C845" s="9" t="s">
        <v>3754</v>
      </c>
      <c r="D845" s="10" t="str">
        <f>HYPERLINK("https://facebook.com/367089020688300_540485053348695", "367089020688300_540485053348695")</f>
        <v>367089020688300_540485053348695</v>
      </c>
      <c r="E845" s="11">
        <v>25.0</v>
      </c>
      <c r="F845" s="11">
        <v>1.0</v>
      </c>
      <c r="G845" s="11">
        <v>18.0</v>
      </c>
      <c r="H845" s="9" t="s">
        <v>26</v>
      </c>
      <c r="I845" s="9" t="s">
        <v>3755</v>
      </c>
      <c r="J845" s="9" t="s">
        <v>3756</v>
      </c>
      <c r="K845" s="9" t="s">
        <v>249</v>
      </c>
      <c r="L845" s="9" t="s">
        <v>30</v>
      </c>
      <c r="M845" s="9" t="s">
        <v>31</v>
      </c>
      <c r="N845" s="9" t="s">
        <v>32</v>
      </c>
      <c r="O845" s="12" t="s">
        <v>33</v>
      </c>
      <c r="P845" s="12" t="s">
        <v>34</v>
      </c>
      <c r="Q845" s="9"/>
      <c r="R845" s="18"/>
      <c r="S845" s="18"/>
      <c r="T845" s="18"/>
      <c r="U845" s="18"/>
      <c r="V845" s="18"/>
      <c r="W845" s="15"/>
      <c r="X845" s="15"/>
    </row>
    <row r="846">
      <c r="A846" s="7">
        <v>845.0</v>
      </c>
      <c r="B846" s="8" t="s">
        <v>3757</v>
      </c>
      <c r="C846" s="9" t="s">
        <v>3758</v>
      </c>
      <c r="D846" s="10" t="str">
        <f>HYPERLINK("https://facebook.com/367089020688300_510582143005653", "367089020688300_510582143005653")</f>
        <v>367089020688300_510582143005653</v>
      </c>
      <c r="E846" s="11">
        <v>130.0</v>
      </c>
      <c r="F846" s="11">
        <v>8.0</v>
      </c>
      <c r="G846" s="11">
        <v>97.0</v>
      </c>
      <c r="H846" s="9" t="s">
        <v>26</v>
      </c>
      <c r="I846" s="9" t="s">
        <v>3759</v>
      </c>
      <c r="J846" s="9" t="s">
        <v>3760</v>
      </c>
      <c r="K846" s="9" t="s">
        <v>3761</v>
      </c>
      <c r="L846" s="9" t="s">
        <v>30</v>
      </c>
      <c r="M846" s="9" t="s">
        <v>31</v>
      </c>
      <c r="N846" s="9" t="s">
        <v>32</v>
      </c>
      <c r="O846" s="12" t="s">
        <v>33</v>
      </c>
      <c r="P846" s="12" t="s">
        <v>34</v>
      </c>
      <c r="Q846" s="9"/>
      <c r="R846" s="18"/>
      <c r="S846" s="18"/>
      <c r="T846" s="18"/>
      <c r="U846" s="18"/>
      <c r="V846" s="18"/>
      <c r="W846" s="15"/>
      <c r="X846" s="15"/>
    </row>
    <row r="847">
      <c r="A847" s="7">
        <v>846.0</v>
      </c>
      <c r="B847" s="8" t="s">
        <v>3762</v>
      </c>
      <c r="C847" s="9" t="s">
        <v>3763</v>
      </c>
      <c r="D847" s="10" t="str">
        <f>HYPERLINK("https://facebook.com/367089020688300_553541548709712", "367089020688300_553541548709712")</f>
        <v>367089020688300_553541548709712</v>
      </c>
      <c r="E847" s="11">
        <v>27.0</v>
      </c>
      <c r="F847" s="11">
        <v>0.0</v>
      </c>
      <c r="G847" s="11">
        <v>42.0</v>
      </c>
      <c r="H847" s="9" t="s">
        <v>26</v>
      </c>
      <c r="I847" s="9" t="s">
        <v>3515</v>
      </c>
      <c r="J847" s="9" t="s">
        <v>3516</v>
      </c>
      <c r="K847" s="9" t="s">
        <v>3764</v>
      </c>
      <c r="L847" s="9" t="s">
        <v>30</v>
      </c>
      <c r="M847" s="9" t="s">
        <v>31</v>
      </c>
      <c r="N847" s="9" t="s">
        <v>32</v>
      </c>
      <c r="O847" s="12" t="s">
        <v>33</v>
      </c>
      <c r="P847" s="12" t="s">
        <v>34</v>
      </c>
      <c r="Q847" s="9"/>
      <c r="R847" s="18"/>
      <c r="S847" s="18"/>
      <c r="T847" s="18"/>
      <c r="U847" s="18"/>
      <c r="V847" s="18"/>
      <c r="W847" s="15"/>
      <c r="X847" s="15"/>
    </row>
    <row r="848">
      <c r="A848" s="7">
        <v>847.0</v>
      </c>
      <c r="B848" s="8" t="s">
        <v>3765</v>
      </c>
      <c r="C848" s="9" t="s">
        <v>3766</v>
      </c>
      <c r="D848" s="10" t="str">
        <f>HYPERLINK("https://facebook.com/367089020688300_541902249873642", "367089020688300_541902249873642")</f>
        <v>367089020688300_541902249873642</v>
      </c>
      <c r="E848" s="11">
        <v>201.0</v>
      </c>
      <c r="F848" s="11">
        <v>3.0</v>
      </c>
      <c r="G848" s="11">
        <v>259.0</v>
      </c>
      <c r="H848" s="9" t="s">
        <v>26</v>
      </c>
      <c r="I848" s="9" t="s">
        <v>3767</v>
      </c>
      <c r="J848" s="16" t="s">
        <v>3768</v>
      </c>
      <c r="K848" s="9"/>
      <c r="L848" s="9" t="s">
        <v>30</v>
      </c>
      <c r="M848" s="9" t="s">
        <v>31</v>
      </c>
      <c r="N848" s="9" t="s">
        <v>32</v>
      </c>
      <c r="O848" s="12" t="s">
        <v>33</v>
      </c>
      <c r="P848" s="12" t="s">
        <v>34</v>
      </c>
      <c r="Q848" s="9"/>
      <c r="R848" s="18"/>
      <c r="S848" s="18"/>
      <c r="T848" s="18"/>
      <c r="U848" s="18"/>
      <c r="V848" s="18"/>
      <c r="W848" s="15"/>
      <c r="X848" s="15"/>
    </row>
    <row r="849">
      <c r="A849" s="7">
        <v>848.0</v>
      </c>
      <c r="B849" s="8" t="s">
        <v>3769</v>
      </c>
      <c r="C849" s="9" t="s">
        <v>3770</v>
      </c>
      <c r="D849" s="10" t="str">
        <f>HYPERLINK("https://facebook.com/367089020688300_561010234629510", "367089020688300_561010234629510")</f>
        <v>367089020688300_561010234629510</v>
      </c>
      <c r="E849" s="11">
        <v>184.0</v>
      </c>
      <c r="F849" s="11">
        <v>4.0</v>
      </c>
      <c r="G849" s="11">
        <v>10.0</v>
      </c>
      <c r="H849" s="9" t="s">
        <v>26</v>
      </c>
      <c r="I849" s="9" t="s">
        <v>3771</v>
      </c>
      <c r="J849" s="9" t="s">
        <v>3772</v>
      </c>
      <c r="K849" s="9" t="s">
        <v>3773</v>
      </c>
      <c r="L849" s="9" t="s">
        <v>30</v>
      </c>
      <c r="M849" s="9" t="s">
        <v>31</v>
      </c>
      <c r="N849" s="9" t="s">
        <v>32</v>
      </c>
      <c r="O849" s="12" t="s">
        <v>33</v>
      </c>
      <c r="P849" s="12" t="s">
        <v>34</v>
      </c>
      <c r="Q849" s="9"/>
      <c r="R849" s="18"/>
      <c r="S849" s="18"/>
      <c r="T849" s="18"/>
      <c r="U849" s="18"/>
      <c r="V849" s="18"/>
      <c r="W849" s="15"/>
      <c r="X849" s="15"/>
    </row>
    <row r="850">
      <c r="A850" s="7">
        <v>849.0</v>
      </c>
      <c r="B850" s="8" t="s">
        <v>3774</v>
      </c>
      <c r="C850" s="9" t="s">
        <v>3775</v>
      </c>
      <c r="D850" s="10" t="str">
        <f>HYPERLINK("https://facebook.com/367089020688300_558585788205288", "367089020688300_558585788205288")</f>
        <v>367089020688300_558585788205288</v>
      </c>
      <c r="E850" s="11">
        <v>1073.0</v>
      </c>
      <c r="F850" s="11">
        <v>8.0</v>
      </c>
      <c r="G850" s="11">
        <v>337.0</v>
      </c>
      <c r="H850" s="9" t="s">
        <v>26</v>
      </c>
      <c r="I850" s="9" t="s">
        <v>3776</v>
      </c>
      <c r="J850" s="9" t="s">
        <v>3777</v>
      </c>
      <c r="K850" s="9" t="s">
        <v>3778</v>
      </c>
      <c r="L850" s="9" t="s">
        <v>30</v>
      </c>
      <c r="M850" s="9" t="s">
        <v>31</v>
      </c>
      <c r="N850" s="9" t="s">
        <v>32</v>
      </c>
      <c r="O850" s="12" t="s">
        <v>33</v>
      </c>
      <c r="P850" s="12" t="s">
        <v>34</v>
      </c>
      <c r="Q850" s="9"/>
      <c r="R850" s="18"/>
      <c r="S850" s="18"/>
      <c r="T850" s="18"/>
      <c r="U850" s="18"/>
      <c r="V850" s="18"/>
      <c r="W850" s="15"/>
      <c r="X850" s="15"/>
    </row>
    <row r="851">
      <c r="A851" s="7">
        <v>850.0</v>
      </c>
      <c r="B851" s="8" t="s">
        <v>3779</v>
      </c>
      <c r="C851" s="9" t="s">
        <v>3780</v>
      </c>
      <c r="D851" s="10" t="str">
        <f>HYPERLINK("https://facebook.com/367089020688300_538880150175852", "367089020688300_538880150175852")</f>
        <v>367089020688300_538880150175852</v>
      </c>
      <c r="E851" s="11">
        <v>101.0</v>
      </c>
      <c r="F851" s="11">
        <v>0.0</v>
      </c>
      <c r="G851" s="11">
        <v>94.0</v>
      </c>
      <c r="H851" s="9" t="s">
        <v>26</v>
      </c>
      <c r="I851" s="9" t="s">
        <v>3781</v>
      </c>
      <c r="J851" s="16" t="s">
        <v>3782</v>
      </c>
      <c r="K851" s="9"/>
      <c r="L851" s="9" t="s">
        <v>30</v>
      </c>
      <c r="M851" s="9" t="s">
        <v>31</v>
      </c>
      <c r="N851" s="9" t="s">
        <v>32</v>
      </c>
      <c r="O851" s="12" t="s">
        <v>33</v>
      </c>
      <c r="P851" s="12" t="s">
        <v>34</v>
      </c>
      <c r="Q851" s="9"/>
      <c r="R851" s="18"/>
      <c r="S851" s="18"/>
      <c r="T851" s="18"/>
      <c r="U851" s="18"/>
      <c r="V851" s="18"/>
      <c r="W851" s="15"/>
      <c r="X851" s="15"/>
    </row>
    <row r="852">
      <c r="A852" s="7">
        <v>851.0</v>
      </c>
      <c r="B852" s="8" t="s">
        <v>3783</v>
      </c>
      <c r="C852" s="9" t="s">
        <v>3784</v>
      </c>
      <c r="D852" s="10" t="str">
        <f>HYPERLINK("https://facebook.com/367089020688300_537292627001271", "367089020688300_537292627001271")</f>
        <v>367089020688300_537292627001271</v>
      </c>
      <c r="E852" s="11">
        <v>84.0</v>
      </c>
      <c r="F852" s="11">
        <v>0.0</v>
      </c>
      <c r="G852" s="11">
        <v>43.0</v>
      </c>
      <c r="H852" s="9" t="s">
        <v>26</v>
      </c>
      <c r="I852" s="9" t="s">
        <v>3785</v>
      </c>
      <c r="J852" s="9" t="s">
        <v>3786</v>
      </c>
      <c r="K852" s="9" t="s">
        <v>3787</v>
      </c>
      <c r="L852" s="9" t="s">
        <v>30</v>
      </c>
      <c r="M852" s="9" t="s">
        <v>31</v>
      </c>
      <c r="N852" s="9" t="s">
        <v>32</v>
      </c>
      <c r="O852" s="12" t="s">
        <v>33</v>
      </c>
      <c r="P852" s="12" t="s">
        <v>34</v>
      </c>
      <c r="Q852" s="9"/>
      <c r="R852" s="18"/>
      <c r="S852" s="18"/>
      <c r="T852" s="18"/>
      <c r="U852" s="18"/>
      <c r="V852" s="18"/>
      <c r="W852" s="15"/>
      <c r="X852" s="15"/>
    </row>
    <row r="853">
      <c r="A853" s="7">
        <v>852.0</v>
      </c>
      <c r="B853" s="8" t="s">
        <v>3788</v>
      </c>
      <c r="C853" s="9" t="s">
        <v>3789</v>
      </c>
      <c r="D853" s="10" t="str">
        <f>HYPERLINK("https://facebook.com/367089020688300_537434636987070", "367089020688300_537434636987070")</f>
        <v>367089020688300_537434636987070</v>
      </c>
      <c r="E853" s="11">
        <v>16.0</v>
      </c>
      <c r="F853" s="11">
        <v>0.0</v>
      </c>
      <c r="G853" s="11">
        <v>14.0</v>
      </c>
      <c r="H853" s="9" t="s">
        <v>26</v>
      </c>
      <c r="I853" s="9" t="s">
        <v>3790</v>
      </c>
      <c r="J853" s="9" t="s">
        <v>3791</v>
      </c>
      <c r="K853" s="9" t="s">
        <v>3792</v>
      </c>
      <c r="L853" s="9" t="s">
        <v>30</v>
      </c>
      <c r="M853" s="9" t="s">
        <v>31</v>
      </c>
      <c r="N853" s="9" t="s">
        <v>32</v>
      </c>
      <c r="O853" s="12" t="s">
        <v>33</v>
      </c>
      <c r="P853" s="12" t="s">
        <v>34</v>
      </c>
      <c r="Q853" s="9"/>
      <c r="R853" s="18"/>
      <c r="S853" s="18"/>
      <c r="T853" s="18"/>
      <c r="U853" s="18"/>
      <c r="V853" s="18"/>
      <c r="W853" s="15"/>
      <c r="X853" s="15"/>
    </row>
    <row r="854">
      <c r="A854" s="7">
        <v>853.0</v>
      </c>
      <c r="B854" s="8" t="s">
        <v>3793</v>
      </c>
      <c r="C854" s="9" t="s">
        <v>3794</v>
      </c>
      <c r="D854" s="10" t="str">
        <f>HYPERLINK("https://facebook.com/367089020688300_474953023235232", "367089020688300_474953023235232")</f>
        <v>367089020688300_474953023235232</v>
      </c>
      <c r="E854" s="11">
        <v>1695.0</v>
      </c>
      <c r="F854" s="11">
        <v>81.0</v>
      </c>
      <c r="G854" s="11">
        <v>1095.0</v>
      </c>
      <c r="H854" s="9" t="s">
        <v>26</v>
      </c>
      <c r="I854" s="9" t="s">
        <v>3795</v>
      </c>
      <c r="J854" s="9" t="s">
        <v>3796</v>
      </c>
      <c r="K854" s="9" t="s">
        <v>3797</v>
      </c>
      <c r="L854" s="9" t="s">
        <v>30</v>
      </c>
      <c r="M854" s="9" t="s">
        <v>31</v>
      </c>
      <c r="N854" s="9" t="s">
        <v>32</v>
      </c>
      <c r="O854" s="12" t="s">
        <v>33</v>
      </c>
      <c r="P854" s="12" t="s">
        <v>34</v>
      </c>
      <c r="Q854" s="9"/>
      <c r="R854" s="18"/>
      <c r="S854" s="18"/>
      <c r="T854" s="18"/>
      <c r="U854" s="18"/>
      <c r="V854" s="18"/>
      <c r="W854" s="15"/>
      <c r="X854" s="15"/>
    </row>
    <row r="855">
      <c r="A855" s="7">
        <v>854.0</v>
      </c>
      <c r="B855" s="8" t="s">
        <v>3798</v>
      </c>
      <c r="C855" s="9" t="s">
        <v>3799</v>
      </c>
      <c r="D855" s="10" t="str">
        <f>HYPERLINK("https://facebook.com/367089020688300_542756349788232", "367089020688300_542756349788232")</f>
        <v>367089020688300_542756349788232</v>
      </c>
      <c r="E855" s="11">
        <v>167.0</v>
      </c>
      <c r="F855" s="11">
        <v>4.0</v>
      </c>
      <c r="G855" s="11">
        <v>114.0</v>
      </c>
      <c r="H855" s="9" t="s">
        <v>26</v>
      </c>
      <c r="I855" s="9" t="s">
        <v>3800</v>
      </c>
      <c r="J855" s="16" t="s">
        <v>3801</v>
      </c>
      <c r="K855" s="9"/>
      <c r="L855" s="9" t="s">
        <v>30</v>
      </c>
      <c r="M855" s="9" t="s">
        <v>31</v>
      </c>
      <c r="N855" s="9" t="s">
        <v>32</v>
      </c>
      <c r="O855" s="12" t="s">
        <v>33</v>
      </c>
      <c r="P855" s="12" t="s">
        <v>34</v>
      </c>
      <c r="Q855" s="9"/>
      <c r="R855" s="18"/>
      <c r="S855" s="18"/>
      <c r="T855" s="18"/>
      <c r="U855" s="18"/>
      <c r="V855" s="18"/>
      <c r="W855" s="15"/>
      <c r="X855" s="15"/>
    </row>
    <row r="856">
      <c r="A856" s="7">
        <v>855.0</v>
      </c>
      <c r="B856" s="8" t="s">
        <v>3802</v>
      </c>
      <c r="C856" s="9" t="s">
        <v>3803</v>
      </c>
      <c r="D856" s="10" t="str">
        <f>HYPERLINK("https://facebook.com/367089020688300_556111505119383", "367089020688300_556111505119383")</f>
        <v>367089020688300_556111505119383</v>
      </c>
      <c r="E856" s="11">
        <v>128.0</v>
      </c>
      <c r="F856" s="11">
        <v>0.0</v>
      </c>
      <c r="G856" s="11">
        <v>39.0</v>
      </c>
      <c r="H856" s="9" t="s">
        <v>26</v>
      </c>
      <c r="I856" s="9" t="s">
        <v>3804</v>
      </c>
      <c r="J856" s="16" t="s">
        <v>3805</v>
      </c>
      <c r="K856" s="9"/>
      <c r="L856" s="9" t="s">
        <v>30</v>
      </c>
      <c r="M856" s="9" t="s">
        <v>31</v>
      </c>
      <c r="N856" s="9" t="s">
        <v>32</v>
      </c>
      <c r="O856" s="12" t="s">
        <v>33</v>
      </c>
      <c r="P856" s="12" t="s">
        <v>34</v>
      </c>
      <c r="Q856" s="9"/>
      <c r="R856" s="18"/>
      <c r="S856" s="18"/>
      <c r="T856" s="18"/>
      <c r="U856" s="18"/>
      <c r="V856" s="18"/>
      <c r="W856" s="15"/>
      <c r="X856" s="15"/>
    </row>
    <row r="857">
      <c r="A857" s="7">
        <v>856.0</v>
      </c>
      <c r="B857" s="8" t="s">
        <v>3806</v>
      </c>
      <c r="C857" s="9" t="s">
        <v>3807</v>
      </c>
      <c r="D857" s="10" t="str">
        <f>HYPERLINK("https://facebook.com/367089020688300_548083705922163", "367089020688300_548083705922163")</f>
        <v>367089020688300_548083705922163</v>
      </c>
      <c r="E857" s="11">
        <v>116.0</v>
      </c>
      <c r="F857" s="11">
        <v>5.0</v>
      </c>
      <c r="G857" s="11">
        <v>101.0</v>
      </c>
      <c r="H857" s="9" t="s">
        <v>26</v>
      </c>
      <c r="I857" s="9" t="s">
        <v>3808</v>
      </c>
      <c r="J857" s="16" t="s">
        <v>3809</v>
      </c>
      <c r="K857" s="9"/>
      <c r="L857" s="9" t="s">
        <v>30</v>
      </c>
      <c r="M857" s="9" t="s">
        <v>31</v>
      </c>
      <c r="N857" s="9" t="s">
        <v>32</v>
      </c>
      <c r="O857" s="12" t="s">
        <v>33</v>
      </c>
      <c r="P857" s="12" t="s">
        <v>34</v>
      </c>
      <c r="Q857" s="9"/>
      <c r="R857" s="18"/>
      <c r="S857" s="18"/>
      <c r="T857" s="18"/>
      <c r="U857" s="18"/>
      <c r="V857" s="18"/>
      <c r="W857" s="15"/>
      <c r="X857" s="15"/>
    </row>
    <row r="858">
      <c r="A858" s="7">
        <v>857.0</v>
      </c>
      <c r="B858" s="8" t="s">
        <v>3810</v>
      </c>
      <c r="C858" s="9" t="s">
        <v>3811</v>
      </c>
      <c r="D858" s="10" t="str">
        <f>HYPERLINK("https://facebook.com/367089020688300_518277415569459", "367089020688300_518277415569459")</f>
        <v>367089020688300_518277415569459</v>
      </c>
      <c r="E858" s="11">
        <v>14.0</v>
      </c>
      <c r="F858" s="11">
        <v>0.0</v>
      </c>
      <c r="G858" s="11">
        <v>1.0</v>
      </c>
      <c r="H858" s="9" t="s">
        <v>26</v>
      </c>
      <c r="I858" s="9" t="s">
        <v>3812</v>
      </c>
      <c r="J858" s="16" t="s">
        <v>3813</v>
      </c>
      <c r="K858" s="9"/>
      <c r="L858" s="9" t="s">
        <v>30</v>
      </c>
      <c r="M858" s="9" t="s">
        <v>31</v>
      </c>
      <c r="N858" s="9" t="s">
        <v>32</v>
      </c>
      <c r="O858" s="12" t="s">
        <v>33</v>
      </c>
      <c r="P858" s="12" t="s">
        <v>34</v>
      </c>
      <c r="Q858" s="9"/>
      <c r="R858" s="18"/>
      <c r="S858" s="18"/>
      <c r="T858" s="18"/>
      <c r="U858" s="18"/>
      <c r="V858" s="18"/>
      <c r="W858" s="15"/>
      <c r="X858" s="15"/>
    </row>
    <row r="859">
      <c r="A859" s="7">
        <v>858.0</v>
      </c>
      <c r="B859" s="8" t="s">
        <v>3814</v>
      </c>
      <c r="C859" s="9" t="s">
        <v>3815</v>
      </c>
      <c r="D859" s="10" t="str">
        <f>HYPERLINK("https://facebook.com/367089020688300_546978052699395", "367089020688300_546978052699395")</f>
        <v>367089020688300_546978052699395</v>
      </c>
      <c r="E859" s="11">
        <v>53.0</v>
      </c>
      <c r="F859" s="11">
        <v>0.0</v>
      </c>
      <c r="G859" s="11">
        <v>60.0</v>
      </c>
      <c r="H859" s="9" t="s">
        <v>26</v>
      </c>
      <c r="I859" s="9" t="s">
        <v>3816</v>
      </c>
      <c r="J859" s="16" t="s">
        <v>3817</v>
      </c>
      <c r="K859" s="9"/>
      <c r="L859" s="9" t="s">
        <v>30</v>
      </c>
      <c r="M859" s="9" t="s">
        <v>31</v>
      </c>
      <c r="N859" s="9" t="s">
        <v>32</v>
      </c>
      <c r="O859" s="12" t="s">
        <v>33</v>
      </c>
      <c r="P859" s="12" t="s">
        <v>34</v>
      </c>
      <c r="Q859" s="9"/>
      <c r="R859" s="18"/>
      <c r="S859" s="18"/>
      <c r="T859" s="18"/>
      <c r="U859" s="18"/>
      <c r="V859" s="18"/>
      <c r="W859" s="15"/>
      <c r="X859" s="15"/>
    </row>
    <row r="860">
      <c r="A860" s="7">
        <v>859.0</v>
      </c>
      <c r="B860" s="8" t="s">
        <v>3818</v>
      </c>
      <c r="C860" s="9" t="s">
        <v>3819</v>
      </c>
      <c r="D860" s="10" t="str">
        <f>HYPERLINK("https://facebook.com/367089020688300_526058428124691", "367089020688300_526058428124691")</f>
        <v>367089020688300_526058428124691</v>
      </c>
      <c r="E860" s="11">
        <v>40.0</v>
      </c>
      <c r="F860" s="11">
        <v>2.0</v>
      </c>
      <c r="G860" s="11">
        <v>47.0</v>
      </c>
      <c r="H860" s="9" t="s">
        <v>26</v>
      </c>
      <c r="I860" s="9" t="s">
        <v>3820</v>
      </c>
      <c r="J860" s="9" t="s">
        <v>3821</v>
      </c>
      <c r="K860" s="9" t="s">
        <v>3822</v>
      </c>
      <c r="L860" s="9" t="s">
        <v>30</v>
      </c>
      <c r="M860" s="9" t="s">
        <v>31</v>
      </c>
      <c r="N860" s="9" t="s">
        <v>32</v>
      </c>
      <c r="O860" s="12" t="s">
        <v>33</v>
      </c>
      <c r="P860" s="12" t="s">
        <v>34</v>
      </c>
      <c r="Q860" s="9"/>
      <c r="R860" s="18"/>
      <c r="S860" s="18"/>
      <c r="T860" s="18"/>
      <c r="U860" s="18"/>
      <c r="V860" s="18"/>
      <c r="W860" s="15"/>
      <c r="X860" s="15"/>
    </row>
    <row r="861">
      <c r="A861" s="7">
        <v>860.0</v>
      </c>
      <c r="B861" s="8" t="s">
        <v>3823</v>
      </c>
      <c r="C861" s="9" t="s">
        <v>3824</v>
      </c>
      <c r="D861" s="10" t="str">
        <f>HYPERLINK("https://facebook.com/367089020688300_553032798760587", "367089020688300_553032798760587")</f>
        <v>367089020688300_553032798760587</v>
      </c>
      <c r="E861" s="11">
        <v>212.0</v>
      </c>
      <c r="F861" s="11">
        <v>0.0</v>
      </c>
      <c r="G861" s="11">
        <v>343.0</v>
      </c>
      <c r="H861" s="9" t="s">
        <v>26</v>
      </c>
      <c r="I861" s="9" t="s">
        <v>3825</v>
      </c>
      <c r="J861" s="9" t="s">
        <v>3826</v>
      </c>
      <c r="K861" s="9" t="s">
        <v>3827</v>
      </c>
      <c r="L861" s="9" t="s">
        <v>30</v>
      </c>
      <c r="M861" s="9" t="s">
        <v>31</v>
      </c>
      <c r="N861" s="9" t="s">
        <v>32</v>
      </c>
      <c r="O861" s="12" t="s">
        <v>33</v>
      </c>
      <c r="P861" s="12" t="s">
        <v>34</v>
      </c>
      <c r="Q861" s="9"/>
      <c r="R861" s="18"/>
      <c r="S861" s="18"/>
      <c r="T861" s="18"/>
      <c r="U861" s="18"/>
      <c r="V861" s="18"/>
      <c r="W861" s="15"/>
      <c r="X861" s="15"/>
    </row>
    <row r="862">
      <c r="A862" s="7">
        <v>861.0</v>
      </c>
      <c r="B862" s="8" t="s">
        <v>3828</v>
      </c>
      <c r="C862" s="9" t="s">
        <v>3829</v>
      </c>
      <c r="D862" s="10" t="str">
        <f>HYPERLINK("https://facebook.com/367089020688300_395757707821431", "367089020688300_395757707821431")</f>
        <v>367089020688300_395757707821431</v>
      </c>
      <c r="E862" s="11">
        <v>1473.0</v>
      </c>
      <c r="F862" s="11">
        <v>25.0</v>
      </c>
      <c r="G862" s="11">
        <v>716.0</v>
      </c>
      <c r="H862" s="9" t="s">
        <v>26</v>
      </c>
      <c r="I862" s="9" t="s">
        <v>3830</v>
      </c>
      <c r="J862" s="16" t="s">
        <v>3831</v>
      </c>
      <c r="K862" s="9"/>
      <c r="L862" s="9" t="s">
        <v>30</v>
      </c>
      <c r="M862" s="9" t="s">
        <v>31</v>
      </c>
      <c r="N862" s="9" t="s">
        <v>32</v>
      </c>
      <c r="O862" s="12" t="s">
        <v>33</v>
      </c>
      <c r="P862" s="12" t="s">
        <v>34</v>
      </c>
      <c r="Q862" s="9"/>
      <c r="R862" s="18"/>
      <c r="S862" s="18"/>
      <c r="T862" s="18"/>
      <c r="U862" s="18"/>
      <c r="V862" s="18"/>
      <c r="W862" s="15"/>
      <c r="X862" s="15"/>
    </row>
    <row r="863">
      <c r="A863" s="7">
        <v>862.0</v>
      </c>
      <c r="B863" s="8" t="s">
        <v>3832</v>
      </c>
      <c r="C863" s="9" t="s">
        <v>3833</v>
      </c>
      <c r="D863" s="10" t="str">
        <f>HYPERLINK("https://facebook.com/367089020688300_531202174276983", "367089020688300_531202174276983")</f>
        <v>367089020688300_531202174276983</v>
      </c>
      <c r="E863" s="11">
        <v>650.0</v>
      </c>
      <c r="F863" s="11">
        <v>29.0</v>
      </c>
      <c r="G863" s="11">
        <v>971.0</v>
      </c>
      <c r="H863" s="9" t="s">
        <v>26</v>
      </c>
      <c r="I863" s="9" t="s">
        <v>408</v>
      </c>
      <c r="J863" s="16" t="s">
        <v>3834</v>
      </c>
      <c r="K863" s="9"/>
      <c r="L863" s="9" t="s">
        <v>30</v>
      </c>
      <c r="M863" s="9" t="s">
        <v>31</v>
      </c>
      <c r="N863" s="9" t="s">
        <v>32</v>
      </c>
      <c r="O863" s="12" t="s">
        <v>33</v>
      </c>
      <c r="P863" s="12" t="s">
        <v>34</v>
      </c>
      <c r="Q863" s="9"/>
      <c r="R863" s="18"/>
      <c r="S863" s="18"/>
      <c r="T863" s="18"/>
      <c r="U863" s="18"/>
      <c r="V863" s="18"/>
      <c r="W863" s="15"/>
      <c r="X863" s="15"/>
    </row>
    <row r="864">
      <c r="A864" s="7">
        <v>863.0</v>
      </c>
      <c r="B864" s="8" t="s">
        <v>3835</v>
      </c>
      <c r="C864" s="9" t="s">
        <v>3836</v>
      </c>
      <c r="D864" s="10" t="str">
        <f>HYPERLINK("https://facebook.com/367089020688300_562031861194014", "367089020688300_562031861194014")</f>
        <v>367089020688300_562031861194014</v>
      </c>
      <c r="E864" s="11">
        <v>73.0</v>
      </c>
      <c r="F864" s="11">
        <v>0.0</v>
      </c>
      <c r="G864" s="11">
        <v>19.0</v>
      </c>
      <c r="H864" s="9" t="s">
        <v>26</v>
      </c>
      <c r="I864" s="9" t="s">
        <v>3837</v>
      </c>
      <c r="J864" s="16" t="s">
        <v>3838</v>
      </c>
      <c r="K864" s="9"/>
      <c r="L864" s="9" t="s">
        <v>30</v>
      </c>
      <c r="M864" s="9" t="s">
        <v>31</v>
      </c>
      <c r="N864" s="9" t="s">
        <v>32</v>
      </c>
      <c r="O864" s="12" t="s">
        <v>33</v>
      </c>
      <c r="P864" s="12" t="s">
        <v>34</v>
      </c>
      <c r="Q864" s="9"/>
      <c r="R864" s="18"/>
      <c r="S864" s="18"/>
      <c r="T864" s="18"/>
      <c r="U864" s="18"/>
      <c r="V864" s="18"/>
      <c r="W864" s="15"/>
      <c r="X864" s="15"/>
    </row>
    <row r="865">
      <c r="A865" s="7">
        <v>864.0</v>
      </c>
      <c r="B865" s="8" t="s">
        <v>3839</v>
      </c>
      <c r="C865" s="9" t="s">
        <v>3840</v>
      </c>
      <c r="D865" s="10" t="str">
        <f>HYPERLINK("https://facebook.com/367089020688300_471102443620290", "367089020688300_471102443620290")</f>
        <v>367089020688300_471102443620290</v>
      </c>
      <c r="E865" s="11">
        <v>96.0</v>
      </c>
      <c r="F865" s="11">
        <v>0.0</v>
      </c>
      <c r="G865" s="11">
        <v>77.0</v>
      </c>
      <c r="H865" s="9" t="s">
        <v>26</v>
      </c>
      <c r="I865" s="9" t="s">
        <v>751</v>
      </c>
      <c r="J865" s="9" t="s">
        <v>3841</v>
      </c>
      <c r="K865" s="9" t="s">
        <v>3842</v>
      </c>
      <c r="L865" s="9" t="s">
        <v>30</v>
      </c>
      <c r="M865" s="9" t="s">
        <v>31</v>
      </c>
      <c r="N865" s="9" t="s">
        <v>32</v>
      </c>
      <c r="O865" s="12" t="s">
        <v>33</v>
      </c>
      <c r="P865" s="12" t="s">
        <v>34</v>
      </c>
      <c r="Q865" s="9"/>
      <c r="R865" s="18"/>
      <c r="S865" s="18"/>
      <c r="T865" s="18"/>
      <c r="U865" s="18"/>
      <c r="V865" s="18"/>
      <c r="W865" s="15"/>
      <c r="X865" s="15"/>
    </row>
    <row r="866">
      <c r="A866" s="7">
        <v>865.0</v>
      </c>
      <c r="B866" s="8" t="s">
        <v>3843</v>
      </c>
      <c r="C866" s="9" t="s">
        <v>3844</v>
      </c>
      <c r="D866" s="10" t="str">
        <f>HYPERLINK("https://facebook.com/367089020688300_552300805500453", "367089020688300_552300805500453")</f>
        <v>367089020688300_552300805500453</v>
      </c>
      <c r="E866" s="11">
        <v>28.0</v>
      </c>
      <c r="F866" s="11">
        <v>0.0</v>
      </c>
      <c r="G866" s="11">
        <v>11.0</v>
      </c>
      <c r="H866" s="9" t="s">
        <v>26</v>
      </c>
      <c r="I866" s="9" t="s">
        <v>3845</v>
      </c>
      <c r="J866" s="16" t="s">
        <v>3846</v>
      </c>
      <c r="K866" s="9"/>
      <c r="L866" s="9" t="s">
        <v>30</v>
      </c>
      <c r="M866" s="9" t="s">
        <v>31</v>
      </c>
      <c r="N866" s="9" t="s">
        <v>32</v>
      </c>
      <c r="O866" s="12" t="s">
        <v>33</v>
      </c>
      <c r="P866" s="12" t="s">
        <v>34</v>
      </c>
      <c r="Q866" s="9"/>
      <c r="R866" s="18"/>
      <c r="S866" s="18"/>
      <c r="T866" s="18"/>
      <c r="U866" s="18"/>
      <c r="V866" s="18"/>
      <c r="W866" s="15"/>
      <c r="X866" s="15"/>
    </row>
    <row r="867">
      <c r="A867" s="7">
        <v>866.0</v>
      </c>
      <c r="B867" s="8" t="s">
        <v>3847</v>
      </c>
      <c r="C867" s="9" t="s">
        <v>3848</v>
      </c>
      <c r="D867" s="10" t="str">
        <f>HYPERLINK("https://facebook.com/367089020688300_546885212708679", "367089020688300_546885212708679")</f>
        <v>367089020688300_546885212708679</v>
      </c>
      <c r="E867" s="11">
        <v>47.0</v>
      </c>
      <c r="F867" s="11">
        <v>1.0</v>
      </c>
      <c r="G867" s="11">
        <v>29.0</v>
      </c>
      <c r="H867" s="9" t="s">
        <v>26</v>
      </c>
      <c r="I867" s="9" t="s">
        <v>3849</v>
      </c>
      <c r="J867" s="16" t="s">
        <v>3850</v>
      </c>
      <c r="K867" s="9"/>
      <c r="L867" s="9" t="s">
        <v>30</v>
      </c>
      <c r="M867" s="9" t="s">
        <v>31</v>
      </c>
      <c r="N867" s="9" t="s">
        <v>32</v>
      </c>
      <c r="O867" s="12" t="s">
        <v>33</v>
      </c>
      <c r="P867" s="12" t="s">
        <v>34</v>
      </c>
      <c r="Q867" s="9"/>
      <c r="R867" s="18"/>
      <c r="S867" s="18"/>
      <c r="T867" s="18"/>
      <c r="U867" s="18"/>
      <c r="V867" s="18"/>
      <c r="W867" s="15"/>
      <c r="X867" s="15"/>
    </row>
    <row r="868">
      <c r="A868" s="7">
        <v>867.0</v>
      </c>
      <c r="B868" s="8" t="s">
        <v>3851</v>
      </c>
      <c r="C868" s="9" t="s">
        <v>3852</v>
      </c>
      <c r="D868" s="10" t="str">
        <f>HYPERLINK("https://facebook.com/367089020688300_520722625324938", "367089020688300_520722625324938")</f>
        <v>367089020688300_520722625324938</v>
      </c>
      <c r="E868" s="11">
        <v>60.0</v>
      </c>
      <c r="F868" s="11">
        <v>1.0</v>
      </c>
      <c r="G868" s="11">
        <v>98.0</v>
      </c>
      <c r="H868" s="9" t="s">
        <v>26</v>
      </c>
      <c r="I868" s="9" t="s">
        <v>3853</v>
      </c>
      <c r="J868" s="9" t="s">
        <v>3854</v>
      </c>
      <c r="K868" s="9" t="s">
        <v>3855</v>
      </c>
      <c r="L868" s="9" t="s">
        <v>30</v>
      </c>
      <c r="M868" s="9" t="s">
        <v>31</v>
      </c>
      <c r="N868" s="9" t="s">
        <v>32</v>
      </c>
      <c r="O868" s="12" t="s">
        <v>33</v>
      </c>
      <c r="P868" s="12" t="s">
        <v>34</v>
      </c>
      <c r="Q868" s="9"/>
      <c r="R868" s="18"/>
      <c r="S868" s="18"/>
      <c r="T868" s="18"/>
      <c r="U868" s="18"/>
      <c r="V868" s="18"/>
      <c r="W868" s="15"/>
      <c r="X868" s="15"/>
    </row>
    <row r="869">
      <c r="A869" s="7">
        <v>868.0</v>
      </c>
      <c r="B869" s="8" t="s">
        <v>3856</v>
      </c>
      <c r="C869" s="9" t="s">
        <v>3857</v>
      </c>
      <c r="D869" s="10" t="str">
        <f>HYPERLINK("https://facebook.com/367089020688300_561271987936668", "367089020688300_561271987936668")</f>
        <v>367089020688300_561271987936668</v>
      </c>
      <c r="E869" s="11">
        <v>203.0</v>
      </c>
      <c r="F869" s="11">
        <v>0.0</v>
      </c>
      <c r="G869" s="11">
        <v>25.0</v>
      </c>
      <c r="H869" s="9" t="s">
        <v>26</v>
      </c>
      <c r="I869" s="9" t="s">
        <v>3858</v>
      </c>
      <c r="J869" s="16" t="s">
        <v>3859</v>
      </c>
      <c r="K869" s="9"/>
      <c r="L869" s="9" t="s">
        <v>30</v>
      </c>
      <c r="M869" s="9" t="s">
        <v>31</v>
      </c>
      <c r="N869" s="9" t="s">
        <v>32</v>
      </c>
      <c r="O869" s="12" t="s">
        <v>33</v>
      </c>
      <c r="P869" s="12" t="s">
        <v>34</v>
      </c>
      <c r="Q869" s="9"/>
      <c r="R869" s="18"/>
      <c r="S869" s="18"/>
      <c r="T869" s="18"/>
      <c r="U869" s="18"/>
      <c r="V869" s="18"/>
      <c r="W869" s="15"/>
      <c r="X869" s="15"/>
    </row>
    <row r="870">
      <c r="A870" s="7">
        <v>869.0</v>
      </c>
      <c r="B870" s="8" t="s">
        <v>3860</v>
      </c>
      <c r="C870" s="9" t="s">
        <v>3861</v>
      </c>
      <c r="D870" s="10" t="str">
        <f>HYPERLINK("https://facebook.com/367089020688300_563069834423550", "367089020688300_563069834423550")</f>
        <v>367089020688300_563069834423550</v>
      </c>
      <c r="E870" s="11">
        <v>7.0</v>
      </c>
      <c r="F870" s="11">
        <v>0.0</v>
      </c>
      <c r="G870" s="11">
        <v>0.0</v>
      </c>
      <c r="H870" s="9" t="s">
        <v>26</v>
      </c>
      <c r="I870" s="9" t="s">
        <v>3862</v>
      </c>
      <c r="J870" s="16" t="s">
        <v>3863</v>
      </c>
      <c r="K870" s="9"/>
      <c r="L870" s="9" t="s">
        <v>30</v>
      </c>
      <c r="M870" s="9" t="s">
        <v>31</v>
      </c>
      <c r="N870" s="9" t="s">
        <v>32</v>
      </c>
      <c r="O870" s="12" t="s">
        <v>33</v>
      </c>
      <c r="P870" s="12" t="s">
        <v>34</v>
      </c>
      <c r="Q870" s="9"/>
      <c r="R870" s="18"/>
      <c r="S870" s="18"/>
      <c r="T870" s="18"/>
      <c r="U870" s="18"/>
      <c r="V870" s="18"/>
      <c r="W870" s="15"/>
      <c r="X870" s="15"/>
    </row>
    <row r="871">
      <c r="A871" s="7">
        <v>870.0</v>
      </c>
      <c r="B871" s="8" t="s">
        <v>3864</v>
      </c>
      <c r="C871" s="9" t="s">
        <v>3865</v>
      </c>
      <c r="D871" s="10" t="str">
        <f>HYPERLINK("https://facebook.com/367089020688300_541864426544091", "367089020688300_541864426544091")</f>
        <v>367089020688300_541864426544091</v>
      </c>
      <c r="E871" s="11">
        <v>48.0</v>
      </c>
      <c r="F871" s="11">
        <v>0.0</v>
      </c>
      <c r="G871" s="11">
        <v>0.0</v>
      </c>
      <c r="H871" s="9" t="s">
        <v>26</v>
      </c>
      <c r="I871" s="9" t="s">
        <v>1764</v>
      </c>
      <c r="J871" s="9" t="s">
        <v>1765</v>
      </c>
      <c r="K871" s="9" t="s">
        <v>3866</v>
      </c>
      <c r="L871" s="9" t="s">
        <v>30</v>
      </c>
      <c r="M871" s="9" t="s">
        <v>31</v>
      </c>
      <c r="N871" s="9" t="s">
        <v>32</v>
      </c>
      <c r="O871" s="12" t="s">
        <v>33</v>
      </c>
      <c r="P871" s="12" t="s">
        <v>34</v>
      </c>
      <c r="Q871" s="9"/>
      <c r="R871" s="18"/>
      <c r="S871" s="18"/>
      <c r="T871" s="18"/>
      <c r="U871" s="13" t="s">
        <v>3867</v>
      </c>
      <c r="V871" s="18"/>
      <c r="W871" s="15"/>
      <c r="X871" s="15"/>
    </row>
    <row r="872">
      <c r="A872" s="7">
        <v>871.0</v>
      </c>
      <c r="B872" s="8" t="s">
        <v>3868</v>
      </c>
      <c r="C872" s="9" t="s">
        <v>3869</v>
      </c>
      <c r="D872" s="10" t="str">
        <f>HYPERLINK("https://facebook.com/367089020688300_383936499003552", "367089020688300_383936499003552")</f>
        <v>367089020688300_383936499003552</v>
      </c>
      <c r="E872" s="11">
        <v>104.0</v>
      </c>
      <c r="F872" s="11">
        <v>2.0</v>
      </c>
      <c r="G872" s="11">
        <v>107.0</v>
      </c>
      <c r="H872" s="9" t="s">
        <v>26</v>
      </c>
      <c r="I872" s="9" t="s">
        <v>3870</v>
      </c>
      <c r="J872" s="9" t="s">
        <v>3871</v>
      </c>
      <c r="K872" s="9" t="s">
        <v>3872</v>
      </c>
      <c r="L872" s="9" t="s">
        <v>30</v>
      </c>
      <c r="M872" s="9" t="s">
        <v>31</v>
      </c>
      <c r="N872" s="9" t="s">
        <v>32</v>
      </c>
      <c r="O872" s="12" t="s">
        <v>33</v>
      </c>
      <c r="P872" s="12" t="s">
        <v>34</v>
      </c>
      <c r="Q872" s="9"/>
      <c r="R872" s="18"/>
      <c r="S872" s="18"/>
      <c r="T872" s="18"/>
      <c r="U872" s="18"/>
      <c r="V872" s="18"/>
      <c r="W872" s="15"/>
      <c r="X872" s="15"/>
    </row>
    <row r="873">
      <c r="A873" s="7">
        <v>872.0</v>
      </c>
      <c r="B873" s="8" t="s">
        <v>3873</v>
      </c>
      <c r="C873" s="9" t="s">
        <v>3874</v>
      </c>
      <c r="D873" s="10" t="str">
        <f>HYPERLINK("https://facebook.com/367089020688300_561875351209665", "367089020688300_561875351209665")</f>
        <v>367089020688300_561875351209665</v>
      </c>
      <c r="E873" s="11">
        <v>86.0</v>
      </c>
      <c r="F873" s="11">
        <v>0.0</v>
      </c>
      <c r="G873" s="11">
        <v>109.0</v>
      </c>
      <c r="H873" s="9" t="s">
        <v>26</v>
      </c>
      <c r="I873" s="9" t="s">
        <v>3875</v>
      </c>
      <c r="J873" s="16" t="s">
        <v>3876</v>
      </c>
      <c r="K873" s="9"/>
      <c r="L873" s="9" t="s">
        <v>30</v>
      </c>
      <c r="M873" s="9" t="s">
        <v>31</v>
      </c>
      <c r="N873" s="9" t="s">
        <v>32</v>
      </c>
      <c r="O873" s="12" t="s">
        <v>33</v>
      </c>
      <c r="P873" s="12" t="s">
        <v>34</v>
      </c>
      <c r="Q873" s="9"/>
      <c r="R873" s="18"/>
      <c r="S873" s="18"/>
      <c r="T873" s="18"/>
      <c r="U873" s="18"/>
      <c r="V873" s="18"/>
      <c r="W873" s="15"/>
      <c r="X873" s="15"/>
    </row>
    <row r="874">
      <c r="A874" s="7">
        <v>873.0</v>
      </c>
      <c r="B874" s="8" t="s">
        <v>3877</v>
      </c>
      <c r="C874" s="9" t="s">
        <v>3878</v>
      </c>
      <c r="D874" s="10" t="str">
        <f>HYPERLINK("https://facebook.com/367089020688300_537124350351432", "367089020688300_537124350351432")</f>
        <v>367089020688300_537124350351432</v>
      </c>
      <c r="E874" s="11">
        <v>743.0</v>
      </c>
      <c r="F874" s="11">
        <v>75.0</v>
      </c>
      <c r="G874" s="11">
        <v>420.0</v>
      </c>
      <c r="H874" s="9" t="s">
        <v>26</v>
      </c>
      <c r="I874" s="9" t="s">
        <v>3879</v>
      </c>
      <c r="J874" s="16" t="s">
        <v>3880</v>
      </c>
      <c r="K874" s="9"/>
      <c r="L874" s="9" t="s">
        <v>30</v>
      </c>
      <c r="M874" s="9" t="s">
        <v>31</v>
      </c>
      <c r="N874" s="9" t="s">
        <v>32</v>
      </c>
      <c r="O874" s="12" t="s">
        <v>33</v>
      </c>
      <c r="P874" s="12" t="s">
        <v>34</v>
      </c>
      <c r="Q874" s="9"/>
      <c r="R874" s="18"/>
      <c r="S874" s="18"/>
      <c r="T874" s="18"/>
      <c r="U874" s="18"/>
      <c r="V874" s="18"/>
      <c r="W874" s="15"/>
      <c r="X874" s="15"/>
    </row>
    <row r="875">
      <c r="A875" s="7">
        <v>874.0</v>
      </c>
      <c r="B875" s="8" t="s">
        <v>3881</v>
      </c>
      <c r="C875" s="9" t="s">
        <v>3882</v>
      </c>
      <c r="D875" s="10" t="str">
        <f>HYPERLINK("https://facebook.com/367089020688300_511611499569384", "367089020688300_511611499569384")</f>
        <v>367089020688300_511611499569384</v>
      </c>
      <c r="E875" s="11">
        <v>393.0</v>
      </c>
      <c r="F875" s="11">
        <v>4.0</v>
      </c>
      <c r="G875" s="11">
        <v>428.0</v>
      </c>
      <c r="H875" s="9" t="s">
        <v>26</v>
      </c>
      <c r="I875" s="9" t="s">
        <v>3883</v>
      </c>
      <c r="J875" s="16" t="s">
        <v>3884</v>
      </c>
      <c r="K875" s="9"/>
      <c r="L875" s="9" t="s">
        <v>30</v>
      </c>
      <c r="M875" s="9" t="s">
        <v>31</v>
      </c>
      <c r="N875" s="9" t="s">
        <v>32</v>
      </c>
      <c r="O875" s="12" t="s">
        <v>33</v>
      </c>
      <c r="P875" s="12" t="s">
        <v>34</v>
      </c>
      <c r="Q875" s="9"/>
      <c r="R875" s="18"/>
      <c r="S875" s="18"/>
      <c r="T875" s="18"/>
      <c r="U875" s="18"/>
      <c r="V875" s="18"/>
      <c r="W875" s="15"/>
      <c r="X875" s="15"/>
    </row>
    <row r="876">
      <c r="A876" s="7">
        <v>875.0</v>
      </c>
      <c r="B876" s="8" t="s">
        <v>3885</v>
      </c>
      <c r="C876" s="9" t="s">
        <v>3886</v>
      </c>
      <c r="D876" s="10" t="str">
        <f>HYPERLINK("https://facebook.com/367089020688300_476373789759822", "367089020688300_476373789759822")</f>
        <v>367089020688300_476373789759822</v>
      </c>
      <c r="E876" s="11">
        <v>642.0</v>
      </c>
      <c r="F876" s="11">
        <v>29.0</v>
      </c>
      <c r="G876" s="11">
        <v>438.0</v>
      </c>
      <c r="H876" s="9" t="s">
        <v>26</v>
      </c>
      <c r="I876" s="9" t="s">
        <v>3887</v>
      </c>
      <c r="J876" s="9" t="s">
        <v>3888</v>
      </c>
      <c r="K876" s="9" t="s">
        <v>3889</v>
      </c>
      <c r="L876" s="9" t="s">
        <v>30</v>
      </c>
      <c r="M876" s="9" t="s">
        <v>31</v>
      </c>
      <c r="N876" s="9" t="s">
        <v>32</v>
      </c>
      <c r="O876" s="12" t="s">
        <v>33</v>
      </c>
      <c r="P876" s="12" t="s">
        <v>34</v>
      </c>
      <c r="Q876" s="9"/>
      <c r="R876" s="18"/>
      <c r="S876" s="18"/>
      <c r="T876" s="18"/>
      <c r="U876" s="18"/>
      <c r="V876" s="18"/>
      <c r="W876" s="15"/>
      <c r="X876" s="15"/>
    </row>
    <row r="877">
      <c r="A877" s="7">
        <v>876.0</v>
      </c>
      <c r="B877" s="8" t="s">
        <v>3890</v>
      </c>
      <c r="C877" s="9" t="s">
        <v>3891</v>
      </c>
      <c r="D877" s="10" t="str">
        <f>HYPERLINK("https://facebook.com/367089020688300_552667252130475", "367089020688300_552667252130475")</f>
        <v>367089020688300_552667252130475</v>
      </c>
      <c r="E877" s="11">
        <v>21.0</v>
      </c>
      <c r="F877" s="11">
        <v>0.0</v>
      </c>
      <c r="G877" s="11">
        <v>21.0</v>
      </c>
      <c r="H877" s="9" t="s">
        <v>26</v>
      </c>
      <c r="I877" s="9" t="s">
        <v>3892</v>
      </c>
      <c r="J877" s="9" t="s">
        <v>3893</v>
      </c>
      <c r="K877" s="9" t="s">
        <v>249</v>
      </c>
      <c r="L877" s="9" t="s">
        <v>30</v>
      </c>
      <c r="M877" s="9" t="s">
        <v>31</v>
      </c>
      <c r="N877" s="9" t="s">
        <v>32</v>
      </c>
      <c r="O877" s="12" t="s">
        <v>33</v>
      </c>
      <c r="P877" s="12" t="s">
        <v>34</v>
      </c>
      <c r="Q877" s="9"/>
      <c r="R877" s="18"/>
      <c r="S877" s="18"/>
      <c r="T877" s="18"/>
      <c r="U877" s="18"/>
      <c r="V877" s="18"/>
      <c r="W877" s="15"/>
      <c r="X877" s="15"/>
    </row>
    <row r="878">
      <c r="A878" s="7">
        <v>877.0</v>
      </c>
      <c r="B878" s="8" t="s">
        <v>3894</v>
      </c>
      <c r="C878" s="9" t="s">
        <v>3895</v>
      </c>
      <c r="D878" s="10" t="str">
        <f>HYPERLINK("https://facebook.com/367089020688300_411231212940747", "367089020688300_411231212940747")</f>
        <v>367089020688300_411231212940747</v>
      </c>
      <c r="E878" s="11">
        <v>341.0</v>
      </c>
      <c r="F878" s="11">
        <v>8.0</v>
      </c>
      <c r="G878" s="11">
        <v>310.0</v>
      </c>
      <c r="H878" s="9" t="s">
        <v>26</v>
      </c>
      <c r="I878" s="9" t="s">
        <v>3896</v>
      </c>
      <c r="J878" s="9" t="s">
        <v>3897</v>
      </c>
      <c r="K878" s="9" t="s">
        <v>3898</v>
      </c>
      <c r="L878" s="9" t="s">
        <v>30</v>
      </c>
      <c r="M878" s="9" t="s">
        <v>31</v>
      </c>
      <c r="N878" s="9" t="s">
        <v>32</v>
      </c>
      <c r="O878" s="12" t="s">
        <v>33</v>
      </c>
      <c r="P878" s="12" t="s">
        <v>34</v>
      </c>
      <c r="Q878" s="9"/>
      <c r="R878" s="18"/>
      <c r="S878" s="18"/>
      <c r="T878" s="18"/>
      <c r="U878" s="18"/>
      <c r="V878" s="18"/>
      <c r="W878" s="15"/>
      <c r="X878" s="15"/>
    </row>
    <row r="879">
      <c r="A879" s="7">
        <v>878.0</v>
      </c>
      <c r="B879" s="8" t="s">
        <v>3899</v>
      </c>
      <c r="C879" s="9" t="s">
        <v>3900</v>
      </c>
      <c r="D879" s="10" t="str">
        <f>HYPERLINK("https://facebook.com/367089020688300_547951459268721", "367089020688300_547951459268721")</f>
        <v>367089020688300_547951459268721</v>
      </c>
      <c r="E879" s="11">
        <v>403.0</v>
      </c>
      <c r="F879" s="11">
        <v>3.0</v>
      </c>
      <c r="G879" s="11">
        <v>184.0</v>
      </c>
      <c r="H879" s="9" t="s">
        <v>26</v>
      </c>
      <c r="I879" s="9" t="s">
        <v>3901</v>
      </c>
      <c r="J879" s="9" t="s">
        <v>3902</v>
      </c>
      <c r="K879" s="9" t="s">
        <v>3903</v>
      </c>
      <c r="L879" s="9" t="s">
        <v>30</v>
      </c>
      <c r="M879" s="9" t="s">
        <v>31</v>
      </c>
      <c r="N879" s="9" t="s">
        <v>32</v>
      </c>
      <c r="O879" s="12" t="s">
        <v>33</v>
      </c>
      <c r="P879" s="12" t="s">
        <v>34</v>
      </c>
      <c r="Q879" s="9"/>
      <c r="R879" s="18"/>
      <c r="S879" s="18"/>
      <c r="T879" s="18"/>
      <c r="U879" s="18"/>
      <c r="V879" s="18"/>
      <c r="W879" s="15"/>
      <c r="X879" s="15"/>
    </row>
    <row r="880">
      <c r="A880" s="7">
        <v>879.0</v>
      </c>
      <c r="B880" s="8" t="s">
        <v>3904</v>
      </c>
      <c r="C880" s="9" t="s">
        <v>3905</v>
      </c>
      <c r="D880" s="10" t="str">
        <f>HYPERLINK("https://facebook.com/367089020688300_555347305195803", "367089020688300_555347305195803")</f>
        <v>367089020688300_555347305195803</v>
      </c>
      <c r="E880" s="11">
        <v>99.0</v>
      </c>
      <c r="F880" s="11">
        <v>0.0</v>
      </c>
      <c r="G880" s="11">
        <v>45.0</v>
      </c>
      <c r="H880" s="9" t="s">
        <v>26</v>
      </c>
      <c r="I880" s="9" t="s">
        <v>3906</v>
      </c>
      <c r="J880" s="16" t="s">
        <v>3907</v>
      </c>
      <c r="K880" s="9"/>
      <c r="L880" s="9" t="s">
        <v>30</v>
      </c>
      <c r="M880" s="9" t="s">
        <v>31</v>
      </c>
      <c r="N880" s="9" t="s">
        <v>32</v>
      </c>
      <c r="O880" s="12" t="s">
        <v>33</v>
      </c>
      <c r="P880" s="12" t="s">
        <v>34</v>
      </c>
      <c r="Q880" s="9"/>
      <c r="R880" s="18"/>
      <c r="S880" s="18"/>
      <c r="T880" s="18"/>
      <c r="U880" s="18"/>
      <c r="V880" s="18"/>
      <c r="W880" s="15"/>
      <c r="X880" s="15"/>
    </row>
    <row r="881">
      <c r="A881" s="7">
        <v>880.0</v>
      </c>
      <c r="B881" s="8" t="s">
        <v>3908</v>
      </c>
      <c r="C881" s="9" t="s">
        <v>3909</v>
      </c>
      <c r="D881" s="10" t="str">
        <f>HYPERLINK("https://facebook.com/367089020688300_538097510254116", "367089020688300_538097510254116")</f>
        <v>367089020688300_538097510254116</v>
      </c>
      <c r="E881" s="11">
        <v>165.0</v>
      </c>
      <c r="F881" s="11">
        <v>2.0</v>
      </c>
      <c r="G881" s="11">
        <v>197.0</v>
      </c>
      <c r="H881" s="9" t="s">
        <v>26</v>
      </c>
      <c r="I881" s="9" t="s">
        <v>3515</v>
      </c>
      <c r="J881" s="16" t="s">
        <v>3910</v>
      </c>
      <c r="K881" s="9"/>
      <c r="L881" s="9" t="s">
        <v>30</v>
      </c>
      <c r="M881" s="9" t="s">
        <v>31</v>
      </c>
      <c r="N881" s="9" t="s">
        <v>32</v>
      </c>
      <c r="O881" s="12" t="s">
        <v>33</v>
      </c>
      <c r="P881" s="12" t="s">
        <v>34</v>
      </c>
      <c r="Q881" s="9"/>
      <c r="R881" s="18"/>
      <c r="S881" s="18"/>
      <c r="T881" s="18"/>
      <c r="U881" s="18"/>
      <c r="V881" s="18"/>
      <c r="W881" s="15"/>
      <c r="X881" s="15"/>
    </row>
    <row r="882">
      <c r="A882" s="7">
        <v>881.0</v>
      </c>
      <c r="B882" s="8" t="s">
        <v>3911</v>
      </c>
      <c r="C882" s="9" t="s">
        <v>3912</v>
      </c>
      <c r="D882" s="10" t="str">
        <f>HYPERLINK("https://facebook.com/367089020688300_541605146570019", "367089020688300_541605146570019")</f>
        <v>367089020688300_541605146570019</v>
      </c>
      <c r="E882" s="11">
        <v>39.0</v>
      </c>
      <c r="F882" s="11">
        <v>0.0</v>
      </c>
      <c r="G882" s="11">
        <v>20.0</v>
      </c>
      <c r="H882" s="9" t="s">
        <v>26</v>
      </c>
      <c r="I882" s="9" t="s">
        <v>3913</v>
      </c>
      <c r="J882" s="9" t="s">
        <v>3914</v>
      </c>
      <c r="K882" s="9" t="s">
        <v>3915</v>
      </c>
      <c r="L882" s="9" t="s">
        <v>30</v>
      </c>
      <c r="M882" s="9" t="s">
        <v>31</v>
      </c>
      <c r="N882" s="9" t="s">
        <v>32</v>
      </c>
      <c r="O882" s="12" t="s">
        <v>33</v>
      </c>
      <c r="P882" s="12" t="s">
        <v>34</v>
      </c>
      <c r="Q882" s="9"/>
      <c r="R882" s="18"/>
      <c r="S882" s="18"/>
      <c r="T882" s="18"/>
      <c r="U882" s="18"/>
      <c r="V882" s="18"/>
      <c r="W882" s="15"/>
      <c r="X882" s="15"/>
    </row>
    <row r="883">
      <c r="A883" s="7">
        <v>882.0</v>
      </c>
      <c r="B883" s="8" t="s">
        <v>3916</v>
      </c>
      <c r="C883" s="9" t="s">
        <v>3917</v>
      </c>
      <c r="D883" s="10" t="str">
        <f>HYPERLINK("https://facebook.com/367089020688300_532667224130478", "367089020688300_532667224130478")</f>
        <v>367089020688300_532667224130478</v>
      </c>
      <c r="E883" s="11">
        <v>670.0</v>
      </c>
      <c r="F883" s="11">
        <v>8.0</v>
      </c>
      <c r="G883" s="11">
        <v>469.0</v>
      </c>
      <c r="H883" s="9" t="s">
        <v>26</v>
      </c>
      <c r="I883" s="9" t="s">
        <v>3918</v>
      </c>
      <c r="J883" s="16" t="s">
        <v>3919</v>
      </c>
      <c r="K883" s="9"/>
      <c r="L883" s="9" t="s">
        <v>30</v>
      </c>
      <c r="M883" s="9" t="s">
        <v>31</v>
      </c>
      <c r="N883" s="9" t="s">
        <v>32</v>
      </c>
      <c r="O883" s="12" t="s">
        <v>33</v>
      </c>
      <c r="P883" s="12" t="s">
        <v>34</v>
      </c>
      <c r="Q883" s="9"/>
      <c r="R883" s="18"/>
      <c r="S883" s="18"/>
      <c r="T883" s="18"/>
      <c r="U883" s="18"/>
      <c r="V883" s="18"/>
      <c r="W883" s="15"/>
      <c r="X883" s="15"/>
    </row>
    <row r="884">
      <c r="A884" s="7">
        <v>883.0</v>
      </c>
      <c r="B884" s="8" t="s">
        <v>3920</v>
      </c>
      <c r="C884" s="9" t="s">
        <v>3921</v>
      </c>
      <c r="D884" s="10" t="str">
        <f>HYPERLINK("https://facebook.com/367089020688300_509994556397745", "367089020688300_509994556397745")</f>
        <v>367089020688300_509994556397745</v>
      </c>
      <c r="E884" s="11">
        <v>211.0</v>
      </c>
      <c r="F884" s="11">
        <v>8.0</v>
      </c>
      <c r="G884" s="11">
        <v>241.0</v>
      </c>
      <c r="H884" s="9" t="s">
        <v>26</v>
      </c>
      <c r="I884" s="9" t="s">
        <v>3922</v>
      </c>
      <c r="J884" s="9" t="s">
        <v>3923</v>
      </c>
      <c r="K884" s="9" t="s">
        <v>2498</v>
      </c>
      <c r="L884" s="9" t="s">
        <v>30</v>
      </c>
      <c r="M884" s="9" t="s">
        <v>31</v>
      </c>
      <c r="N884" s="9" t="s">
        <v>32</v>
      </c>
      <c r="O884" s="12" t="s">
        <v>33</v>
      </c>
      <c r="P884" s="12" t="s">
        <v>34</v>
      </c>
      <c r="Q884" s="9"/>
      <c r="R884" s="18"/>
      <c r="S884" s="18"/>
      <c r="T884" s="18"/>
      <c r="U884" s="18"/>
      <c r="V884" s="18"/>
      <c r="W884" s="15"/>
      <c r="X884" s="15"/>
    </row>
    <row r="885">
      <c r="A885" s="7">
        <v>884.0</v>
      </c>
      <c r="B885" s="8" t="s">
        <v>3924</v>
      </c>
      <c r="C885" s="9" t="s">
        <v>3925</v>
      </c>
      <c r="D885" s="10" t="str">
        <f>HYPERLINK("https://facebook.com/367089020688300_416586729071862", "367089020688300_416586729071862")</f>
        <v>367089020688300_416586729071862</v>
      </c>
      <c r="E885" s="11">
        <v>43.0</v>
      </c>
      <c r="F885" s="11">
        <v>2.0</v>
      </c>
      <c r="G885" s="11">
        <v>64.0</v>
      </c>
      <c r="H885" s="9" t="s">
        <v>26</v>
      </c>
      <c r="I885" s="9" t="s">
        <v>3926</v>
      </c>
      <c r="J885" s="9" t="s">
        <v>3927</v>
      </c>
      <c r="K885" s="9" t="s">
        <v>3928</v>
      </c>
      <c r="L885" s="9" t="s">
        <v>30</v>
      </c>
      <c r="M885" s="9" t="s">
        <v>31</v>
      </c>
      <c r="N885" s="9" t="s">
        <v>32</v>
      </c>
      <c r="O885" s="12" t="s">
        <v>33</v>
      </c>
      <c r="P885" s="12" t="s">
        <v>34</v>
      </c>
      <c r="Q885" s="9"/>
      <c r="R885" s="18"/>
      <c r="S885" s="18"/>
      <c r="T885" s="18"/>
      <c r="U885" s="18"/>
      <c r="V885" s="18"/>
      <c r="W885" s="15"/>
      <c r="X885" s="15"/>
    </row>
    <row r="886">
      <c r="A886" s="7">
        <v>885.0</v>
      </c>
      <c r="B886" s="8" t="s">
        <v>3929</v>
      </c>
      <c r="C886" s="9" t="s">
        <v>3930</v>
      </c>
      <c r="D886" s="10" t="str">
        <f>HYPERLINK("https://facebook.com/367089020688300_553129978750869", "367089020688300_553129978750869")</f>
        <v>367089020688300_553129978750869</v>
      </c>
      <c r="E886" s="11">
        <v>299.0</v>
      </c>
      <c r="F886" s="11">
        <v>8.0</v>
      </c>
      <c r="G886" s="11">
        <v>214.0</v>
      </c>
      <c r="H886" s="9" t="s">
        <v>26</v>
      </c>
      <c r="I886" s="9" t="s">
        <v>1760</v>
      </c>
      <c r="J886" s="16" t="s">
        <v>3931</v>
      </c>
      <c r="K886" s="9"/>
      <c r="L886" s="9" t="s">
        <v>30</v>
      </c>
      <c r="M886" s="9" t="s">
        <v>31</v>
      </c>
      <c r="N886" s="9" t="s">
        <v>32</v>
      </c>
      <c r="O886" s="12" t="s">
        <v>33</v>
      </c>
      <c r="P886" s="12" t="s">
        <v>34</v>
      </c>
      <c r="Q886" s="9"/>
      <c r="R886" s="18"/>
      <c r="S886" s="18"/>
      <c r="T886" s="18"/>
      <c r="U886" s="18"/>
      <c r="V886" s="18"/>
      <c r="W886" s="15"/>
      <c r="X886" s="15"/>
    </row>
    <row r="887">
      <c r="A887" s="7">
        <v>886.0</v>
      </c>
      <c r="B887" s="8" t="s">
        <v>3932</v>
      </c>
      <c r="C887" s="9" t="s">
        <v>3933</v>
      </c>
      <c r="D887" s="10" t="str">
        <f>HYPERLINK("https://facebook.com/367089020688300_401484847248717", "367089020688300_401484847248717")</f>
        <v>367089020688300_401484847248717</v>
      </c>
      <c r="E887" s="11">
        <v>2097.0</v>
      </c>
      <c r="F887" s="11">
        <v>181.0</v>
      </c>
      <c r="G887" s="11">
        <v>875.0</v>
      </c>
      <c r="H887" s="9" t="s">
        <v>26</v>
      </c>
      <c r="I887" s="9" t="s">
        <v>3934</v>
      </c>
      <c r="J887" s="9" t="s">
        <v>3935</v>
      </c>
      <c r="K887" s="9" t="s">
        <v>3936</v>
      </c>
      <c r="L887" s="9" t="s">
        <v>30</v>
      </c>
      <c r="M887" s="9" t="s">
        <v>31</v>
      </c>
      <c r="N887" s="9" t="s">
        <v>32</v>
      </c>
      <c r="O887" s="12" t="s">
        <v>33</v>
      </c>
      <c r="P887" s="12" t="s">
        <v>34</v>
      </c>
      <c r="Q887" s="9"/>
      <c r="R887" s="18"/>
      <c r="S887" s="18"/>
      <c r="T887" s="18"/>
      <c r="U887" s="18"/>
      <c r="V887" s="18"/>
      <c r="W887" s="15"/>
      <c r="X887" s="15"/>
    </row>
    <row r="888">
      <c r="A888" s="7">
        <v>887.0</v>
      </c>
      <c r="B888" s="8" t="s">
        <v>3937</v>
      </c>
      <c r="C888" s="9" t="s">
        <v>3938</v>
      </c>
      <c r="D888" s="10" t="str">
        <f>HYPERLINK("https://facebook.com/367089020688300_554168658647001", "367089020688300_554168658647001")</f>
        <v>367089020688300_554168658647001</v>
      </c>
      <c r="E888" s="11">
        <v>135.0</v>
      </c>
      <c r="F888" s="11">
        <v>1.0</v>
      </c>
      <c r="G888" s="11">
        <v>126.0</v>
      </c>
      <c r="H888" s="9" t="s">
        <v>26</v>
      </c>
      <c r="I888" s="9" t="s">
        <v>3939</v>
      </c>
      <c r="J888" s="9" t="s">
        <v>3940</v>
      </c>
      <c r="K888" s="9" t="s">
        <v>3941</v>
      </c>
      <c r="L888" s="9" t="s">
        <v>30</v>
      </c>
      <c r="M888" s="9" t="s">
        <v>31</v>
      </c>
      <c r="N888" s="9" t="s">
        <v>32</v>
      </c>
      <c r="O888" s="12" t="s">
        <v>33</v>
      </c>
      <c r="P888" s="12" t="s">
        <v>34</v>
      </c>
      <c r="Q888" s="9"/>
      <c r="R888" s="18"/>
      <c r="S888" s="18"/>
      <c r="T888" s="18"/>
      <c r="U888" s="18"/>
      <c r="V888" s="18"/>
      <c r="W888" s="15"/>
      <c r="X888" s="15"/>
    </row>
    <row r="889">
      <c r="A889" s="7">
        <v>888.0</v>
      </c>
      <c r="B889" s="8" t="s">
        <v>3942</v>
      </c>
      <c r="C889" s="9" t="s">
        <v>3943</v>
      </c>
      <c r="D889" s="10" t="str">
        <f>HYPERLINK("https://facebook.com/367089020688300_460675834662951", "367089020688300_460675834662951")</f>
        <v>367089020688300_460675834662951</v>
      </c>
      <c r="E889" s="11">
        <v>183.0</v>
      </c>
      <c r="F889" s="11">
        <v>2.0</v>
      </c>
      <c r="G889" s="11">
        <v>289.0</v>
      </c>
      <c r="H889" s="9" t="s">
        <v>26</v>
      </c>
      <c r="I889" s="9" t="s">
        <v>3944</v>
      </c>
      <c r="J889" s="9" t="s">
        <v>3945</v>
      </c>
      <c r="K889" s="9" t="s">
        <v>249</v>
      </c>
      <c r="L889" s="9" t="s">
        <v>30</v>
      </c>
      <c r="M889" s="9" t="s">
        <v>31</v>
      </c>
      <c r="N889" s="9" t="s">
        <v>32</v>
      </c>
      <c r="O889" s="12" t="s">
        <v>33</v>
      </c>
      <c r="P889" s="12" t="s">
        <v>34</v>
      </c>
      <c r="Q889" s="9"/>
      <c r="R889" s="18"/>
      <c r="S889" s="18"/>
      <c r="T889" s="18"/>
      <c r="U889" s="18"/>
      <c r="V889" s="18"/>
      <c r="W889" s="15"/>
      <c r="X889" s="15"/>
    </row>
    <row r="890">
      <c r="A890" s="7">
        <v>889.0</v>
      </c>
      <c r="B890" s="8" t="s">
        <v>3946</v>
      </c>
      <c r="C890" s="9" t="s">
        <v>3947</v>
      </c>
      <c r="D890" s="10" t="str">
        <f>HYPERLINK("https://facebook.com/367089020688300_539591090104758", "367089020688300_539591090104758")</f>
        <v>367089020688300_539591090104758</v>
      </c>
      <c r="E890" s="11">
        <v>52.0</v>
      </c>
      <c r="F890" s="11">
        <v>0.0</v>
      </c>
      <c r="G890" s="11">
        <v>17.0</v>
      </c>
      <c r="H890" s="9" t="s">
        <v>26</v>
      </c>
      <c r="I890" s="9" t="s">
        <v>3948</v>
      </c>
      <c r="J890" s="16" t="s">
        <v>3949</v>
      </c>
      <c r="K890" s="9"/>
      <c r="L890" s="9" t="s">
        <v>30</v>
      </c>
      <c r="M890" s="9" t="s">
        <v>31</v>
      </c>
      <c r="N890" s="9" t="s">
        <v>32</v>
      </c>
      <c r="O890" s="12" t="s">
        <v>33</v>
      </c>
      <c r="P890" s="12" t="s">
        <v>34</v>
      </c>
      <c r="Q890" s="9"/>
      <c r="R890" s="18"/>
      <c r="S890" s="18"/>
      <c r="T890" s="18"/>
      <c r="U890" s="18"/>
      <c r="V890" s="18"/>
      <c r="W890" s="15"/>
      <c r="X890" s="15"/>
    </row>
    <row r="891">
      <c r="A891" s="7">
        <v>890.0</v>
      </c>
      <c r="B891" s="8" t="s">
        <v>3950</v>
      </c>
      <c r="C891" s="9" t="s">
        <v>3951</v>
      </c>
      <c r="D891" s="10" t="str">
        <f>HYPERLINK("https://facebook.com/367089020688300_517319135665287", "367089020688300_517319135665287")</f>
        <v>367089020688300_517319135665287</v>
      </c>
      <c r="E891" s="11">
        <v>10.0</v>
      </c>
      <c r="F891" s="11">
        <v>3.0</v>
      </c>
      <c r="G891" s="11">
        <v>23.0</v>
      </c>
      <c r="H891" s="9" t="s">
        <v>26</v>
      </c>
      <c r="I891" s="9" t="s">
        <v>3952</v>
      </c>
      <c r="J891" s="16" t="s">
        <v>3953</v>
      </c>
      <c r="K891" s="9"/>
      <c r="L891" s="9" t="s">
        <v>30</v>
      </c>
      <c r="M891" s="9" t="s">
        <v>31</v>
      </c>
      <c r="N891" s="9" t="s">
        <v>32</v>
      </c>
      <c r="O891" s="12" t="s">
        <v>33</v>
      </c>
      <c r="P891" s="12" t="s">
        <v>34</v>
      </c>
      <c r="Q891" s="9"/>
      <c r="R891" s="18"/>
      <c r="S891" s="18"/>
      <c r="T891" s="18"/>
      <c r="U891" s="18"/>
      <c r="V891" s="18"/>
      <c r="W891" s="15"/>
      <c r="X891" s="15"/>
    </row>
    <row r="892">
      <c r="A892" s="7">
        <v>891.0</v>
      </c>
      <c r="B892" s="8" t="s">
        <v>3954</v>
      </c>
      <c r="C892" s="9" t="s">
        <v>3955</v>
      </c>
      <c r="D892" s="10" t="str">
        <f>HYPERLINK("https://facebook.com/367089020688300_560306248033242", "367089020688300_560306248033242")</f>
        <v>367089020688300_560306248033242</v>
      </c>
      <c r="E892" s="11">
        <v>17.0</v>
      </c>
      <c r="F892" s="11">
        <v>0.0</v>
      </c>
      <c r="G892" s="11">
        <v>10.0</v>
      </c>
      <c r="H892" s="9" t="s">
        <v>26</v>
      </c>
      <c r="I892" s="9" t="s">
        <v>3956</v>
      </c>
      <c r="J892" s="16" t="s">
        <v>3957</v>
      </c>
      <c r="K892" s="9"/>
      <c r="L892" s="9" t="s">
        <v>30</v>
      </c>
      <c r="M892" s="9" t="s">
        <v>31</v>
      </c>
      <c r="N892" s="9" t="s">
        <v>32</v>
      </c>
      <c r="O892" s="12" t="s">
        <v>33</v>
      </c>
      <c r="P892" s="12" t="s">
        <v>34</v>
      </c>
      <c r="Q892" s="9"/>
      <c r="R892" s="18"/>
      <c r="S892" s="18"/>
      <c r="T892" s="18"/>
      <c r="U892" s="18"/>
      <c r="V892" s="18"/>
      <c r="W892" s="15"/>
      <c r="X892" s="15"/>
    </row>
    <row r="893">
      <c r="A893" s="7">
        <v>892.0</v>
      </c>
      <c r="B893" s="8" t="s">
        <v>3958</v>
      </c>
      <c r="C893" s="9" t="s">
        <v>3959</v>
      </c>
      <c r="D893" s="10" t="str">
        <f>HYPERLINK("https://facebook.com/367089020688300_490201041710430", "367089020688300_490201041710430")</f>
        <v>367089020688300_490201041710430</v>
      </c>
      <c r="E893" s="11">
        <v>234.0</v>
      </c>
      <c r="F893" s="11">
        <v>6.0</v>
      </c>
      <c r="G893" s="11">
        <v>227.0</v>
      </c>
      <c r="H893" s="9" t="s">
        <v>26</v>
      </c>
      <c r="I893" s="9" t="s">
        <v>3667</v>
      </c>
      <c r="J893" s="9" t="s">
        <v>3668</v>
      </c>
      <c r="K893" s="9" t="s">
        <v>3960</v>
      </c>
      <c r="L893" s="9" t="s">
        <v>30</v>
      </c>
      <c r="M893" s="9" t="s">
        <v>31</v>
      </c>
      <c r="N893" s="9" t="s">
        <v>32</v>
      </c>
      <c r="O893" s="12" t="s">
        <v>33</v>
      </c>
      <c r="P893" s="12" t="s">
        <v>34</v>
      </c>
      <c r="Q893" s="9"/>
      <c r="R893" s="18"/>
      <c r="S893" s="18"/>
      <c r="T893" s="18"/>
      <c r="U893" s="18"/>
      <c r="V893" s="18"/>
      <c r="W893" s="15"/>
      <c r="X893" s="15"/>
    </row>
    <row r="894">
      <c r="A894" s="7">
        <v>893.0</v>
      </c>
      <c r="B894" s="8" t="s">
        <v>3961</v>
      </c>
      <c r="C894" s="9" t="s">
        <v>3962</v>
      </c>
      <c r="D894" s="10" t="str">
        <f>HYPERLINK("https://facebook.com/367089020688300_560159048047962", "367089020688300_560159048047962")</f>
        <v>367089020688300_560159048047962</v>
      </c>
      <c r="E894" s="11">
        <v>274.0</v>
      </c>
      <c r="F894" s="11">
        <v>1.0</v>
      </c>
      <c r="G894" s="11">
        <v>74.0</v>
      </c>
      <c r="H894" s="9" t="s">
        <v>26</v>
      </c>
      <c r="I894" s="9" t="s">
        <v>3963</v>
      </c>
      <c r="J894" s="9" t="s">
        <v>3964</v>
      </c>
      <c r="K894" s="9" t="s">
        <v>3965</v>
      </c>
      <c r="L894" s="9" t="s">
        <v>30</v>
      </c>
      <c r="M894" s="9" t="s">
        <v>31</v>
      </c>
      <c r="N894" s="9" t="s">
        <v>32</v>
      </c>
      <c r="O894" s="12" t="s">
        <v>33</v>
      </c>
      <c r="P894" s="12" t="s">
        <v>34</v>
      </c>
      <c r="Q894" s="9"/>
      <c r="R894" s="18"/>
      <c r="S894" s="18"/>
      <c r="T894" s="18"/>
      <c r="U894" s="18"/>
      <c r="V894" s="18"/>
      <c r="W894" s="15"/>
      <c r="X894" s="15"/>
    </row>
    <row r="895">
      <c r="A895" s="7">
        <v>894.0</v>
      </c>
      <c r="B895" s="8" t="s">
        <v>3966</v>
      </c>
      <c r="C895" s="9" t="s">
        <v>3967</v>
      </c>
      <c r="D895" s="10" t="str">
        <f>HYPERLINK("https://facebook.com/367089020688300_471552496908618", "367089020688300_471552496908618")</f>
        <v>367089020688300_471552496908618</v>
      </c>
      <c r="E895" s="11">
        <v>1441.0</v>
      </c>
      <c r="F895" s="11">
        <v>131.0</v>
      </c>
      <c r="G895" s="11">
        <v>573.0</v>
      </c>
      <c r="H895" s="9" t="s">
        <v>26</v>
      </c>
      <c r="I895" s="9" t="s">
        <v>3968</v>
      </c>
      <c r="J895" s="9" t="s">
        <v>3969</v>
      </c>
      <c r="K895" s="9" t="s">
        <v>3970</v>
      </c>
      <c r="L895" s="9" t="s">
        <v>30</v>
      </c>
      <c r="M895" s="9" t="s">
        <v>31</v>
      </c>
      <c r="N895" s="9" t="s">
        <v>32</v>
      </c>
      <c r="O895" s="12" t="s">
        <v>33</v>
      </c>
      <c r="P895" s="12" t="s">
        <v>34</v>
      </c>
      <c r="Q895" s="9"/>
      <c r="R895" s="18"/>
      <c r="S895" s="18"/>
      <c r="T895" s="18"/>
      <c r="U895" s="18"/>
      <c r="V895" s="18"/>
      <c r="W895" s="15"/>
      <c r="X895" s="15"/>
    </row>
    <row r="896">
      <c r="A896" s="7">
        <v>895.0</v>
      </c>
      <c r="B896" s="8" t="s">
        <v>3971</v>
      </c>
      <c r="C896" s="9" t="s">
        <v>3972</v>
      </c>
      <c r="D896" s="10" t="str">
        <f>HYPERLINK("https://facebook.com/367089020688300_552560422141158", "367089020688300_552560422141158")</f>
        <v>367089020688300_552560422141158</v>
      </c>
      <c r="E896" s="11">
        <v>2140.0</v>
      </c>
      <c r="F896" s="11">
        <v>31.0</v>
      </c>
      <c r="G896" s="11">
        <v>635.0</v>
      </c>
      <c r="H896" s="9" t="s">
        <v>26</v>
      </c>
      <c r="I896" s="9" t="s">
        <v>3973</v>
      </c>
      <c r="J896" s="9" t="s">
        <v>3974</v>
      </c>
      <c r="K896" s="9" t="s">
        <v>3975</v>
      </c>
      <c r="L896" s="9" t="s">
        <v>30</v>
      </c>
      <c r="M896" s="9" t="s">
        <v>31</v>
      </c>
      <c r="N896" s="9" t="s">
        <v>32</v>
      </c>
      <c r="O896" s="12" t="s">
        <v>33</v>
      </c>
      <c r="P896" s="12" t="s">
        <v>34</v>
      </c>
      <c r="Q896" s="9"/>
      <c r="R896" s="18"/>
      <c r="S896" s="18"/>
      <c r="T896" s="18"/>
      <c r="U896" s="18"/>
      <c r="V896" s="18"/>
      <c r="W896" s="15"/>
      <c r="X896" s="15"/>
    </row>
    <row r="897">
      <c r="A897" s="7">
        <v>896.0</v>
      </c>
      <c r="B897" s="8" t="s">
        <v>3976</v>
      </c>
      <c r="C897" s="9" t="s">
        <v>3977</v>
      </c>
      <c r="D897" s="10" t="str">
        <f>HYPERLINK("https://facebook.com/367089020688300_556171298446737", "367089020688300_556171298446737")</f>
        <v>367089020688300_556171298446737</v>
      </c>
      <c r="E897" s="11">
        <v>118.0</v>
      </c>
      <c r="F897" s="11">
        <v>2.0</v>
      </c>
      <c r="G897" s="11">
        <v>88.0</v>
      </c>
      <c r="H897" s="9" t="s">
        <v>26</v>
      </c>
      <c r="I897" s="9" t="s">
        <v>3978</v>
      </c>
      <c r="J897" s="16" t="s">
        <v>3979</v>
      </c>
      <c r="K897" s="9"/>
      <c r="L897" s="9" t="s">
        <v>30</v>
      </c>
      <c r="M897" s="9" t="s">
        <v>31</v>
      </c>
      <c r="N897" s="9" t="s">
        <v>32</v>
      </c>
      <c r="O897" s="12" t="s">
        <v>33</v>
      </c>
      <c r="P897" s="12" t="s">
        <v>34</v>
      </c>
      <c r="Q897" s="9"/>
      <c r="R897" s="18"/>
      <c r="S897" s="18"/>
      <c r="T897" s="18"/>
      <c r="U897" s="18"/>
      <c r="V897" s="18"/>
      <c r="W897" s="15"/>
      <c r="X897" s="15"/>
    </row>
    <row r="898">
      <c r="A898" s="7">
        <v>897.0</v>
      </c>
      <c r="B898" s="8" t="s">
        <v>3980</v>
      </c>
      <c r="C898" s="9" t="s">
        <v>3981</v>
      </c>
      <c r="D898" s="10" t="str">
        <f>HYPERLINK("https://facebook.com/367089020688300_397316997665502", "367089020688300_397316997665502")</f>
        <v>367089020688300_397316997665502</v>
      </c>
      <c r="E898" s="11">
        <v>161.0</v>
      </c>
      <c r="F898" s="11">
        <v>0.0</v>
      </c>
      <c r="G898" s="11">
        <v>103.0</v>
      </c>
      <c r="H898" s="9" t="s">
        <v>26</v>
      </c>
      <c r="I898" s="9" t="s">
        <v>3982</v>
      </c>
      <c r="J898" s="9" t="s">
        <v>3983</v>
      </c>
      <c r="K898" s="9" t="s">
        <v>3984</v>
      </c>
      <c r="L898" s="9" t="s">
        <v>30</v>
      </c>
      <c r="M898" s="9" t="s">
        <v>31</v>
      </c>
      <c r="N898" s="9" t="s">
        <v>32</v>
      </c>
      <c r="O898" s="12" t="s">
        <v>33</v>
      </c>
      <c r="P898" s="12" t="s">
        <v>34</v>
      </c>
      <c r="Q898" s="9"/>
      <c r="R898" s="18"/>
      <c r="S898" s="18"/>
      <c r="T898" s="18"/>
      <c r="U898" s="18"/>
      <c r="V898" s="18"/>
      <c r="W898" s="15"/>
      <c r="X898" s="15"/>
    </row>
    <row r="899">
      <c r="A899" s="7">
        <v>898.0</v>
      </c>
      <c r="B899" s="8" t="s">
        <v>3985</v>
      </c>
      <c r="C899" s="9" t="s">
        <v>3986</v>
      </c>
      <c r="D899" s="10" t="str">
        <f>HYPERLINK("https://facebook.com/367089020688300_545567666173767", "367089020688300_545567666173767")</f>
        <v>367089020688300_545567666173767</v>
      </c>
      <c r="E899" s="11">
        <v>17.0</v>
      </c>
      <c r="F899" s="11">
        <v>0.0</v>
      </c>
      <c r="G899" s="11">
        <v>22.0</v>
      </c>
      <c r="H899" s="9" t="s">
        <v>26</v>
      </c>
      <c r="I899" s="9" t="s">
        <v>3987</v>
      </c>
      <c r="J899" s="16" t="s">
        <v>3988</v>
      </c>
      <c r="K899" s="9"/>
      <c r="L899" s="9" t="s">
        <v>30</v>
      </c>
      <c r="M899" s="9" t="s">
        <v>31</v>
      </c>
      <c r="N899" s="9" t="s">
        <v>32</v>
      </c>
      <c r="O899" s="12" t="s">
        <v>33</v>
      </c>
      <c r="P899" s="12" t="s">
        <v>34</v>
      </c>
      <c r="Q899" s="9"/>
      <c r="R899" s="18"/>
      <c r="S899" s="18"/>
      <c r="T899" s="18"/>
      <c r="U899" s="18"/>
      <c r="V899" s="18"/>
      <c r="W899" s="15"/>
      <c r="X899" s="15"/>
    </row>
    <row r="900">
      <c r="A900" s="7">
        <v>899.0</v>
      </c>
      <c r="B900" s="8" t="s">
        <v>3989</v>
      </c>
      <c r="C900" s="9" t="s">
        <v>3990</v>
      </c>
      <c r="D900" s="10" t="str">
        <f>HYPERLINK("https://facebook.com/367089020688300_536158873781313", "367089020688300_536158873781313")</f>
        <v>367089020688300_536158873781313</v>
      </c>
      <c r="E900" s="11">
        <v>29.0</v>
      </c>
      <c r="F900" s="11">
        <v>1.0</v>
      </c>
      <c r="G900" s="11">
        <v>59.0</v>
      </c>
      <c r="H900" s="9" t="s">
        <v>26</v>
      </c>
      <c r="I900" s="9" t="s">
        <v>3991</v>
      </c>
      <c r="J900" s="16" t="s">
        <v>3992</v>
      </c>
      <c r="K900" s="9"/>
      <c r="L900" s="9" t="s">
        <v>30</v>
      </c>
      <c r="M900" s="9" t="s">
        <v>31</v>
      </c>
      <c r="N900" s="9" t="s">
        <v>32</v>
      </c>
      <c r="O900" s="12" t="s">
        <v>33</v>
      </c>
      <c r="P900" s="12" t="s">
        <v>34</v>
      </c>
      <c r="Q900" s="9"/>
      <c r="R900" s="18"/>
      <c r="S900" s="18"/>
      <c r="T900" s="18"/>
      <c r="U900" s="18"/>
      <c r="V900" s="18"/>
      <c r="W900" s="15"/>
      <c r="X900" s="15"/>
    </row>
    <row r="901">
      <c r="A901" s="7">
        <v>900.0</v>
      </c>
      <c r="B901" s="8" t="s">
        <v>3993</v>
      </c>
      <c r="C901" s="9" t="s">
        <v>3994</v>
      </c>
      <c r="D901" s="10" t="str">
        <f>HYPERLINK("https://facebook.com/367089020688300_507343449996189", "367089020688300_507343449996189")</f>
        <v>367089020688300_507343449996189</v>
      </c>
      <c r="E901" s="11">
        <v>724.0</v>
      </c>
      <c r="F901" s="11">
        <v>36.0</v>
      </c>
      <c r="G901" s="11">
        <v>558.0</v>
      </c>
      <c r="H901" s="9" t="s">
        <v>26</v>
      </c>
      <c r="I901" s="9" t="s">
        <v>3995</v>
      </c>
      <c r="J901" s="9" t="s">
        <v>3996</v>
      </c>
      <c r="K901" s="9" t="s">
        <v>3997</v>
      </c>
      <c r="L901" s="9" t="s">
        <v>30</v>
      </c>
      <c r="M901" s="9" t="s">
        <v>31</v>
      </c>
      <c r="N901" s="9" t="s">
        <v>32</v>
      </c>
      <c r="O901" s="12" t="s">
        <v>33</v>
      </c>
      <c r="P901" s="12" t="s">
        <v>34</v>
      </c>
      <c r="Q901" s="9"/>
      <c r="R901" s="18"/>
      <c r="S901" s="18"/>
      <c r="T901" s="18"/>
      <c r="U901" s="18"/>
      <c r="V901" s="18"/>
      <c r="W901" s="15"/>
      <c r="X901" s="15"/>
    </row>
    <row r="902">
      <c r="A902" s="7">
        <v>901.0</v>
      </c>
      <c r="B902" s="8" t="s">
        <v>3998</v>
      </c>
      <c r="C902" s="9" t="s">
        <v>3999</v>
      </c>
      <c r="D902" s="10" t="str">
        <f>HYPERLINK("https://facebook.com/367089020688300_515501655847035", "367089020688300_515501655847035")</f>
        <v>367089020688300_515501655847035</v>
      </c>
      <c r="E902" s="11">
        <v>155.0</v>
      </c>
      <c r="F902" s="11">
        <v>6.0</v>
      </c>
      <c r="G902" s="11">
        <v>266.0</v>
      </c>
      <c r="H902" s="9" t="s">
        <v>26</v>
      </c>
      <c r="I902" s="9" t="s">
        <v>3849</v>
      </c>
      <c r="J902" s="16" t="s">
        <v>3850</v>
      </c>
      <c r="K902" s="9"/>
      <c r="L902" s="9" t="s">
        <v>30</v>
      </c>
      <c r="M902" s="9" t="s">
        <v>31</v>
      </c>
      <c r="N902" s="9" t="s">
        <v>32</v>
      </c>
      <c r="O902" s="12" t="s">
        <v>33</v>
      </c>
      <c r="P902" s="12" t="s">
        <v>34</v>
      </c>
      <c r="Q902" s="9"/>
      <c r="R902" s="18"/>
      <c r="S902" s="18"/>
      <c r="T902" s="18"/>
      <c r="U902" s="18"/>
      <c r="V902" s="18"/>
      <c r="W902" s="15"/>
      <c r="X902" s="15"/>
    </row>
    <row r="903">
      <c r="A903" s="7">
        <v>902.0</v>
      </c>
      <c r="B903" s="8" t="s">
        <v>4000</v>
      </c>
      <c r="C903" s="9" t="s">
        <v>4001</v>
      </c>
      <c r="D903" s="10" t="str">
        <f>HYPERLINK("https://facebook.com/367089020688300_448131895917345", "367089020688300_448131895917345")</f>
        <v>367089020688300_448131895917345</v>
      </c>
      <c r="E903" s="11">
        <v>301.0</v>
      </c>
      <c r="F903" s="11">
        <v>13.0</v>
      </c>
      <c r="G903" s="11">
        <v>282.0</v>
      </c>
      <c r="H903" s="9" t="s">
        <v>26</v>
      </c>
      <c r="I903" s="9" t="s">
        <v>4002</v>
      </c>
      <c r="J903" s="9" t="s">
        <v>4003</v>
      </c>
      <c r="K903" s="9" t="s">
        <v>920</v>
      </c>
      <c r="L903" s="9" t="s">
        <v>30</v>
      </c>
      <c r="M903" s="9" t="s">
        <v>31</v>
      </c>
      <c r="N903" s="9" t="s">
        <v>32</v>
      </c>
      <c r="O903" s="12" t="s">
        <v>33</v>
      </c>
      <c r="P903" s="12" t="s">
        <v>34</v>
      </c>
      <c r="Q903" s="9"/>
      <c r="R903" s="18"/>
      <c r="S903" s="18"/>
      <c r="T903" s="18"/>
      <c r="U903" s="18"/>
      <c r="V903" s="18"/>
      <c r="W903" s="15"/>
      <c r="X903" s="15"/>
    </row>
    <row r="904">
      <c r="A904" s="7">
        <v>903.0</v>
      </c>
      <c r="B904" s="8" t="s">
        <v>4004</v>
      </c>
      <c r="C904" s="9" t="s">
        <v>4005</v>
      </c>
      <c r="D904" s="10" t="str">
        <f>HYPERLINK("https://facebook.com/367089020688300_458858861511315", "367089020688300_458858861511315")</f>
        <v>367089020688300_458858861511315</v>
      </c>
      <c r="E904" s="11">
        <v>110.0</v>
      </c>
      <c r="F904" s="11">
        <v>1.0</v>
      </c>
      <c r="G904" s="11">
        <v>30.0</v>
      </c>
      <c r="H904" s="9" t="s">
        <v>26</v>
      </c>
      <c r="I904" s="9" t="s">
        <v>4006</v>
      </c>
      <c r="J904" s="9" t="s">
        <v>4007</v>
      </c>
      <c r="K904" s="9" t="s">
        <v>219</v>
      </c>
      <c r="L904" s="9" t="s">
        <v>30</v>
      </c>
      <c r="M904" s="9" t="s">
        <v>31</v>
      </c>
      <c r="N904" s="9" t="s">
        <v>32</v>
      </c>
      <c r="O904" s="12" t="s">
        <v>33</v>
      </c>
      <c r="P904" s="12" t="s">
        <v>34</v>
      </c>
      <c r="Q904" s="9"/>
      <c r="R904" s="18"/>
      <c r="S904" s="18"/>
      <c r="T904" s="18"/>
      <c r="U904" s="18"/>
      <c r="V904" s="18"/>
      <c r="W904" s="15"/>
      <c r="X904" s="15"/>
    </row>
    <row r="905">
      <c r="A905" s="7">
        <v>904.0</v>
      </c>
      <c r="B905" s="8" t="s">
        <v>4008</v>
      </c>
      <c r="C905" s="9" t="s">
        <v>4009</v>
      </c>
      <c r="D905" s="10" t="str">
        <f>HYPERLINK("https://facebook.com/367089020688300_421863491877519", "367089020688300_421863491877519")</f>
        <v>367089020688300_421863491877519</v>
      </c>
      <c r="E905" s="11">
        <v>3328.0</v>
      </c>
      <c r="F905" s="11">
        <v>220.0</v>
      </c>
      <c r="G905" s="11">
        <v>1591.0</v>
      </c>
      <c r="H905" s="9" t="s">
        <v>26</v>
      </c>
      <c r="I905" s="9" t="s">
        <v>1173</v>
      </c>
      <c r="J905" s="16" t="s">
        <v>4010</v>
      </c>
      <c r="K905" s="9"/>
      <c r="L905" s="9" t="s">
        <v>30</v>
      </c>
      <c r="M905" s="9" t="s">
        <v>31</v>
      </c>
      <c r="N905" s="9" t="s">
        <v>32</v>
      </c>
      <c r="O905" s="12" t="s">
        <v>33</v>
      </c>
      <c r="P905" s="12" t="s">
        <v>34</v>
      </c>
      <c r="Q905" s="9"/>
      <c r="R905" s="18"/>
      <c r="S905" s="18"/>
      <c r="T905" s="18"/>
      <c r="U905" s="18"/>
      <c r="V905" s="18"/>
      <c r="W905" s="15"/>
      <c r="X905" s="15"/>
    </row>
    <row r="906">
      <c r="A906" s="7">
        <v>905.0</v>
      </c>
      <c r="B906" s="8" t="s">
        <v>4011</v>
      </c>
      <c r="C906" s="9" t="s">
        <v>4012</v>
      </c>
      <c r="D906" s="10" t="str">
        <f>HYPERLINK("https://facebook.com/367089020688300_538949106835623", "367089020688300_538949106835623")</f>
        <v>367089020688300_538949106835623</v>
      </c>
      <c r="E906" s="11">
        <v>15.0</v>
      </c>
      <c r="F906" s="11">
        <v>0.0</v>
      </c>
      <c r="G906" s="11">
        <v>11.0</v>
      </c>
      <c r="H906" s="9" t="s">
        <v>26</v>
      </c>
      <c r="I906" s="9" t="s">
        <v>4013</v>
      </c>
      <c r="J906" s="16" t="s">
        <v>4014</v>
      </c>
      <c r="K906" s="9"/>
      <c r="L906" s="9" t="s">
        <v>30</v>
      </c>
      <c r="M906" s="9" t="s">
        <v>31</v>
      </c>
      <c r="N906" s="9" t="s">
        <v>32</v>
      </c>
      <c r="O906" s="12" t="s">
        <v>33</v>
      </c>
      <c r="P906" s="12" t="s">
        <v>34</v>
      </c>
      <c r="Q906" s="9"/>
      <c r="R906" s="18"/>
      <c r="S906" s="18"/>
      <c r="T906" s="18"/>
      <c r="U906" s="18"/>
      <c r="V906" s="18"/>
      <c r="W906" s="15"/>
      <c r="X906" s="15"/>
    </row>
    <row r="907">
      <c r="A907" s="7">
        <v>906.0</v>
      </c>
      <c r="B907" s="8" t="s">
        <v>4015</v>
      </c>
      <c r="C907" s="9" t="s">
        <v>4016</v>
      </c>
      <c r="D907" s="10" t="str">
        <f>HYPERLINK("https://facebook.com/367089020688300_546965212700679", "367089020688300_546965212700679")</f>
        <v>367089020688300_546965212700679</v>
      </c>
      <c r="E907" s="11">
        <v>96.0</v>
      </c>
      <c r="F907" s="11">
        <v>0.0</v>
      </c>
      <c r="G907" s="11">
        <v>58.0</v>
      </c>
      <c r="H907" s="9" t="s">
        <v>26</v>
      </c>
      <c r="I907" s="9" t="s">
        <v>4017</v>
      </c>
      <c r="J907" s="16" t="s">
        <v>4018</v>
      </c>
      <c r="K907" s="9"/>
      <c r="L907" s="9" t="s">
        <v>30</v>
      </c>
      <c r="M907" s="9" t="s">
        <v>31</v>
      </c>
      <c r="N907" s="9" t="s">
        <v>32</v>
      </c>
      <c r="O907" s="12" t="s">
        <v>33</v>
      </c>
      <c r="P907" s="12" t="s">
        <v>34</v>
      </c>
      <c r="Q907" s="9"/>
      <c r="R907" s="18"/>
      <c r="S907" s="18"/>
      <c r="T907" s="18"/>
      <c r="U907" s="18"/>
      <c r="V907" s="18"/>
      <c r="W907" s="15"/>
      <c r="X907" s="15"/>
    </row>
    <row r="908">
      <c r="A908" s="7">
        <v>907.0</v>
      </c>
      <c r="B908" s="8" t="s">
        <v>4019</v>
      </c>
      <c r="C908" s="9" t="s">
        <v>4020</v>
      </c>
      <c r="D908" s="10" t="str">
        <f>HYPERLINK("https://facebook.com/367089020688300_544132359650631", "367089020688300_544132359650631")</f>
        <v>367089020688300_544132359650631</v>
      </c>
      <c r="E908" s="11">
        <v>10.0</v>
      </c>
      <c r="F908" s="11">
        <v>0.0</v>
      </c>
      <c r="G908" s="11">
        <v>1.0</v>
      </c>
      <c r="H908" s="9" t="s">
        <v>26</v>
      </c>
      <c r="I908" s="9" t="s">
        <v>4021</v>
      </c>
      <c r="J908" s="16" t="s">
        <v>4022</v>
      </c>
      <c r="K908" s="9"/>
      <c r="L908" s="9" t="s">
        <v>30</v>
      </c>
      <c r="M908" s="9" t="s">
        <v>31</v>
      </c>
      <c r="N908" s="9" t="s">
        <v>32</v>
      </c>
      <c r="O908" s="12" t="s">
        <v>33</v>
      </c>
      <c r="P908" s="12" t="s">
        <v>34</v>
      </c>
      <c r="Q908" s="9"/>
      <c r="R908" s="18"/>
      <c r="S908" s="18"/>
      <c r="T908" s="18"/>
      <c r="U908" s="18"/>
      <c r="V908" s="18"/>
      <c r="W908" s="15"/>
      <c r="X908" s="15"/>
    </row>
    <row r="909">
      <c r="A909" s="7">
        <v>908.0</v>
      </c>
      <c r="B909" s="8" t="s">
        <v>4023</v>
      </c>
      <c r="C909" s="9" t="s">
        <v>4024</v>
      </c>
      <c r="D909" s="10" t="str">
        <f>HYPERLINK("https://facebook.com/367089020688300_540122093384991", "367089020688300_540122093384991")</f>
        <v>367089020688300_540122093384991</v>
      </c>
      <c r="E909" s="11">
        <v>43.0</v>
      </c>
      <c r="F909" s="11">
        <v>0.0</v>
      </c>
      <c r="G909" s="11">
        <v>8.0</v>
      </c>
      <c r="H909" s="9" t="s">
        <v>26</v>
      </c>
      <c r="I909" s="9" t="s">
        <v>4025</v>
      </c>
      <c r="J909" s="9" t="s">
        <v>4026</v>
      </c>
      <c r="K909" s="9" t="s">
        <v>4027</v>
      </c>
      <c r="L909" s="9" t="s">
        <v>30</v>
      </c>
      <c r="M909" s="9" t="s">
        <v>31</v>
      </c>
      <c r="N909" s="9" t="s">
        <v>32</v>
      </c>
      <c r="O909" s="12" t="s">
        <v>33</v>
      </c>
      <c r="P909" s="12" t="s">
        <v>34</v>
      </c>
      <c r="Q909" s="9"/>
      <c r="R909" s="18"/>
      <c r="S909" s="18"/>
      <c r="T909" s="18"/>
      <c r="U909" s="18"/>
      <c r="V909" s="18"/>
      <c r="W909" s="15"/>
      <c r="X909" s="15"/>
    </row>
    <row r="910">
      <c r="A910" s="7">
        <v>909.0</v>
      </c>
      <c r="B910" s="8" t="s">
        <v>4028</v>
      </c>
      <c r="C910" s="9" t="s">
        <v>4029</v>
      </c>
      <c r="D910" s="10" t="str">
        <f>HYPERLINK("https://facebook.com/367089020688300_460720921325109", "367089020688300_460720921325109")</f>
        <v>367089020688300_460720921325109</v>
      </c>
      <c r="E910" s="11">
        <v>383.0</v>
      </c>
      <c r="F910" s="11">
        <v>4.0</v>
      </c>
      <c r="G910" s="11">
        <v>369.0</v>
      </c>
      <c r="H910" s="9" t="s">
        <v>26</v>
      </c>
      <c r="I910" s="9" t="s">
        <v>1308</v>
      </c>
      <c r="J910" s="9" t="s">
        <v>4030</v>
      </c>
      <c r="K910" s="9" t="s">
        <v>219</v>
      </c>
      <c r="L910" s="9" t="s">
        <v>30</v>
      </c>
      <c r="M910" s="9" t="s">
        <v>31</v>
      </c>
      <c r="N910" s="9" t="s">
        <v>32</v>
      </c>
      <c r="O910" s="12" t="s">
        <v>33</v>
      </c>
      <c r="P910" s="12" t="s">
        <v>34</v>
      </c>
      <c r="Q910" s="9"/>
      <c r="R910" s="18"/>
      <c r="S910" s="18"/>
      <c r="T910" s="18"/>
      <c r="U910" s="18"/>
      <c r="V910" s="18"/>
      <c r="W910" s="15"/>
      <c r="X910" s="15"/>
    </row>
    <row r="911">
      <c r="A911" s="7">
        <v>910.0</v>
      </c>
      <c r="B911" s="8" t="s">
        <v>4031</v>
      </c>
      <c r="C911" s="9" t="s">
        <v>4032</v>
      </c>
      <c r="D911" s="10" t="str">
        <f>HYPERLINK("https://facebook.com/367089020688300_515197129210821", "367089020688300_515197129210821")</f>
        <v>367089020688300_515197129210821</v>
      </c>
      <c r="E911" s="11">
        <v>641.0</v>
      </c>
      <c r="F911" s="11">
        <v>9.0</v>
      </c>
      <c r="G911" s="11">
        <v>380.0</v>
      </c>
      <c r="H911" s="9" t="s">
        <v>26</v>
      </c>
      <c r="I911" s="9" t="s">
        <v>4033</v>
      </c>
      <c r="J911" s="16" t="s">
        <v>4034</v>
      </c>
      <c r="K911" s="9"/>
      <c r="L911" s="9" t="s">
        <v>30</v>
      </c>
      <c r="M911" s="9" t="s">
        <v>31</v>
      </c>
      <c r="N911" s="9" t="s">
        <v>32</v>
      </c>
      <c r="O911" s="12" t="s">
        <v>33</v>
      </c>
      <c r="P911" s="12" t="s">
        <v>34</v>
      </c>
      <c r="Q911" s="9"/>
      <c r="R911" s="18"/>
      <c r="S911" s="18"/>
      <c r="T911" s="18"/>
      <c r="U911" s="18"/>
      <c r="V911" s="18"/>
      <c r="W911" s="15"/>
      <c r="X911" s="15"/>
    </row>
    <row r="912">
      <c r="A912" s="7">
        <v>911.0</v>
      </c>
      <c r="B912" s="8" t="s">
        <v>4035</v>
      </c>
      <c r="C912" s="9" t="s">
        <v>4036</v>
      </c>
      <c r="D912" s="10" t="str">
        <f>HYPERLINK("https://facebook.com/367089020688300_537407640323103", "367089020688300_537407640323103")</f>
        <v>367089020688300_537407640323103</v>
      </c>
      <c r="E912" s="11">
        <v>16.0</v>
      </c>
      <c r="F912" s="11">
        <v>0.0</v>
      </c>
      <c r="G912" s="11">
        <v>5.0</v>
      </c>
      <c r="H912" s="9" t="s">
        <v>26</v>
      </c>
      <c r="I912" s="9" t="s">
        <v>4037</v>
      </c>
      <c r="J912" s="16" t="s">
        <v>4038</v>
      </c>
      <c r="K912" s="9"/>
      <c r="L912" s="9" t="s">
        <v>30</v>
      </c>
      <c r="M912" s="9" t="s">
        <v>31</v>
      </c>
      <c r="N912" s="9" t="s">
        <v>32</v>
      </c>
      <c r="O912" s="12" t="s">
        <v>33</v>
      </c>
      <c r="P912" s="12" t="s">
        <v>34</v>
      </c>
      <c r="Q912" s="9"/>
      <c r="R912" s="18"/>
      <c r="S912" s="18"/>
      <c r="T912" s="18"/>
      <c r="U912" s="18"/>
      <c r="V912" s="18"/>
      <c r="W912" s="15"/>
      <c r="X912" s="15"/>
    </row>
    <row r="913">
      <c r="A913" s="7">
        <v>912.0</v>
      </c>
      <c r="B913" s="8" t="s">
        <v>4039</v>
      </c>
      <c r="C913" s="9" t="s">
        <v>4040</v>
      </c>
      <c r="D913" s="10" t="str">
        <f>HYPERLINK("https://facebook.com/367089020688300_550064765724057", "367089020688300_550064765724057")</f>
        <v>367089020688300_550064765724057</v>
      </c>
      <c r="E913" s="11">
        <v>67.0</v>
      </c>
      <c r="F913" s="11">
        <v>2.0</v>
      </c>
      <c r="G913" s="11">
        <v>71.0</v>
      </c>
      <c r="H913" s="9" t="s">
        <v>26</v>
      </c>
      <c r="I913" s="9" t="s">
        <v>4041</v>
      </c>
      <c r="J913" s="9" t="s">
        <v>4042</v>
      </c>
      <c r="K913" s="9" t="s">
        <v>249</v>
      </c>
      <c r="L913" s="9" t="s">
        <v>30</v>
      </c>
      <c r="M913" s="9" t="s">
        <v>31</v>
      </c>
      <c r="N913" s="9" t="s">
        <v>32</v>
      </c>
      <c r="O913" s="12" t="s">
        <v>33</v>
      </c>
      <c r="P913" s="12" t="s">
        <v>34</v>
      </c>
      <c r="Q913" s="9"/>
      <c r="R913" s="18"/>
      <c r="S913" s="18"/>
      <c r="T913" s="18"/>
      <c r="U913" s="18"/>
      <c r="V913" s="18"/>
      <c r="W913" s="15"/>
      <c r="X913" s="15"/>
    </row>
    <row r="914">
      <c r="A914" s="7">
        <v>913.0</v>
      </c>
      <c r="B914" s="8" t="s">
        <v>4043</v>
      </c>
      <c r="C914" s="9" t="s">
        <v>4044</v>
      </c>
      <c r="D914" s="10" t="str">
        <f>HYPERLINK("https://facebook.com/367089020688300_516877295709471", "367089020688300_516877295709471")</f>
        <v>367089020688300_516877295709471</v>
      </c>
      <c r="E914" s="11">
        <v>29.0</v>
      </c>
      <c r="F914" s="11">
        <v>2.0</v>
      </c>
      <c r="G914" s="11">
        <v>37.0</v>
      </c>
      <c r="H914" s="9" t="s">
        <v>26</v>
      </c>
      <c r="I914" s="9" t="s">
        <v>4045</v>
      </c>
      <c r="J914" s="16" t="s">
        <v>4046</v>
      </c>
      <c r="K914" s="9"/>
      <c r="L914" s="9" t="s">
        <v>30</v>
      </c>
      <c r="M914" s="9" t="s">
        <v>31</v>
      </c>
      <c r="N914" s="9" t="s">
        <v>32</v>
      </c>
      <c r="O914" s="12" t="s">
        <v>33</v>
      </c>
      <c r="P914" s="12" t="s">
        <v>34</v>
      </c>
      <c r="Q914" s="9"/>
      <c r="R914" s="18"/>
      <c r="S914" s="18"/>
      <c r="T914" s="18"/>
      <c r="U914" s="18"/>
      <c r="V914" s="18"/>
      <c r="W914" s="15"/>
      <c r="X914" s="15"/>
    </row>
    <row r="915">
      <c r="A915" s="7">
        <v>914.0</v>
      </c>
      <c r="B915" s="8" t="s">
        <v>4047</v>
      </c>
      <c r="C915" s="9" t="s">
        <v>4048</v>
      </c>
      <c r="D915" s="10" t="str">
        <f>HYPERLINK("https://facebook.com/367089020688300_540177550046112", "367089020688300_540177550046112")</f>
        <v>367089020688300_540177550046112</v>
      </c>
      <c r="E915" s="11">
        <v>35.0</v>
      </c>
      <c r="F915" s="11">
        <v>0.0</v>
      </c>
      <c r="G915" s="11">
        <v>55.0</v>
      </c>
      <c r="H915" s="9" t="s">
        <v>26</v>
      </c>
      <c r="I915" s="9" t="s">
        <v>4049</v>
      </c>
      <c r="J915" s="16" t="s">
        <v>4050</v>
      </c>
      <c r="K915" s="9"/>
      <c r="L915" s="9" t="s">
        <v>30</v>
      </c>
      <c r="M915" s="9" t="s">
        <v>31</v>
      </c>
      <c r="N915" s="9" t="s">
        <v>32</v>
      </c>
      <c r="O915" s="12" t="s">
        <v>33</v>
      </c>
      <c r="P915" s="12" t="s">
        <v>34</v>
      </c>
      <c r="Q915" s="9"/>
      <c r="R915" s="18"/>
      <c r="S915" s="18"/>
      <c r="T915" s="18"/>
      <c r="U915" s="18"/>
      <c r="V915" s="18"/>
      <c r="W915" s="15"/>
      <c r="X915" s="15"/>
    </row>
    <row r="916">
      <c r="A916" s="7">
        <v>915.0</v>
      </c>
      <c r="B916" s="8" t="s">
        <v>4051</v>
      </c>
      <c r="C916" s="9" t="s">
        <v>4052</v>
      </c>
      <c r="D916" s="10" t="str">
        <f>HYPERLINK("https://facebook.com/367089020688300_480371799360021", "367089020688300_480371799360021")</f>
        <v>367089020688300_480371799360021</v>
      </c>
      <c r="E916" s="11">
        <v>93.0</v>
      </c>
      <c r="F916" s="11">
        <v>0.0</v>
      </c>
      <c r="G916" s="11">
        <v>79.0</v>
      </c>
      <c r="H916" s="9" t="s">
        <v>26</v>
      </c>
      <c r="I916" s="9" t="s">
        <v>4053</v>
      </c>
      <c r="J916" s="9" t="s">
        <v>4054</v>
      </c>
      <c r="K916" s="9" t="s">
        <v>4055</v>
      </c>
      <c r="L916" s="9" t="s">
        <v>30</v>
      </c>
      <c r="M916" s="9" t="s">
        <v>31</v>
      </c>
      <c r="N916" s="9" t="s">
        <v>32</v>
      </c>
      <c r="O916" s="12" t="s">
        <v>33</v>
      </c>
      <c r="P916" s="12" t="s">
        <v>34</v>
      </c>
      <c r="Q916" s="9"/>
      <c r="R916" s="18"/>
      <c r="S916" s="18"/>
      <c r="T916" s="18"/>
      <c r="U916" s="18"/>
      <c r="V916" s="18"/>
      <c r="W916" s="15"/>
      <c r="X916" s="15"/>
    </row>
    <row r="917">
      <c r="A917" s="7">
        <v>916.0</v>
      </c>
      <c r="B917" s="8" t="s">
        <v>4056</v>
      </c>
      <c r="C917" s="9" t="s">
        <v>4057</v>
      </c>
      <c r="D917" s="10" t="str">
        <f>HYPERLINK("https://facebook.com/367089020688300_461854057878462", "367089020688300_461854057878462")</f>
        <v>367089020688300_461854057878462</v>
      </c>
      <c r="E917" s="11">
        <v>117.0</v>
      </c>
      <c r="F917" s="11">
        <v>0.0</v>
      </c>
      <c r="G917" s="11">
        <v>98.0</v>
      </c>
      <c r="H917" s="9" t="s">
        <v>26</v>
      </c>
      <c r="I917" s="9" t="s">
        <v>4058</v>
      </c>
      <c r="J917" s="9" t="s">
        <v>4059</v>
      </c>
      <c r="K917" s="9" t="s">
        <v>4060</v>
      </c>
      <c r="L917" s="9" t="s">
        <v>30</v>
      </c>
      <c r="M917" s="9" t="s">
        <v>31</v>
      </c>
      <c r="N917" s="9" t="s">
        <v>32</v>
      </c>
      <c r="O917" s="12" t="s">
        <v>33</v>
      </c>
      <c r="P917" s="12" t="s">
        <v>34</v>
      </c>
      <c r="Q917" s="9"/>
      <c r="R917" s="18"/>
      <c r="S917" s="18"/>
      <c r="T917" s="18"/>
      <c r="U917" s="18"/>
      <c r="V917" s="18"/>
      <c r="W917" s="15"/>
      <c r="X917" s="15"/>
    </row>
    <row r="918">
      <c r="A918" s="7">
        <v>917.0</v>
      </c>
      <c r="B918" s="8" t="s">
        <v>4061</v>
      </c>
      <c r="C918" s="9" t="s">
        <v>4062</v>
      </c>
      <c r="D918" s="10" t="str">
        <f>HYPERLINK("https://facebook.com/367089020688300_542350423162158", "367089020688300_542350423162158")</f>
        <v>367089020688300_542350423162158</v>
      </c>
      <c r="E918" s="11">
        <v>18.0</v>
      </c>
      <c r="F918" s="11">
        <v>0.0</v>
      </c>
      <c r="G918" s="11">
        <v>18.0</v>
      </c>
      <c r="H918" s="9" t="s">
        <v>26</v>
      </c>
      <c r="I918" s="9" t="s">
        <v>4063</v>
      </c>
      <c r="J918" s="16" t="s">
        <v>4064</v>
      </c>
      <c r="K918" s="9"/>
      <c r="L918" s="9" t="s">
        <v>30</v>
      </c>
      <c r="M918" s="9" t="s">
        <v>31</v>
      </c>
      <c r="N918" s="9" t="s">
        <v>32</v>
      </c>
      <c r="O918" s="12" t="s">
        <v>33</v>
      </c>
      <c r="P918" s="12" t="s">
        <v>34</v>
      </c>
      <c r="Q918" s="9"/>
      <c r="R918" s="18"/>
      <c r="S918" s="18"/>
      <c r="T918" s="18"/>
      <c r="U918" s="18"/>
      <c r="V918" s="18"/>
      <c r="W918" s="15"/>
      <c r="X918" s="15"/>
    </row>
    <row r="919">
      <c r="A919" s="7">
        <v>918.0</v>
      </c>
      <c r="B919" s="8" t="s">
        <v>4065</v>
      </c>
      <c r="C919" s="9" t="s">
        <v>4066</v>
      </c>
      <c r="D919" s="10" t="str">
        <f>HYPERLINK("https://facebook.com/367089020688300_496228587774342", "367089020688300_496228587774342")</f>
        <v>367089020688300_496228587774342</v>
      </c>
      <c r="E919" s="11">
        <v>781.0</v>
      </c>
      <c r="F919" s="11">
        <v>21.0</v>
      </c>
      <c r="G919" s="11">
        <v>724.0</v>
      </c>
      <c r="H919" s="9" t="s">
        <v>26</v>
      </c>
      <c r="I919" s="9" t="s">
        <v>4067</v>
      </c>
      <c r="J919" s="16" t="s">
        <v>4068</v>
      </c>
      <c r="K919" s="9"/>
      <c r="L919" s="9" t="s">
        <v>30</v>
      </c>
      <c r="M919" s="9" t="s">
        <v>31</v>
      </c>
      <c r="N919" s="9" t="s">
        <v>32</v>
      </c>
      <c r="O919" s="12" t="s">
        <v>33</v>
      </c>
      <c r="P919" s="12" t="s">
        <v>34</v>
      </c>
      <c r="Q919" s="9"/>
      <c r="R919" s="18"/>
      <c r="S919" s="18"/>
      <c r="T919" s="18"/>
      <c r="U919" s="18"/>
      <c r="V919" s="18"/>
      <c r="W919" s="15"/>
      <c r="X919" s="15"/>
    </row>
    <row r="920">
      <c r="A920" s="7">
        <v>919.0</v>
      </c>
      <c r="B920" s="8" t="s">
        <v>4069</v>
      </c>
      <c r="C920" s="9" t="s">
        <v>4070</v>
      </c>
      <c r="D920" s="10" t="str">
        <f>HYPERLINK("https://facebook.com/367089020688300_507996379930896", "367089020688300_507996379930896")</f>
        <v>367089020688300_507996379930896</v>
      </c>
      <c r="E920" s="11">
        <v>270.0</v>
      </c>
      <c r="F920" s="11">
        <v>10.0</v>
      </c>
      <c r="G920" s="11">
        <v>422.0</v>
      </c>
      <c r="H920" s="9" t="s">
        <v>26</v>
      </c>
      <c r="I920" s="9" t="s">
        <v>4071</v>
      </c>
      <c r="J920" s="16" t="s">
        <v>4072</v>
      </c>
      <c r="K920" s="9"/>
      <c r="L920" s="9" t="s">
        <v>30</v>
      </c>
      <c r="M920" s="9" t="s">
        <v>31</v>
      </c>
      <c r="N920" s="9" t="s">
        <v>32</v>
      </c>
      <c r="O920" s="12" t="s">
        <v>33</v>
      </c>
      <c r="P920" s="12" t="s">
        <v>34</v>
      </c>
      <c r="Q920" s="9"/>
      <c r="R920" s="18"/>
      <c r="S920" s="18"/>
      <c r="T920" s="18"/>
      <c r="U920" s="18"/>
      <c r="V920" s="18"/>
      <c r="W920" s="15"/>
      <c r="X920" s="15"/>
    </row>
    <row r="921">
      <c r="A921" s="7">
        <v>920.0</v>
      </c>
      <c r="B921" s="8" t="s">
        <v>4073</v>
      </c>
      <c r="C921" s="9" t="s">
        <v>4074</v>
      </c>
      <c r="D921" s="10" t="str">
        <f>HYPERLINK("https://facebook.com/367089020688300_556761925054341", "367089020688300_556761925054341")</f>
        <v>367089020688300_556761925054341</v>
      </c>
      <c r="E921" s="11">
        <v>150.0</v>
      </c>
      <c r="F921" s="11">
        <v>8.0</v>
      </c>
      <c r="G921" s="11">
        <v>123.0</v>
      </c>
      <c r="H921" s="9" t="s">
        <v>26</v>
      </c>
      <c r="I921" s="9" t="s">
        <v>4075</v>
      </c>
      <c r="J921" s="16" t="s">
        <v>4076</v>
      </c>
      <c r="K921" s="9"/>
      <c r="L921" s="9" t="s">
        <v>30</v>
      </c>
      <c r="M921" s="9" t="s">
        <v>31</v>
      </c>
      <c r="N921" s="9" t="s">
        <v>32</v>
      </c>
      <c r="O921" s="12" t="s">
        <v>33</v>
      </c>
      <c r="P921" s="12" t="s">
        <v>34</v>
      </c>
      <c r="Q921" s="9"/>
      <c r="R921" s="18"/>
      <c r="S921" s="18"/>
      <c r="T921" s="18"/>
      <c r="U921" s="18"/>
      <c r="V921" s="18"/>
      <c r="W921" s="15"/>
      <c r="X921" s="15"/>
    </row>
    <row r="922">
      <c r="A922" s="7">
        <v>921.0</v>
      </c>
      <c r="B922" s="8" t="s">
        <v>4077</v>
      </c>
      <c r="C922" s="9" t="s">
        <v>4078</v>
      </c>
      <c r="D922" s="10" t="str">
        <f>HYPERLINK("https://facebook.com/367089020688300_553355258728341", "367089020688300_553355258728341")</f>
        <v>367089020688300_553355258728341</v>
      </c>
      <c r="E922" s="11">
        <v>353.0</v>
      </c>
      <c r="F922" s="11">
        <v>13.0</v>
      </c>
      <c r="G922" s="11">
        <v>237.0</v>
      </c>
      <c r="H922" s="9" t="s">
        <v>26</v>
      </c>
      <c r="I922" s="9" t="s">
        <v>4079</v>
      </c>
      <c r="J922" s="9" t="s">
        <v>4080</v>
      </c>
      <c r="K922" s="9" t="s">
        <v>4081</v>
      </c>
      <c r="L922" s="9" t="s">
        <v>30</v>
      </c>
      <c r="M922" s="9" t="s">
        <v>31</v>
      </c>
      <c r="N922" s="9" t="s">
        <v>32</v>
      </c>
      <c r="O922" s="12" t="s">
        <v>33</v>
      </c>
      <c r="P922" s="12" t="s">
        <v>34</v>
      </c>
      <c r="Q922" s="9"/>
      <c r="R922" s="18"/>
      <c r="S922" s="18"/>
      <c r="T922" s="18"/>
      <c r="U922" s="18"/>
      <c r="V922" s="18"/>
      <c r="W922" s="15"/>
      <c r="X922" s="15"/>
    </row>
    <row r="923">
      <c r="A923" s="7">
        <v>922.0</v>
      </c>
      <c r="B923" s="8" t="s">
        <v>4082</v>
      </c>
      <c r="C923" s="9" t="s">
        <v>4083</v>
      </c>
      <c r="D923" s="10" t="str">
        <f>HYPERLINK("https://facebook.com/367089020688300_536390797091454", "367089020688300_536390797091454")</f>
        <v>367089020688300_536390797091454</v>
      </c>
      <c r="E923" s="11">
        <v>632.0</v>
      </c>
      <c r="F923" s="11">
        <v>8.0</v>
      </c>
      <c r="G923" s="11">
        <v>283.0</v>
      </c>
      <c r="H923" s="9" t="s">
        <v>26</v>
      </c>
      <c r="I923" s="9" t="s">
        <v>4084</v>
      </c>
      <c r="J923" s="16" t="s">
        <v>4085</v>
      </c>
      <c r="K923" s="9"/>
      <c r="L923" s="9" t="s">
        <v>30</v>
      </c>
      <c r="M923" s="9" t="s">
        <v>31</v>
      </c>
      <c r="N923" s="9" t="s">
        <v>32</v>
      </c>
      <c r="O923" s="12" t="s">
        <v>33</v>
      </c>
      <c r="P923" s="12" t="s">
        <v>34</v>
      </c>
      <c r="Q923" s="9"/>
      <c r="R923" s="18"/>
      <c r="S923" s="18"/>
      <c r="T923" s="18"/>
      <c r="U923" s="18"/>
      <c r="V923" s="18"/>
      <c r="W923" s="15"/>
      <c r="X923" s="15"/>
    </row>
    <row r="924">
      <c r="A924" s="7">
        <v>923.0</v>
      </c>
      <c r="B924" s="8" t="s">
        <v>4086</v>
      </c>
      <c r="C924" s="9" t="s">
        <v>4087</v>
      </c>
      <c r="D924" s="10" t="str">
        <f>HYPERLINK("https://facebook.com/367089020688300_535205373876663", "367089020688300_535205373876663")</f>
        <v>367089020688300_535205373876663</v>
      </c>
      <c r="E924" s="11">
        <v>65.0</v>
      </c>
      <c r="F924" s="11">
        <v>0.0</v>
      </c>
      <c r="G924" s="11">
        <v>56.0</v>
      </c>
      <c r="H924" s="9" t="s">
        <v>26</v>
      </c>
      <c r="I924" s="9" t="s">
        <v>4088</v>
      </c>
      <c r="J924" s="16" t="s">
        <v>4089</v>
      </c>
      <c r="K924" s="9"/>
      <c r="L924" s="9" t="s">
        <v>30</v>
      </c>
      <c r="M924" s="9" t="s">
        <v>31</v>
      </c>
      <c r="N924" s="9" t="s">
        <v>32</v>
      </c>
      <c r="O924" s="12" t="s">
        <v>33</v>
      </c>
      <c r="P924" s="12" t="s">
        <v>34</v>
      </c>
      <c r="Q924" s="9"/>
      <c r="R924" s="18"/>
      <c r="S924" s="18"/>
      <c r="T924" s="18"/>
      <c r="U924" s="18"/>
      <c r="V924" s="18"/>
      <c r="W924" s="15"/>
      <c r="X924" s="15"/>
    </row>
    <row r="925">
      <c r="A925" s="7">
        <v>924.0</v>
      </c>
      <c r="B925" s="8" t="s">
        <v>4090</v>
      </c>
      <c r="C925" s="9" t="s">
        <v>4091</v>
      </c>
      <c r="D925" s="10" t="str">
        <f>HYPERLINK("https://facebook.com/367089020688300_562883281108872", "367089020688300_562883281108872")</f>
        <v>367089020688300_562883281108872</v>
      </c>
      <c r="E925" s="11">
        <v>6.0</v>
      </c>
      <c r="F925" s="11">
        <v>0.0</v>
      </c>
      <c r="G925" s="11">
        <v>0.0</v>
      </c>
      <c r="H925" s="9" t="s">
        <v>26</v>
      </c>
      <c r="I925" s="9" t="s">
        <v>4092</v>
      </c>
      <c r="J925" s="16" t="s">
        <v>4093</v>
      </c>
      <c r="K925" s="9"/>
      <c r="L925" s="9" t="s">
        <v>30</v>
      </c>
      <c r="M925" s="9" t="s">
        <v>31</v>
      </c>
      <c r="N925" s="9" t="s">
        <v>32</v>
      </c>
      <c r="O925" s="12" t="s">
        <v>33</v>
      </c>
      <c r="P925" s="12" t="s">
        <v>34</v>
      </c>
      <c r="Q925" s="9"/>
      <c r="R925" s="18"/>
      <c r="S925" s="18"/>
      <c r="T925" s="18"/>
      <c r="U925" s="18"/>
      <c r="V925" s="18"/>
      <c r="W925" s="15"/>
      <c r="X925" s="15"/>
    </row>
    <row r="926">
      <c r="A926" s="7">
        <v>925.0</v>
      </c>
      <c r="B926" s="8" t="s">
        <v>4094</v>
      </c>
      <c r="C926" s="9" t="s">
        <v>4095</v>
      </c>
      <c r="D926" s="10" t="str">
        <f>HYPERLINK("https://facebook.com/367089020688300_471018763628658", "367089020688300_471018763628658")</f>
        <v>367089020688300_471018763628658</v>
      </c>
      <c r="E926" s="11">
        <v>316.0</v>
      </c>
      <c r="F926" s="11">
        <v>11.0</v>
      </c>
      <c r="G926" s="11">
        <v>324.0</v>
      </c>
      <c r="H926" s="9" t="s">
        <v>26</v>
      </c>
      <c r="I926" s="9" t="s">
        <v>4096</v>
      </c>
      <c r="J926" s="9" t="s">
        <v>4097</v>
      </c>
      <c r="K926" s="9" t="s">
        <v>4098</v>
      </c>
      <c r="L926" s="9" t="s">
        <v>30</v>
      </c>
      <c r="M926" s="9" t="s">
        <v>31</v>
      </c>
      <c r="N926" s="9" t="s">
        <v>32</v>
      </c>
      <c r="O926" s="12" t="s">
        <v>33</v>
      </c>
      <c r="P926" s="12" t="s">
        <v>34</v>
      </c>
      <c r="Q926" s="9"/>
      <c r="R926" s="18"/>
      <c r="S926" s="18"/>
      <c r="T926" s="18"/>
      <c r="U926" s="18"/>
      <c r="V926" s="18"/>
      <c r="W926" s="15"/>
      <c r="X926" s="15"/>
    </row>
    <row r="927">
      <c r="A927" s="7">
        <v>926.0</v>
      </c>
      <c r="B927" s="8" t="s">
        <v>4099</v>
      </c>
      <c r="C927" s="9" t="s">
        <v>4100</v>
      </c>
      <c r="D927" s="10" t="str">
        <f>HYPERLINK("https://facebook.com/367089020688300_538500983547102", "367089020688300_538500983547102")</f>
        <v>367089020688300_538500983547102</v>
      </c>
      <c r="E927" s="11">
        <v>44.0</v>
      </c>
      <c r="F927" s="11">
        <v>0.0</v>
      </c>
      <c r="G927" s="11">
        <v>53.0</v>
      </c>
      <c r="H927" s="9" t="s">
        <v>26</v>
      </c>
      <c r="I927" s="9" t="s">
        <v>4101</v>
      </c>
      <c r="J927" s="16" t="s">
        <v>4102</v>
      </c>
      <c r="K927" s="9"/>
      <c r="L927" s="9" t="s">
        <v>30</v>
      </c>
      <c r="M927" s="9" t="s">
        <v>31</v>
      </c>
      <c r="N927" s="9" t="s">
        <v>32</v>
      </c>
      <c r="O927" s="12" t="s">
        <v>33</v>
      </c>
      <c r="P927" s="12" t="s">
        <v>34</v>
      </c>
      <c r="Q927" s="9"/>
      <c r="R927" s="18"/>
      <c r="S927" s="18"/>
      <c r="T927" s="18"/>
      <c r="U927" s="18"/>
      <c r="V927" s="18"/>
      <c r="W927" s="15"/>
      <c r="X927" s="15"/>
    </row>
    <row r="928">
      <c r="A928" s="7">
        <v>927.0</v>
      </c>
      <c r="B928" s="8" t="s">
        <v>4103</v>
      </c>
      <c r="C928" s="9" t="s">
        <v>4104</v>
      </c>
      <c r="D928" s="10" t="str">
        <f>HYPERLINK("https://facebook.com/367089020688300_518200322243835", "367089020688300_518200322243835")</f>
        <v>367089020688300_518200322243835</v>
      </c>
      <c r="E928" s="11">
        <v>9.0</v>
      </c>
      <c r="F928" s="11">
        <v>0.0</v>
      </c>
      <c r="G928" s="11">
        <v>10.0</v>
      </c>
      <c r="H928" s="9" t="s">
        <v>26</v>
      </c>
      <c r="I928" s="9" t="s">
        <v>4105</v>
      </c>
      <c r="J928" s="16" t="s">
        <v>4106</v>
      </c>
      <c r="K928" s="9"/>
      <c r="L928" s="9" t="s">
        <v>30</v>
      </c>
      <c r="M928" s="9" t="s">
        <v>31</v>
      </c>
      <c r="N928" s="9" t="s">
        <v>32</v>
      </c>
      <c r="O928" s="12" t="s">
        <v>33</v>
      </c>
      <c r="P928" s="12" t="s">
        <v>34</v>
      </c>
      <c r="Q928" s="9"/>
      <c r="R928" s="18"/>
      <c r="S928" s="18"/>
      <c r="T928" s="18"/>
      <c r="U928" s="18"/>
      <c r="V928" s="18"/>
      <c r="W928" s="15"/>
      <c r="X928" s="15"/>
    </row>
    <row r="929">
      <c r="A929" s="7">
        <v>928.0</v>
      </c>
      <c r="B929" s="8" t="s">
        <v>4107</v>
      </c>
      <c r="C929" s="9" t="s">
        <v>4108</v>
      </c>
      <c r="D929" s="10" t="str">
        <f>HYPERLINK("https://facebook.com/367089020688300_494323107964890", "367089020688300_494323107964890")</f>
        <v>367089020688300_494323107964890</v>
      </c>
      <c r="E929" s="11">
        <v>230.0</v>
      </c>
      <c r="F929" s="11">
        <v>10.0</v>
      </c>
      <c r="G929" s="11">
        <v>209.0</v>
      </c>
      <c r="H929" s="9" t="s">
        <v>26</v>
      </c>
      <c r="I929" s="9" t="s">
        <v>4109</v>
      </c>
      <c r="J929" s="9" t="s">
        <v>4110</v>
      </c>
      <c r="K929" s="9" t="s">
        <v>4111</v>
      </c>
      <c r="L929" s="9" t="s">
        <v>30</v>
      </c>
      <c r="M929" s="9" t="s">
        <v>31</v>
      </c>
      <c r="N929" s="9" t="s">
        <v>32</v>
      </c>
      <c r="O929" s="12" t="s">
        <v>33</v>
      </c>
      <c r="P929" s="12" t="s">
        <v>34</v>
      </c>
      <c r="Q929" s="9"/>
      <c r="R929" s="18"/>
      <c r="S929" s="18"/>
      <c r="T929" s="18"/>
      <c r="U929" s="18"/>
      <c r="V929" s="18"/>
      <c r="W929" s="15"/>
      <c r="X929" s="15"/>
    </row>
    <row r="930">
      <c r="A930" s="7">
        <v>929.0</v>
      </c>
      <c r="B930" s="8" t="s">
        <v>4112</v>
      </c>
      <c r="C930" s="9" t="s">
        <v>4113</v>
      </c>
      <c r="D930" s="10" t="str">
        <f>HYPERLINK("https://facebook.com/367089020688300_406703036726898", "367089020688300_406703036726898")</f>
        <v>367089020688300_406703036726898</v>
      </c>
      <c r="E930" s="11">
        <v>229.0</v>
      </c>
      <c r="F930" s="11">
        <v>9.0</v>
      </c>
      <c r="G930" s="11">
        <v>461.0</v>
      </c>
      <c r="H930" s="9" t="s">
        <v>26</v>
      </c>
      <c r="I930" s="9" t="s">
        <v>4114</v>
      </c>
      <c r="J930" s="9" t="s">
        <v>4115</v>
      </c>
      <c r="K930" s="9" t="s">
        <v>471</v>
      </c>
      <c r="L930" s="9" t="s">
        <v>30</v>
      </c>
      <c r="M930" s="9" t="s">
        <v>31</v>
      </c>
      <c r="N930" s="9" t="s">
        <v>32</v>
      </c>
      <c r="O930" s="12" t="s">
        <v>33</v>
      </c>
      <c r="P930" s="12" t="s">
        <v>34</v>
      </c>
      <c r="Q930" s="9"/>
      <c r="R930" s="18"/>
      <c r="S930" s="18"/>
      <c r="T930" s="18"/>
      <c r="U930" s="18"/>
      <c r="V930" s="18"/>
      <c r="W930" s="15"/>
      <c r="X930" s="15"/>
    </row>
    <row r="931">
      <c r="A931" s="7">
        <v>930.0</v>
      </c>
      <c r="B931" s="8" t="s">
        <v>4116</v>
      </c>
      <c r="C931" s="9" t="s">
        <v>4117</v>
      </c>
      <c r="D931" s="10" t="str">
        <f>HYPERLINK("https://facebook.com/367089020688300_541787683218432", "367089020688300_541787683218432")</f>
        <v>367089020688300_541787683218432</v>
      </c>
      <c r="E931" s="11">
        <v>443.0</v>
      </c>
      <c r="F931" s="11">
        <v>43.0</v>
      </c>
      <c r="G931" s="11">
        <v>232.0</v>
      </c>
      <c r="H931" s="9" t="s">
        <v>26</v>
      </c>
      <c r="I931" s="9" t="s">
        <v>4118</v>
      </c>
      <c r="J931" s="9" t="s">
        <v>4119</v>
      </c>
      <c r="K931" s="9" t="s">
        <v>4120</v>
      </c>
      <c r="L931" s="9" t="s">
        <v>30</v>
      </c>
      <c r="M931" s="9" t="s">
        <v>31</v>
      </c>
      <c r="N931" s="9" t="s">
        <v>32</v>
      </c>
      <c r="O931" s="12" t="s">
        <v>33</v>
      </c>
      <c r="P931" s="12" t="s">
        <v>34</v>
      </c>
      <c r="Q931" s="9"/>
      <c r="R931" s="18"/>
      <c r="S931" s="18"/>
      <c r="T931" s="18"/>
      <c r="U931" s="18"/>
      <c r="V931" s="18"/>
      <c r="W931" s="15"/>
      <c r="X931" s="15"/>
    </row>
    <row r="932">
      <c r="A932" s="7">
        <v>931.0</v>
      </c>
      <c r="B932" s="8" t="s">
        <v>4121</v>
      </c>
      <c r="C932" s="9" t="s">
        <v>4122</v>
      </c>
      <c r="D932" s="10" t="str">
        <f>HYPERLINK("https://facebook.com/367089020688300_486319865431881", "367089020688300_486319865431881")</f>
        <v>367089020688300_486319865431881</v>
      </c>
      <c r="E932" s="11">
        <v>13.0</v>
      </c>
      <c r="F932" s="11">
        <v>0.0</v>
      </c>
      <c r="G932" s="11">
        <v>20.0</v>
      </c>
      <c r="H932" s="9" t="s">
        <v>26</v>
      </c>
      <c r="I932" s="9" t="s">
        <v>4123</v>
      </c>
      <c r="J932" s="9" t="s">
        <v>4124</v>
      </c>
      <c r="K932" s="9" t="s">
        <v>4125</v>
      </c>
      <c r="L932" s="9" t="s">
        <v>30</v>
      </c>
      <c r="M932" s="9" t="s">
        <v>31</v>
      </c>
      <c r="N932" s="9" t="s">
        <v>32</v>
      </c>
      <c r="O932" s="12" t="s">
        <v>33</v>
      </c>
      <c r="P932" s="12" t="s">
        <v>34</v>
      </c>
      <c r="Q932" s="9"/>
      <c r="R932" s="18"/>
      <c r="S932" s="18"/>
      <c r="T932" s="18"/>
      <c r="U932" s="18"/>
      <c r="V932" s="18"/>
      <c r="W932" s="15"/>
      <c r="X932" s="15"/>
    </row>
    <row r="933">
      <c r="A933" s="7">
        <v>932.0</v>
      </c>
      <c r="B933" s="8" t="s">
        <v>4126</v>
      </c>
      <c r="C933" s="9" t="s">
        <v>4127</v>
      </c>
      <c r="D933" s="10" t="str">
        <f>HYPERLINK("https://facebook.com/367089020688300_554239305306603", "367089020688300_554239305306603")</f>
        <v>367089020688300_554239305306603</v>
      </c>
      <c r="E933" s="11">
        <v>1111.0</v>
      </c>
      <c r="F933" s="11">
        <v>28.0</v>
      </c>
      <c r="G933" s="11">
        <v>573.0</v>
      </c>
      <c r="H933" s="9" t="s">
        <v>26</v>
      </c>
      <c r="I933" s="9" t="s">
        <v>4128</v>
      </c>
      <c r="J933" s="16" t="s">
        <v>4129</v>
      </c>
      <c r="K933" s="9"/>
      <c r="L933" s="9" t="s">
        <v>30</v>
      </c>
      <c r="M933" s="9" t="s">
        <v>31</v>
      </c>
      <c r="N933" s="9" t="s">
        <v>32</v>
      </c>
      <c r="O933" s="12" t="s">
        <v>33</v>
      </c>
      <c r="P933" s="12" t="s">
        <v>34</v>
      </c>
      <c r="Q933" s="9"/>
      <c r="R933" s="18"/>
      <c r="S933" s="18"/>
      <c r="T933" s="18"/>
      <c r="U933" s="18"/>
      <c r="V933" s="18"/>
      <c r="W933" s="15"/>
      <c r="X933" s="15"/>
    </row>
    <row r="934">
      <c r="A934" s="7">
        <v>933.0</v>
      </c>
      <c r="B934" s="8" t="s">
        <v>4130</v>
      </c>
      <c r="C934" s="9" t="s">
        <v>4131</v>
      </c>
      <c r="D934" s="10" t="str">
        <f>HYPERLINK("https://facebook.com/367089020688300_541892956541238", "367089020688300_541892956541238")</f>
        <v>367089020688300_541892956541238</v>
      </c>
      <c r="E934" s="11">
        <v>177.0</v>
      </c>
      <c r="F934" s="11">
        <v>9.0</v>
      </c>
      <c r="G934" s="11">
        <v>346.0</v>
      </c>
      <c r="H934" s="9" t="s">
        <v>26</v>
      </c>
      <c r="I934" s="9" t="s">
        <v>4132</v>
      </c>
      <c r="J934" s="9" t="s">
        <v>4133</v>
      </c>
      <c r="K934" s="9" t="s">
        <v>4134</v>
      </c>
      <c r="L934" s="9" t="s">
        <v>30</v>
      </c>
      <c r="M934" s="9" t="s">
        <v>31</v>
      </c>
      <c r="N934" s="9" t="s">
        <v>32</v>
      </c>
      <c r="O934" s="12" t="s">
        <v>33</v>
      </c>
      <c r="P934" s="12" t="s">
        <v>34</v>
      </c>
      <c r="Q934" s="9"/>
      <c r="R934" s="18"/>
      <c r="S934" s="18"/>
      <c r="T934" s="18"/>
      <c r="U934" s="18"/>
      <c r="V934" s="18"/>
      <c r="W934" s="15"/>
      <c r="X934" s="15"/>
    </row>
    <row r="935">
      <c r="A935" s="7">
        <v>934.0</v>
      </c>
      <c r="B935" s="8" t="s">
        <v>4135</v>
      </c>
      <c r="C935" s="9" t="s">
        <v>4136</v>
      </c>
      <c r="D935" s="10" t="str">
        <f>HYPERLINK("https://facebook.com/367089020688300_511696306227570", "367089020688300_511696306227570")</f>
        <v>367089020688300_511696306227570</v>
      </c>
      <c r="E935" s="11">
        <v>1556.0</v>
      </c>
      <c r="F935" s="11">
        <v>110.0</v>
      </c>
      <c r="G935" s="11">
        <v>1131.0</v>
      </c>
      <c r="H935" s="9" t="s">
        <v>26</v>
      </c>
      <c r="I935" s="9" t="s">
        <v>4137</v>
      </c>
      <c r="J935" s="16" t="s">
        <v>4138</v>
      </c>
      <c r="K935" s="9"/>
      <c r="L935" s="9" t="s">
        <v>30</v>
      </c>
      <c r="M935" s="9" t="s">
        <v>31</v>
      </c>
      <c r="N935" s="9" t="s">
        <v>32</v>
      </c>
      <c r="O935" s="12" t="s">
        <v>33</v>
      </c>
      <c r="P935" s="12" t="s">
        <v>34</v>
      </c>
      <c r="Q935" s="9"/>
      <c r="R935" s="18"/>
      <c r="S935" s="18"/>
      <c r="T935" s="18"/>
      <c r="U935" s="18"/>
      <c r="V935" s="18"/>
      <c r="W935" s="15"/>
      <c r="X935" s="15"/>
    </row>
    <row r="936">
      <c r="A936" s="7">
        <v>935.0</v>
      </c>
      <c r="B936" s="8" t="s">
        <v>4139</v>
      </c>
      <c r="C936" s="9" t="s">
        <v>4140</v>
      </c>
      <c r="D936" s="10" t="str">
        <f>HYPERLINK("https://facebook.com/367089020688300_484479642282570", "367089020688300_484479642282570")</f>
        <v>367089020688300_484479642282570</v>
      </c>
      <c r="E936" s="11">
        <v>650.0</v>
      </c>
      <c r="F936" s="11">
        <v>12.0</v>
      </c>
      <c r="G936" s="11">
        <v>345.0</v>
      </c>
      <c r="H936" s="9" t="s">
        <v>26</v>
      </c>
      <c r="I936" s="9" t="s">
        <v>1173</v>
      </c>
      <c r="J936" s="9" t="s">
        <v>4141</v>
      </c>
      <c r="K936" s="9" t="s">
        <v>4142</v>
      </c>
      <c r="L936" s="9" t="s">
        <v>30</v>
      </c>
      <c r="M936" s="9" t="s">
        <v>31</v>
      </c>
      <c r="N936" s="9" t="s">
        <v>32</v>
      </c>
      <c r="O936" s="12" t="s">
        <v>33</v>
      </c>
      <c r="P936" s="12" t="s">
        <v>34</v>
      </c>
      <c r="Q936" s="9"/>
      <c r="R936" s="18"/>
      <c r="S936" s="18"/>
      <c r="T936" s="18"/>
      <c r="U936" s="18"/>
      <c r="V936" s="18"/>
      <c r="W936" s="15"/>
      <c r="X936" s="15"/>
    </row>
    <row r="937">
      <c r="A937" s="7">
        <v>936.0</v>
      </c>
      <c r="B937" s="8" t="s">
        <v>4143</v>
      </c>
      <c r="C937" s="9" t="s">
        <v>4144</v>
      </c>
      <c r="D937" s="10" t="str">
        <f>HYPERLINK("https://facebook.com/367089020688300_460655701331631", "367089020688300_460655701331631")</f>
        <v>367089020688300_460655701331631</v>
      </c>
      <c r="E937" s="11">
        <v>580.0</v>
      </c>
      <c r="F937" s="11">
        <v>7.0</v>
      </c>
      <c r="G937" s="11">
        <v>504.0</v>
      </c>
      <c r="H937" s="9" t="s">
        <v>26</v>
      </c>
      <c r="I937" s="9" t="s">
        <v>4145</v>
      </c>
      <c r="J937" s="9" t="s">
        <v>4146</v>
      </c>
      <c r="K937" s="9" t="s">
        <v>4147</v>
      </c>
      <c r="L937" s="9" t="s">
        <v>30</v>
      </c>
      <c r="M937" s="9" t="s">
        <v>31</v>
      </c>
      <c r="N937" s="9" t="s">
        <v>32</v>
      </c>
      <c r="O937" s="12" t="s">
        <v>33</v>
      </c>
      <c r="P937" s="12" t="s">
        <v>34</v>
      </c>
      <c r="Q937" s="9"/>
      <c r="R937" s="18"/>
      <c r="S937" s="18"/>
      <c r="T937" s="18"/>
      <c r="U937" s="18"/>
      <c r="V937" s="18"/>
      <c r="W937" s="15"/>
      <c r="X937" s="15"/>
    </row>
    <row r="938">
      <c r="A938" s="7">
        <v>937.0</v>
      </c>
      <c r="B938" s="8" t="s">
        <v>4148</v>
      </c>
      <c r="C938" s="9" t="s">
        <v>4149</v>
      </c>
      <c r="D938" s="10" t="str">
        <f>HYPERLINK("https://facebook.com/367089020688300_375710736492795", "367089020688300_375710736492795")</f>
        <v>367089020688300_375710736492795</v>
      </c>
      <c r="E938" s="11">
        <v>1616.0</v>
      </c>
      <c r="F938" s="11">
        <v>64.0</v>
      </c>
      <c r="G938" s="11">
        <v>510.0</v>
      </c>
      <c r="H938" s="9" t="s">
        <v>26</v>
      </c>
      <c r="I938" s="9" t="s">
        <v>4150</v>
      </c>
      <c r="J938" s="9" t="s">
        <v>4151</v>
      </c>
      <c r="K938" s="9" t="s">
        <v>4152</v>
      </c>
      <c r="L938" s="9" t="s">
        <v>30</v>
      </c>
      <c r="M938" s="9" t="s">
        <v>31</v>
      </c>
      <c r="N938" s="9" t="s">
        <v>32</v>
      </c>
      <c r="O938" s="12" t="s">
        <v>33</v>
      </c>
      <c r="P938" s="12" t="s">
        <v>34</v>
      </c>
      <c r="Q938" s="9"/>
      <c r="R938" s="18"/>
      <c r="S938" s="18"/>
      <c r="T938" s="18"/>
      <c r="U938" s="18"/>
      <c r="V938" s="18"/>
      <c r="W938" s="15"/>
      <c r="X938" s="15"/>
    </row>
    <row r="939">
      <c r="A939" s="7">
        <v>938.0</v>
      </c>
      <c r="B939" s="8" t="s">
        <v>4153</v>
      </c>
      <c r="C939" s="9" t="s">
        <v>4154</v>
      </c>
      <c r="D939" s="10" t="str">
        <f>HYPERLINK("https://facebook.com/367089020688300_488860208511180", "367089020688300_488860208511180")</f>
        <v>367089020688300_488860208511180</v>
      </c>
      <c r="E939" s="11">
        <v>250.0</v>
      </c>
      <c r="F939" s="11">
        <v>5.0</v>
      </c>
      <c r="G939" s="11">
        <v>398.0</v>
      </c>
      <c r="H939" s="9" t="s">
        <v>26</v>
      </c>
      <c r="I939" s="9" t="s">
        <v>311</v>
      </c>
      <c r="J939" s="9" t="s">
        <v>312</v>
      </c>
      <c r="K939" s="9" t="s">
        <v>4155</v>
      </c>
      <c r="L939" s="9" t="s">
        <v>30</v>
      </c>
      <c r="M939" s="9" t="s">
        <v>31</v>
      </c>
      <c r="N939" s="9" t="s">
        <v>32</v>
      </c>
      <c r="O939" s="12" t="s">
        <v>33</v>
      </c>
      <c r="P939" s="12" t="s">
        <v>34</v>
      </c>
      <c r="Q939" s="9"/>
      <c r="R939" s="18"/>
      <c r="S939" s="18"/>
      <c r="T939" s="18"/>
      <c r="U939" s="18"/>
      <c r="V939" s="18"/>
      <c r="W939" s="15"/>
      <c r="X939" s="15"/>
    </row>
    <row r="940">
      <c r="A940" s="7">
        <v>939.0</v>
      </c>
      <c r="B940" s="8" t="s">
        <v>4156</v>
      </c>
      <c r="C940" s="9" t="s">
        <v>4157</v>
      </c>
      <c r="D940" s="10" t="str">
        <f>HYPERLINK("https://facebook.com/367089020688300_449280309135837", "367089020688300_449280309135837")</f>
        <v>367089020688300_449280309135837</v>
      </c>
      <c r="E940" s="11">
        <v>203.0</v>
      </c>
      <c r="F940" s="11">
        <v>2.0</v>
      </c>
      <c r="G940" s="11">
        <v>343.0</v>
      </c>
      <c r="H940" s="9" t="s">
        <v>26</v>
      </c>
      <c r="I940" s="9" t="s">
        <v>1710</v>
      </c>
      <c r="J940" s="9" t="s">
        <v>4158</v>
      </c>
      <c r="K940" s="9" t="s">
        <v>249</v>
      </c>
      <c r="L940" s="9" t="s">
        <v>30</v>
      </c>
      <c r="M940" s="9" t="s">
        <v>31</v>
      </c>
      <c r="N940" s="9" t="s">
        <v>32</v>
      </c>
      <c r="O940" s="12" t="s">
        <v>33</v>
      </c>
      <c r="P940" s="12" t="s">
        <v>34</v>
      </c>
      <c r="Q940" s="9"/>
      <c r="R940" s="18"/>
      <c r="S940" s="18"/>
      <c r="T940" s="18"/>
      <c r="U940" s="18"/>
      <c r="V940" s="18"/>
      <c r="W940" s="15"/>
      <c r="X940" s="15"/>
    </row>
    <row r="941">
      <c r="A941" s="7">
        <v>940.0</v>
      </c>
      <c r="B941" s="8" t="s">
        <v>4159</v>
      </c>
      <c r="C941" s="9" t="s">
        <v>4160</v>
      </c>
      <c r="D941" s="10" t="str">
        <f>HYPERLINK("https://facebook.com/367089020688300_538605543536646", "367089020688300_538605543536646")</f>
        <v>367089020688300_538605543536646</v>
      </c>
      <c r="E941" s="11">
        <v>4.0</v>
      </c>
      <c r="F941" s="11">
        <v>0.0</v>
      </c>
      <c r="G941" s="11">
        <v>0.0</v>
      </c>
      <c r="H941" s="9" t="s">
        <v>26</v>
      </c>
      <c r="I941" s="9" t="s">
        <v>4161</v>
      </c>
      <c r="J941" s="16" t="s">
        <v>4162</v>
      </c>
      <c r="K941" s="9"/>
      <c r="L941" s="9" t="s">
        <v>30</v>
      </c>
      <c r="M941" s="9" t="s">
        <v>31</v>
      </c>
      <c r="N941" s="9" t="s">
        <v>32</v>
      </c>
      <c r="O941" s="12" t="s">
        <v>33</v>
      </c>
      <c r="P941" s="12" t="s">
        <v>34</v>
      </c>
      <c r="Q941" s="9"/>
      <c r="R941" s="18"/>
      <c r="S941" s="18"/>
      <c r="T941" s="18"/>
      <c r="U941" s="18"/>
      <c r="V941" s="18"/>
      <c r="W941" s="15"/>
      <c r="X941" s="15"/>
    </row>
    <row r="942">
      <c r="A942" s="7">
        <v>941.0</v>
      </c>
      <c r="B942" s="8" t="s">
        <v>4163</v>
      </c>
      <c r="C942" s="9" t="s">
        <v>4164</v>
      </c>
      <c r="D942" s="10" t="str">
        <f>HYPERLINK("https://facebook.com/367089020688300_542452296485304", "367089020688300_542452296485304")</f>
        <v>367089020688300_542452296485304</v>
      </c>
      <c r="E942" s="11">
        <v>604.0</v>
      </c>
      <c r="F942" s="11">
        <v>1.0</v>
      </c>
      <c r="G942" s="11">
        <v>203.0</v>
      </c>
      <c r="H942" s="9" t="s">
        <v>26</v>
      </c>
      <c r="I942" s="9" t="s">
        <v>4165</v>
      </c>
      <c r="J942" s="9" t="s">
        <v>4166</v>
      </c>
      <c r="K942" s="9" t="s">
        <v>249</v>
      </c>
      <c r="L942" s="9" t="s">
        <v>30</v>
      </c>
      <c r="M942" s="9" t="s">
        <v>31</v>
      </c>
      <c r="N942" s="9" t="s">
        <v>32</v>
      </c>
      <c r="O942" s="12" t="s">
        <v>33</v>
      </c>
      <c r="P942" s="12" t="s">
        <v>34</v>
      </c>
      <c r="Q942" s="9"/>
      <c r="R942" s="18"/>
      <c r="S942" s="18"/>
      <c r="T942" s="18"/>
      <c r="U942" s="18"/>
      <c r="V942" s="18"/>
      <c r="W942" s="15"/>
      <c r="X942" s="15"/>
    </row>
    <row r="943">
      <c r="A943" s="7">
        <v>942.0</v>
      </c>
      <c r="B943" s="8" t="s">
        <v>4167</v>
      </c>
      <c r="C943" s="9" t="s">
        <v>4168</v>
      </c>
      <c r="D943" s="10" t="str">
        <f>HYPERLINK("https://facebook.com/367089020688300_535185290545338", "367089020688300_535185290545338")</f>
        <v>367089020688300_535185290545338</v>
      </c>
      <c r="E943" s="11">
        <v>507.0</v>
      </c>
      <c r="F943" s="11">
        <v>2.0</v>
      </c>
      <c r="G943" s="11">
        <v>233.0</v>
      </c>
      <c r="H943" s="9" t="s">
        <v>26</v>
      </c>
      <c r="I943" s="9" t="s">
        <v>4169</v>
      </c>
      <c r="J943" s="9" t="s">
        <v>4170</v>
      </c>
      <c r="K943" s="9" t="s">
        <v>4171</v>
      </c>
      <c r="L943" s="9" t="s">
        <v>30</v>
      </c>
      <c r="M943" s="9" t="s">
        <v>31</v>
      </c>
      <c r="N943" s="9" t="s">
        <v>32</v>
      </c>
      <c r="O943" s="12" t="s">
        <v>33</v>
      </c>
      <c r="P943" s="12" t="s">
        <v>34</v>
      </c>
      <c r="Q943" s="9"/>
      <c r="R943" s="18"/>
      <c r="S943" s="18"/>
      <c r="T943" s="18"/>
      <c r="U943" s="18"/>
      <c r="V943" s="18"/>
      <c r="W943" s="15"/>
      <c r="X943" s="15"/>
    </row>
    <row r="944">
      <c r="A944" s="7">
        <v>943.0</v>
      </c>
      <c r="B944" s="8" t="s">
        <v>4172</v>
      </c>
      <c r="C944" s="9" t="s">
        <v>4173</v>
      </c>
      <c r="D944" s="10" t="str">
        <f>HYPERLINK("https://facebook.com/367089020688300_402304977166704", "367089020688300_402304977166704")</f>
        <v>367089020688300_402304977166704</v>
      </c>
      <c r="E944" s="11">
        <v>404.0</v>
      </c>
      <c r="F944" s="11">
        <v>13.0</v>
      </c>
      <c r="G944" s="11">
        <v>453.0</v>
      </c>
      <c r="H944" s="9" t="s">
        <v>26</v>
      </c>
      <c r="I944" s="9" t="s">
        <v>4174</v>
      </c>
      <c r="J944" s="9" t="s">
        <v>4175</v>
      </c>
      <c r="K944" s="9" t="s">
        <v>219</v>
      </c>
      <c r="L944" s="9" t="s">
        <v>30</v>
      </c>
      <c r="M944" s="9" t="s">
        <v>31</v>
      </c>
      <c r="N944" s="9" t="s">
        <v>32</v>
      </c>
      <c r="O944" s="12" t="s">
        <v>33</v>
      </c>
      <c r="P944" s="12" t="s">
        <v>34</v>
      </c>
      <c r="Q944" s="9"/>
      <c r="R944" s="18"/>
      <c r="S944" s="18"/>
      <c r="T944" s="18"/>
      <c r="U944" s="18"/>
      <c r="V944" s="18"/>
      <c r="W944" s="15"/>
      <c r="X944" s="15"/>
    </row>
    <row r="945">
      <c r="A945" s="7">
        <v>944.0</v>
      </c>
      <c r="B945" s="8" t="s">
        <v>4176</v>
      </c>
      <c r="C945" s="9" t="s">
        <v>4177</v>
      </c>
      <c r="D945" s="10" t="str">
        <f>HYPERLINK("https://facebook.com/367089020688300_543805346349999", "367089020688300_543805346349999")</f>
        <v>367089020688300_543805346349999</v>
      </c>
      <c r="E945" s="11">
        <v>101.0</v>
      </c>
      <c r="F945" s="11">
        <v>2.0</v>
      </c>
      <c r="G945" s="11">
        <v>52.0</v>
      </c>
      <c r="H945" s="9" t="s">
        <v>26</v>
      </c>
      <c r="I945" s="9" t="s">
        <v>4178</v>
      </c>
      <c r="J945" s="9" t="s">
        <v>4179</v>
      </c>
      <c r="K945" s="9" t="s">
        <v>219</v>
      </c>
      <c r="L945" s="9" t="s">
        <v>30</v>
      </c>
      <c r="M945" s="9" t="s">
        <v>31</v>
      </c>
      <c r="N945" s="9" t="s">
        <v>32</v>
      </c>
      <c r="O945" s="12" t="s">
        <v>33</v>
      </c>
      <c r="P945" s="12" t="s">
        <v>34</v>
      </c>
      <c r="Q945" s="9"/>
      <c r="R945" s="18"/>
      <c r="S945" s="18"/>
      <c r="T945" s="18"/>
      <c r="U945" s="18"/>
      <c r="V945" s="18"/>
      <c r="W945" s="15"/>
      <c r="X945" s="15"/>
    </row>
    <row r="946">
      <c r="A946" s="7">
        <v>945.0</v>
      </c>
      <c r="B946" s="8" t="s">
        <v>4180</v>
      </c>
      <c r="C946" s="9" t="s">
        <v>4181</v>
      </c>
      <c r="D946" s="10" t="str">
        <f>HYPERLINK("https://facebook.com/367089020688300_526454771418390", "367089020688300_526454771418390")</f>
        <v>367089020688300_526454771418390</v>
      </c>
      <c r="E946" s="11">
        <v>5.0</v>
      </c>
      <c r="F946" s="11">
        <v>0.0</v>
      </c>
      <c r="G946" s="11">
        <v>10.0</v>
      </c>
      <c r="H946" s="9" t="s">
        <v>26</v>
      </c>
      <c r="I946" s="9" t="s">
        <v>4182</v>
      </c>
      <c r="J946" s="9" t="s">
        <v>4183</v>
      </c>
      <c r="K946" s="9" t="s">
        <v>214</v>
      </c>
      <c r="L946" s="9" t="s">
        <v>30</v>
      </c>
      <c r="M946" s="9" t="s">
        <v>31</v>
      </c>
      <c r="N946" s="9" t="s">
        <v>32</v>
      </c>
      <c r="O946" s="12" t="s">
        <v>33</v>
      </c>
      <c r="P946" s="12" t="s">
        <v>34</v>
      </c>
      <c r="Q946" s="9"/>
      <c r="R946" s="18"/>
      <c r="S946" s="18"/>
      <c r="T946" s="18"/>
      <c r="U946" s="18"/>
      <c r="V946" s="18"/>
      <c r="W946" s="15"/>
      <c r="X946" s="15"/>
    </row>
    <row r="947">
      <c r="A947" s="7">
        <v>946.0</v>
      </c>
      <c r="B947" s="8" t="s">
        <v>4184</v>
      </c>
      <c r="C947" s="9" t="s">
        <v>4185</v>
      </c>
      <c r="D947" s="10" t="str">
        <f>HYPERLINK("https://facebook.com/367089020688300_559704778093389", "367089020688300_559704778093389")</f>
        <v>367089020688300_559704778093389</v>
      </c>
      <c r="E947" s="11">
        <v>626.0</v>
      </c>
      <c r="F947" s="11">
        <v>28.0</v>
      </c>
      <c r="G947" s="11">
        <v>764.0</v>
      </c>
      <c r="H947" s="9" t="s">
        <v>26</v>
      </c>
      <c r="I947" s="9" t="s">
        <v>4186</v>
      </c>
      <c r="J947" s="9" t="s">
        <v>4187</v>
      </c>
      <c r="K947" s="9" t="s">
        <v>4188</v>
      </c>
      <c r="L947" s="9" t="s">
        <v>30</v>
      </c>
      <c r="M947" s="9" t="s">
        <v>31</v>
      </c>
      <c r="N947" s="9" t="s">
        <v>32</v>
      </c>
      <c r="O947" s="12" t="s">
        <v>33</v>
      </c>
      <c r="P947" s="12" t="s">
        <v>34</v>
      </c>
      <c r="Q947" s="9"/>
      <c r="R947" s="18"/>
      <c r="S947" s="18"/>
      <c r="T947" s="18"/>
      <c r="U947" s="18"/>
      <c r="V947" s="18"/>
      <c r="W947" s="15"/>
      <c r="X947" s="15"/>
    </row>
    <row r="948">
      <c r="A948" s="7">
        <v>947.0</v>
      </c>
      <c r="B948" s="8" t="s">
        <v>4189</v>
      </c>
      <c r="C948" s="9" t="s">
        <v>4190</v>
      </c>
      <c r="D948" s="10" t="str">
        <f>HYPERLINK("https://facebook.com/367089020688300_536404860423381", "367089020688300_536404860423381")</f>
        <v>367089020688300_536404860423381</v>
      </c>
      <c r="E948" s="11">
        <v>6.0</v>
      </c>
      <c r="F948" s="11">
        <v>0.0</v>
      </c>
      <c r="G948" s="11">
        <v>22.0</v>
      </c>
      <c r="H948" s="9" t="s">
        <v>26</v>
      </c>
      <c r="I948" s="9" t="s">
        <v>1760</v>
      </c>
      <c r="J948" s="9" t="s">
        <v>2782</v>
      </c>
      <c r="K948" s="9" t="s">
        <v>1575</v>
      </c>
      <c r="L948" s="9" t="s">
        <v>30</v>
      </c>
      <c r="M948" s="9" t="s">
        <v>31</v>
      </c>
      <c r="N948" s="9" t="s">
        <v>32</v>
      </c>
      <c r="O948" s="12" t="s">
        <v>33</v>
      </c>
      <c r="P948" s="12" t="s">
        <v>34</v>
      </c>
      <c r="Q948" s="9"/>
      <c r="R948" s="18"/>
      <c r="S948" s="18"/>
      <c r="T948" s="18"/>
      <c r="U948" s="18"/>
      <c r="V948" s="18"/>
      <c r="W948" s="15"/>
      <c r="X948" s="15"/>
    </row>
    <row r="949">
      <c r="A949" s="7">
        <v>948.0</v>
      </c>
      <c r="B949" s="8" t="s">
        <v>4191</v>
      </c>
      <c r="C949" s="9" t="s">
        <v>4192</v>
      </c>
      <c r="D949" s="10" t="str">
        <f>HYPERLINK("https://facebook.com/367089020688300_538701350193732", "367089020688300_538701350193732")</f>
        <v>367089020688300_538701350193732</v>
      </c>
      <c r="E949" s="11">
        <v>1.0</v>
      </c>
      <c r="F949" s="11">
        <v>0.0</v>
      </c>
      <c r="G949" s="11">
        <v>3.0</v>
      </c>
      <c r="H949" s="9" t="s">
        <v>26</v>
      </c>
      <c r="I949" s="9" t="s">
        <v>4193</v>
      </c>
      <c r="J949" s="9" t="s">
        <v>4194</v>
      </c>
      <c r="K949" s="9" t="s">
        <v>4195</v>
      </c>
      <c r="L949" s="9" t="s">
        <v>30</v>
      </c>
      <c r="M949" s="9" t="s">
        <v>31</v>
      </c>
      <c r="N949" s="9" t="s">
        <v>32</v>
      </c>
      <c r="O949" s="12" t="s">
        <v>33</v>
      </c>
      <c r="P949" s="12" t="s">
        <v>34</v>
      </c>
      <c r="Q949" s="9"/>
      <c r="R949" s="18"/>
      <c r="S949" s="18"/>
      <c r="T949" s="18"/>
      <c r="U949" s="18"/>
      <c r="V949" s="18"/>
      <c r="W949" s="15"/>
      <c r="X949" s="15"/>
    </row>
    <row r="950">
      <c r="A950" s="7">
        <v>949.0</v>
      </c>
      <c r="B950" s="8" t="s">
        <v>4196</v>
      </c>
      <c r="C950" s="9" t="s">
        <v>4197</v>
      </c>
      <c r="D950" s="10" t="str">
        <f>HYPERLINK("https://facebook.com/367089020688300_561402464590287", "367089020688300_561402464590287")</f>
        <v>367089020688300_561402464590287</v>
      </c>
      <c r="E950" s="11">
        <v>63.0</v>
      </c>
      <c r="F950" s="11">
        <v>0.0</v>
      </c>
      <c r="G950" s="11">
        <v>51.0</v>
      </c>
      <c r="H950" s="9" t="s">
        <v>26</v>
      </c>
      <c r="I950" s="9" t="s">
        <v>4198</v>
      </c>
      <c r="J950" s="16" t="s">
        <v>4199</v>
      </c>
      <c r="K950" s="9"/>
      <c r="L950" s="9" t="s">
        <v>30</v>
      </c>
      <c r="M950" s="9" t="s">
        <v>31</v>
      </c>
      <c r="N950" s="9" t="s">
        <v>32</v>
      </c>
      <c r="O950" s="12" t="s">
        <v>33</v>
      </c>
      <c r="P950" s="12" t="s">
        <v>34</v>
      </c>
      <c r="Q950" s="9"/>
      <c r="R950" s="18"/>
      <c r="S950" s="18"/>
      <c r="T950" s="18"/>
      <c r="U950" s="18"/>
      <c r="V950" s="18"/>
      <c r="W950" s="15"/>
      <c r="X950" s="15"/>
    </row>
    <row r="951">
      <c r="A951" s="7">
        <v>950.0</v>
      </c>
      <c r="B951" s="8" t="s">
        <v>4200</v>
      </c>
      <c r="C951" s="9" t="s">
        <v>4201</v>
      </c>
      <c r="D951" s="10" t="str">
        <f>HYPERLINK("https://facebook.com/367089020688300_437177227012812", "367089020688300_437177227012812")</f>
        <v>367089020688300_437177227012812</v>
      </c>
      <c r="E951" s="11">
        <v>762.0</v>
      </c>
      <c r="F951" s="11">
        <v>14.0</v>
      </c>
      <c r="G951" s="11">
        <v>478.0</v>
      </c>
      <c r="H951" s="9" t="s">
        <v>26</v>
      </c>
      <c r="I951" s="9" t="s">
        <v>4202</v>
      </c>
      <c r="J951" s="9" t="s">
        <v>4203</v>
      </c>
      <c r="K951" s="9" t="s">
        <v>4204</v>
      </c>
      <c r="L951" s="9" t="s">
        <v>30</v>
      </c>
      <c r="M951" s="9" t="s">
        <v>31</v>
      </c>
      <c r="N951" s="9" t="s">
        <v>32</v>
      </c>
      <c r="O951" s="12" t="s">
        <v>33</v>
      </c>
      <c r="P951" s="12" t="s">
        <v>34</v>
      </c>
      <c r="Q951" s="9"/>
      <c r="R951" s="18"/>
      <c r="S951" s="18"/>
      <c r="T951" s="18"/>
      <c r="U951" s="18"/>
      <c r="V951" s="18"/>
      <c r="W951" s="15"/>
      <c r="X951" s="15"/>
    </row>
    <row r="952">
      <c r="A952" s="7">
        <v>951.0</v>
      </c>
      <c r="B952" s="8" t="s">
        <v>4205</v>
      </c>
      <c r="C952" s="9" t="s">
        <v>4206</v>
      </c>
      <c r="D952" s="10" t="str">
        <f>HYPERLINK("https://facebook.com/367089020688300_472156766848191", "367089020688300_472156766848191")</f>
        <v>367089020688300_472156766848191</v>
      </c>
      <c r="E952" s="11">
        <v>331.0</v>
      </c>
      <c r="F952" s="11">
        <v>26.0</v>
      </c>
      <c r="G952" s="11">
        <v>342.0</v>
      </c>
      <c r="H952" s="9" t="s">
        <v>26</v>
      </c>
      <c r="I952" s="9" t="s">
        <v>1142</v>
      </c>
      <c r="J952" s="9" t="s">
        <v>1143</v>
      </c>
      <c r="K952" s="9" t="s">
        <v>4207</v>
      </c>
      <c r="L952" s="9" t="s">
        <v>30</v>
      </c>
      <c r="M952" s="9" t="s">
        <v>31</v>
      </c>
      <c r="N952" s="9" t="s">
        <v>32</v>
      </c>
      <c r="O952" s="12" t="s">
        <v>34</v>
      </c>
      <c r="P952" s="12" t="s">
        <v>34</v>
      </c>
      <c r="Q952" s="9"/>
      <c r="R952" s="18"/>
      <c r="S952" s="18"/>
      <c r="T952" s="18"/>
      <c r="U952" s="18"/>
      <c r="V952" s="18"/>
      <c r="W952" s="15"/>
      <c r="X952" s="15"/>
    </row>
    <row r="953">
      <c r="A953" s="7">
        <v>952.0</v>
      </c>
      <c r="B953" s="8" t="s">
        <v>4208</v>
      </c>
      <c r="C953" s="9" t="s">
        <v>4209</v>
      </c>
      <c r="D953" s="10" t="str">
        <f>HYPERLINK("https://facebook.com/367089020688300_402971170433418", "367089020688300_402971170433418")</f>
        <v>367089020688300_402971170433418</v>
      </c>
      <c r="E953" s="11">
        <v>3664.0</v>
      </c>
      <c r="F953" s="11">
        <v>54.0</v>
      </c>
      <c r="G953" s="11">
        <v>671.0</v>
      </c>
      <c r="H953" s="9" t="s">
        <v>26</v>
      </c>
      <c r="I953" s="9" t="s">
        <v>4210</v>
      </c>
      <c r="J953" s="9" t="s">
        <v>4211</v>
      </c>
      <c r="K953" s="9" t="s">
        <v>4212</v>
      </c>
      <c r="L953" s="9" t="s">
        <v>30</v>
      </c>
      <c r="M953" s="9" t="s">
        <v>31</v>
      </c>
      <c r="N953" s="9" t="s">
        <v>32</v>
      </c>
      <c r="O953" s="12" t="s">
        <v>33</v>
      </c>
      <c r="P953" s="12" t="s">
        <v>34</v>
      </c>
      <c r="Q953" s="9"/>
      <c r="R953" s="18"/>
      <c r="S953" s="18"/>
      <c r="T953" s="18"/>
      <c r="U953" s="18"/>
      <c r="V953" s="18"/>
      <c r="W953" s="15"/>
      <c r="X953" s="15"/>
    </row>
    <row r="954">
      <c r="A954" s="7">
        <v>953.0</v>
      </c>
      <c r="B954" s="8" t="s">
        <v>4213</v>
      </c>
      <c r="C954" s="9" t="s">
        <v>4214</v>
      </c>
      <c r="D954" s="10" t="str">
        <f>HYPERLINK("https://facebook.com/367089020688300_555355031861697", "367089020688300_555355031861697")</f>
        <v>367089020688300_555355031861697</v>
      </c>
      <c r="E954" s="11">
        <v>24.0</v>
      </c>
      <c r="F954" s="11">
        <v>0.0</v>
      </c>
      <c r="G954" s="11">
        <v>25.0</v>
      </c>
      <c r="H954" s="9" t="s">
        <v>26</v>
      </c>
      <c r="I954" s="9" t="s">
        <v>77</v>
      </c>
      <c r="J954" s="9" t="s">
        <v>78</v>
      </c>
      <c r="K954" s="9" t="s">
        <v>51</v>
      </c>
      <c r="L954" s="9" t="s">
        <v>30</v>
      </c>
      <c r="M954" s="9" t="s">
        <v>31</v>
      </c>
      <c r="N954" s="9" t="s">
        <v>32</v>
      </c>
      <c r="O954" s="12" t="s">
        <v>33</v>
      </c>
      <c r="P954" s="12" t="s">
        <v>34</v>
      </c>
      <c r="Q954" s="9"/>
      <c r="R954" s="18"/>
      <c r="S954" s="18"/>
      <c r="T954" s="18"/>
      <c r="U954" s="18"/>
      <c r="V954" s="18"/>
      <c r="W954" s="15"/>
      <c r="X954" s="15"/>
    </row>
    <row r="955">
      <c r="A955" s="7">
        <v>954.0</v>
      </c>
      <c r="B955" s="8" t="s">
        <v>4215</v>
      </c>
      <c r="C955" s="9" t="s">
        <v>4216</v>
      </c>
      <c r="D955" s="10" t="str">
        <f>HYPERLINK("https://facebook.com/367089020688300_558401824890351", "367089020688300_558401824890351")</f>
        <v>367089020688300_558401824890351</v>
      </c>
      <c r="E955" s="11">
        <v>285.0</v>
      </c>
      <c r="F955" s="11">
        <v>2.0</v>
      </c>
      <c r="G955" s="11">
        <v>213.0</v>
      </c>
      <c r="H955" s="9" t="s">
        <v>26</v>
      </c>
      <c r="I955" s="9" t="s">
        <v>4217</v>
      </c>
      <c r="J955" s="16" t="s">
        <v>4218</v>
      </c>
      <c r="K955" s="9"/>
      <c r="L955" s="9" t="s">
        <v>30</v>
      </c>
      <c r="M955" s="9" t="s">
        <v>31</v>
      </c>
      <c r="N955" s="9" t="s">
        <v>32</v>
      </c>
      <c r="O955" s="12" t="s">
        <v>33</v>
      </c>
      <c r="P955" s="12" t="s">
        <v>34</v>
      </c>
      <c r="Q955" s="9"/>
      <c r="R955" s="18"/>
      <c r="S955" s="18"/>
      <c r="T955" s="18"/>
      <c r="U955" s="18"/>
      <c r="V955" s="18"/>
      <c r="W955" s="15"/>
      <c r="X955" s="15"/>
    </row>
    <row r="956">
      <c r="A956" s="7">
        <v>955.0</v>
      </c>
      <c r="B956" s="8" t="s">
        <v>4219</v>
      </c>
      <c r="C956" s="9" t="s">
        <v>4220</v>
      </c>
      <c r="D956" s="10" t="str">
        <f>HYPERLINK("https://facebook.com/367089020688300_520769875320213", "367089020688300_520769875320213")</f>
        <v>367089020688300_520769875320213</v>
      </c>
      <c r="E956" s="11">
        <v>15.0</v>
      </c>
      <c r="F956" s="11">
        <v>0.0</v>
      </c>
      <c r="G956" s="11">
        <v>31.0</v>
      </c>
      <c r="H956" s="9" t="s">
        <v>26</v>
      </c>
      <c r="I956" s="9" t="s">
        <v>4221</v>
      </c>
      <c r="J956" s="9" t="s">
        <v>4222</v>
      </c>
      <c r="K956" s="9" t="s">
        <v>4223</v>
      </c>
      <c r="L956" s="9" t="s">
        <v>30</v>
      </c>
      <c r="M956" s="9" t="s">
        <v>31</v>
      </c>
      <c r="N956" s="9" t="s">
        <v>32</v>
      </c>
      <c r="O956" s="12" t="s">
        <v>33</v>
      </c>
      <c r="P956" s="12" t="s">
        <v>34</v>
      </c>
      <c r="Q956" s="9"/>
      <c r="R956" s="18"/>
      <c r="S956" s="18"/>
      <c r="T956" s="18"/>
      <c r="U956" s="18"/>
      <c r="V956" s="18"/>
      <c r="W956" s="15"/>
      <c r="X956" s="15"/>
    </row>
    <row r="957">
      <c r="A957" s="7">
        <v>956.0</v>
      </c>
      <c r="B957" s="8" t="s">
        <v>4224</v>
      </c>
      <c r="C957" s="9" t="s">
        <v>4225</v>
      </c>
      <c r="D957" s="10" t="str">
        <f>HYPERLINK("https://facebook.com/367089020688300_560394008024466", "367089020688300_560394008024466")</f>
        <v>367089020688300_560394008024466</v>
      </c>
      <c r="E957" s="11">
        <v>14.0</v>
      </c>
      <c r="F957" s="11">
        <v>0.0</v>
      </c>
      <c r="G957" s="11">
        <v>22.0</v>
      </c>
      <c r="H957" s="9" t="s">
        <v>26</v>
      </c>
      <c r="I957" s="9" t="s">
        <v>2554</v>
      </c>
      <c r="J957" s="16" t="s">
        <v>3409</v>
      </c>
      <c r="K957" s="9"/>
      <c r="L957" s="9" t="s">
        <v>30</v>
      </c>
      <c r="M957" s="9" t="s">
        <v>31</v>
      </c>
      <c r="N957" s="9" t="s">
        <v>32</v>
      </c>
      <c r="O957" s="12" t="s">
        <v>33</v>
      </c>
      <c r="P957" s="12" t="s">
        <v>34</v>
      </c>
      <c r="Q957" s="9"/>
      <c r="R957" s="18"/>
      <c r="S957" s="18"/>
      <c r="T957" s="18"/>
      <c r="U957" s="18"/>
      <c r="V957" s="18"/>
      <c r="W957" s="15"/>
      <c r="X957" s="15"/>
    </row>
    <row r="958">
      <c r="A958" s="7">
        <v>957.0</v>
      </c>
      <c r="B958" s="8" t="s">
        <v>4226</v>
      </c>
      <c r="C958" s="9" t="s">
        <v>4227</v>
      </c>
      <c r="D958" s="10" t="str">
        <f>HYPERLINK("https://facebook.com/367089020688300_537165167014017", "367089020688300_537165167014017")</f>
        <v>367089020688300_537165167014017</v>
      </c>
      <c r="E958" s="11">
        <v>250.0</v>
      </c>
      <c r="F958" s="11">
        <v>4.0</v>
      </c>
      <c r="G958" s="11">
        <v>84.0</v>
      </c>
      <c r="H958" s="9" t="s">
        <v>26</v>
      </c>
      <c r="I958" s="9" t="s">
        <v>2951</v>
      </c>
      <c r="J958" s="16" t="s">
        <v>4228</v>
      </c>
      <c r="K958" s="9"/>
      <c r="L958" s="9" t="s">
        <v>30</v>
      </c>
      <c r="M958" s="9" t="s">
        <v>31</v>
      </c>
      <c r="N958" s="9" t="s">
        <v>32</v>
      </c>
      <c r="O958" s="12" t="s">
        <v>33</v>
      </c>
      <c r="P958" s="12" t="s">
        <v>34</v>
      </c>
      <c r="Q958" s="9"/>
      <c r="R958" s="18"/>
      <c r="S958" s="18"/>
      <c r="T958" s="18"/>
      <c r="U958" s="18"/>
      <c r="V958" s="18"/>
      <c r="W958" s="15"/>
      <c r="X958" s="15"/>
    </row>
    <row r="959">
      <c r="A959" s="7">
        <v>958.0</v>
      </c>
      <c r="B959" s="8" t="s">
        <v>4229</v>
      </c>
      <c r="C959" s="9" t="s">
        <v>4230</v>
      </c>
      <c r="D959" s="10" t="str">
        <f>HYPERLINK("https://facebook.com/367089020688300_548047089259158", "367089020688300_548047089259158")</f>
        <v>367089020688300_548047089259158</v>
      </c>
      <c r="E959" s="11">
        <v>558.0</v>
      </c>
      <c r="F959" s="11">
        <v>0.0</v>
      </c>
      <c r="G959" s="11">
        <v>598.0</v>
      </c>
      <c r="H959" s="9" t="s">
        <v>26</v>
      </c>
      <c r="I959" s="9" t="s">
        <v>4231</v>
      </c>
      <c r="J959" s="9" t="s">
        <v>4232</v>
      </c>
      <c r="K959" s="9" t="s">
        <v>4233</v>
      </c>
      <c r="L959" s="9" t="s">
        <v>30</v>
      </c>
      <c r="M959" s="9" t="s">
        <v>31</v>
      </c>
      <c r="N959" s="9" t="s">
        <v>32</v>
      </c>
      <c r="O959" s="12" t="s">
        <v>33</v>
      </c>
      <c r="P959" s="12" t="s">
        <v>34</v>
      </c>
      <c r="Q959" s="9"/>
      <c r="R959" s="18"/>
      <c r="S959" s="18"/>
      <c r="T959" s="18"/>
      <c r="U959" s="18"/>
      <c r="V959" s="18"/>
      <c r="W959" s="15"/>
      <c r="X959" s="15"/>
    </row>
    <row r="960">
      <c r="A960" s="7">
        <v>959.0</v>
      </c>
      <c r="B960" s="8" t="s">
        <v>4234</v>
      </c>
      <c r="C960" s="9" t="s">
        <v>4235</v>
      </c>
      <c r="D960" s="10" t="str">
        <f>HYPERLINK("https://facebook.com/367089020688300_530092157721318", "367089020688300_530092157721318")</f>
        <v>367089020688300_530092157721318</v>
      </c>
      <c r="E960" s="11">
        <v>1031.0</v>
      </c>
      <c r="F960" s="11">
        <v>39.0</v>
      </c>
      <c r="G960" s="11">
        <v>710.0</v>
      </c>
      <c r="H960" s="9" t="s">
        <v>26</v>
      </c>
      <c r="I960" s="9" t="s">
        <v>4236</v>
      </c>
      <c r="J960" s="9" t="s">
        <v>4237</v>
      </c>
      <c r="K960" s="9" t="s">
        <v>4238</v>
      </c>
      <c r="L960" s="9" t="s">
        <v>30</v>
      </c>
      <c r="M960" s="9" t="s">
        <v>31</v>
      </c>
      <c r="N960" s="9" t="s">
        <v>32</v>
      </c>
      <c r="O960" s="12" t="s">
        <v>33</v>
      </c>
      <c r="P960" s="12" t="s">
        <v>34</v>
      </c>
      <c r="Q960" s="9"/>
      <c r="R960" s="18"/>
      <c r="S960" s="18"/>
      <c r="T960" s="18"/>
      <c r="U960" s="18"/>
      <c r="V960" s="18"/>
      <c r="W960" s="15"/>
      <c r="X960" s="15"/>
    </row>
    <row r="961">
      <c r="A961" s="7">
        <v>960.0</v>
      </c>
      <c r="B961" s="8" t="s">
        <v>4239</v>
      </c>
      <c r="C961" s="9" t="s">
        <v>4240</v>
      </c>
      <c r="D961" s="10" t="str">
        <f>HYPERLINK("https://facebook.com/367089020688300_522079265189274", "367089020688300_522079265189274")</f>
        <v>367089020688300_522079265189274</v>
      </c>
      <c r="E961" s="11">
        <v>31.0</v>
      </c>
      <c r="F961" s="11">
        <v>0.0</v>
      </c>
      <c r="G961" s="11">
        <v>46.0</v>
      </c>
      <c r="H961" s="9" t="s">
        <v>26</v>
      </c>
      <c r="I961" s="9" t="s">
        <v>4241</v>
      </c>
      <c r="J961" s="9" t="s">
        <v>4242</v>
      </c>
      <c r="K961" s="9" t="s">
        <v>4243</v>
      </c>
      <c r="L961" s="9" t="s">
        <v>30</v>
      </c>
      <c r="M961" s="9" t="s">
        <v>31</v>
      </c>
      <c r="N961" s="9" t="s">
        <v>32</v>
      </c>
      <c r="O961" s="12" t="s">
        <v>33</v>
      </c>
      <c r="P961" s="12" t="s">
        <v>34</v>
      </c>
      <c r="Q961" s="9"/>
      <c r="R961" s="18"/>
      <c r="S961" s="18"/>
      <c r="T961" s="18"/>
      <c r="U961" s="18"/>
      <c r="V961" s="18"/>
      <c r="W961" s="15"/>
      <c r="X961" s="15"/>
    </row>
    <row r="962">
      <c r="A962" s="7">
        <v>961.0</v>
      </c>
      <c r="B962" s="8" t="s">
        <v>4244</v>
      </c>
      <c r="C962" s="9" t="s">
        <v>4245</v>
      </c>
      <c r="D962" s="10" t="str">
        <f>HYPERLINK("https://facebook.com/367089020688300_547635569300310", "367089020688300_547635569300310")</f>
        <v>367089020688300_547635569300310</v>
      </c>
      <c r="E962" s="11">
        <v>13.0</v>
      </c>
      <c r="F962" s="11">
        <v>0.0</v>
      </c>
      <c r="G962" s="11">
        <v>5.0</v>
      </c>
      <c r="H962" s="9" t="s">
        <v>26</v>
      </c>
      <c r="I962" s="9" t="s">
        <v>4246</v>
      </c>
      <c r="J962" s="16" t="s">
        <v>4247</v>
      </c>
      <c r="K962" s="9"/>
      <c r="L962" s="9" t="s">
        <v>30</v>
      </c>
      <c r="M962" s="9" t="s">
        <v>31</v>
      </c>
      <c r="N962" s="9" t="s">
        <v>32</v>
      </c>
      <c r="O962" s="12" t="s">
        <v>33</v>
      </c>
      <c r="P962" s="12" t="s">
        <v>34</v>
      </c>
      <c r="Q962" s="9"/>
      <c r="R962" s="18"/>
      <c r="S962" s="18"/>
      <c r="T962" s="18"/>
      <c r="U962" s="18"/>
      <c r="V962" s="18"/>
      <c r="W962" s="15"/>
      <c r="X962" s="15"/>
    </row>
    <row r="963">
      <c r="A963" s="7">
        <v>962.0</v>
      </c>
      <c r="B963" s="8" t="s">
        <v>4248</v>
      </c>
      <c r="C963" s="9" t="s">
        <v>4249</v>
      </c>
      <c r="D963" s="10" t="str">
        <f>HYPERLINK("https://facebook.com/367089020688300_538968423500358", "367089020688300_538968423500358")</f>
        <v>367089020688300_538968423500358</v>
      </c>
      <c r="E963" s="11">
        <v>21.0</v>
      </c>
      <c r="F963" s="11">
        <v>0.0</v>
      </c>
      <c r="G963" s="11">
        <v>7.0</v>
      </c>
      <c r="H963" s="9" t="s">
        <v>26</v>
      </c>
      <c r="I963" s="9" t="s">
        <v>4250</v>
      </c>
      <c r="J963" s="16" t="s">
        <v>4251</v>
      </c>
      <c r="K963" s="9"/>
      <c r="L963" s="9" t="s">
        <v>30</v>
      </c>
      <c r="M963" s="9" t="s">
        <v>31</v>
      </c>
      <c r="N963" s="9" t="s">
        <v>32</v>
      </c>
      <c r="O963" s="12" t="s">
        <v>33</v>
      </c>
      <c r="P963" s="12" t="s">
        <v>34</v>
      </c>
      <c r="Q963" s="9"/>
      <c r="R963" s="18"/>
      <c r="S963" s="18"/>
      <c r="T963" s="18"/>
      <c r="U963" s="18"/>
      <c r="V963" s="18"/>
      <c r="W963" s="15"/>
      <c r="X963" s="15"/>
    </row>
    <row r="964">
      <c r="A964" s="7">
        <v>963.0</v>
      </c>
      <c r="B964" s="8" t="s">
        <v>4252</v>
      </c>
      <c r="C964" s="9" t="s">
        <v>4253</v>
      </c>
      <c r="D964" s="10" t="str">
        <f>HYPERLINK("https://facebook.com/367089020688300_462125334518001", "367089020688300_462125334518001")</f>
        <v>367089020688300_462125334518001</v>
      </c>
      <c r="E964" s="11">
        <v>211.0</v>
      </c>
      <c r="F964" s="11">
        <v>3.0</v>
      </c>
      <c r="G964" s="11">
        <v>158.0</v>
      </c>
      <c r="H964" s="9" t="s">
        <v>26</v>
      </c>
      <c r="I964" s="9" t="s">
        <v>4254</v>
      </c>
      <c r="J964" s="9" t="s">
        <v>4255</v>
      </c>
      <c r="K964" s="9" t="s">
        <v>4256</v>
      </c>
      <c r="L964" s="9" t="s">
        <v>30</v>
      </c>
      <c r="M964" s="9" t="s">
        <v>31</v>
      </c>
      <c r="N964" s="9" t="s">
        <v>32</v>
      </c>
      <c r="O964" s="12" t="s">
        <v>33</v>
      </c>
      <c r="P964" s="12" t="s">
        <v>34</v>
      </c>
      <c r="Q964" s="9"/>
      <c r="R964" s="18"/>
      <c r="S964" s="18"/>
      <c r="T964" s="18"/>
      <c r="U964" s="18"/>
      <c r="V964" s="18"/>
      <c r="W964" s="15"/>
      <c r="X964" s="15"/>
    </row>
    <row r="965">
      <c r="A965" s="7">
        <v>964.0</v>
      </c>
      <c r="B965" s="8" t="s">
        <v>4257</v>
      </c>
      <c r="C965" s="9" t="s">
        <v>4258</v>
      </c>
      <c r="D965" s="10" t="str">
        <f>HYPERLINK("https://facebook.com/367089020688300_531935140870353", "367089020688300_531935140870353")</f>
        <v>367089020688300_531935140870353</v>
      </c>
      <c r="E965" s="11">
        <v>468.0</v>
      </c>
      <c r="F965" s="11">
        <v>22.0</v>
      </c>
      <c r="G965" s="11">
        <v>174.0</v>
      </c>
      <c r="H965" s="9" t="s">
        <v>26</v>
      </c>
      <c r="I965" s="9" t="s">
        <v>4259</v>
      </c>
      <c r="J965" s="16" t="s">
        <v>4260</v>
      </c>
      <c r="K965" s="9"/>
      <c r="L965" s="9" t="s">
        <v>30</v>
      </c>
      <c r="M965" s="9" t="s">
        <v>31</v>
      </c>
      <c r="N965" s="9" t="s">
        <v>32</v>
      </c>
      <c r="O965" s="12" t="s">
        <v>33</v>
      </c>
      <c r="P965" s="12" t="s">
        <v>34</v>
      </c>
      <c r="Q965" s="9"/>
      <c r="R965" s="18"/>
      <c r="S965" s="18"/>
      <c r="T965" s="18"/>
      <c r="U965" s="18"/>
      <c r="V965" s="18"/>
      <c r="W965" s="15"/>
      <c r="X965" s="15"/>
    </row>
    <row r="966">
      <c r="A966" s="7">
        <v>965.0</v>
      </c>
      <c r="B966" s="8" t="s">
        <v>4261</v>
      </c>
      <c r="C966" s="9" t="s">
        <v>4262</v>
      </c>
      <c r="D966" s="10" t="str">
        <f>HYPERLINK("https://facebook.com/367089020688300_507312793332588", "367089020688300_507312793332588")</f>
        <v>367089020688300_507312793332588</v>
      </c>
      <c r="E966" s="11">
        <v>64.0</v>
      </c>
      <c r="F966" s="11">
        <v>3.0</v>
      </c>
      <c r="G966" s="11">
        <v>31.0</v>
      </c>
      <c r="H966" s="9" t="s">
        <v>26</v>
      </c>
      <c r="I966" s="9" t="s">
        <v>81</v>
      </c>
      <c r="J966" s="9" t="s">
        <v>4263</v>
      </c>
      <c r="K966" s="9" t="s">
        <v>4264</v>
      </c>
      <c r="L966" s="9" t="s">
        <v>30</v>
      </c>
      <c r="M966" s="9" t="s">
        <v>31</v>
      </c>
      <c r="N966" s="9" t="s">
        <v>32</v>
      </c>
      <c r="O966" s="12" t="s">
        <v>33</v>
      </c>
      <c r="P966" s="12" t="s">
        <v>34</v>
      </c>
      <c r="Q966" s="9"/>
      <c r="R966" s="18"/>
      <c r="S966" s="18"/>
      <c r="T966" s="18"/>
      <c r="U966" s="18"/>
      <c r="V966" s="18"/>
      <c r="W966" s="15"/>
      <c r="X966" s="15"/>
    </row>
    <row r="967">
      <c r="A967" s="7">
        <v>966.0</v>
      </c>
      <c r="B967" s="8" t="s">
        <v>4265</v>
      </c>
      <c r="C967" s="9" t="s">
        <v>4266</v>
      </c>
      <c r="D967" s="10" t="str">
        <f>HYPERLINK("https://facebook.com/367089020688300_558553744875159", "367089020688300_558553744875159")</f>
        <v>367089020688300_558553744875159</v>
      </c>
      <c r="E967" s="11">
        <v>323.0</v>
      </c>
      <c r="F967" s="11">
        <v>3.0</v>
      </c>
      <c r="G967" s="11">
        <v>154.0</v>
      </c>
      <c r="H967" s="9" t="s">
        <v>26</v>
      </c>
      <c r="I967" s="9" t="s">
        <v>4267</v>
      </c>
      <c r="J967" s="16" t="s">
        <v>4268</v>
      </c>
      <c r="K967" s="9"/>
      <c r="L967" s="9" t="s">
        <v>30</v>
      </c>
      <c r="M967" s="9" t="s">
        <v>31</v>
      </c>
      <c r="N967" s="9" t="s">
        <v>32</v>
      </c>
      <c r="O967" s="12" t="s">
        <v>33</v>
      </c>
      <c r="P967" s="12" t="s">
        <v>34</v>
      </c>
      <c r="Q967" s="9"/>
      <c r="R967" s="18"/>
      <c r="S967" s="18"/>
      <c r="T967" s="18"/>
      <c r="U967" s="18"/>
      <c r="V967" s="18"/>
      <c r="W967" s="15"/>
      <c r="X967" s="15"/>
    </row>
    <row r="968">
      <c r="A968" s="7">
        <v>967.0</v>
      </c>
      <c r="B968" s="8" t="s">
        <v>4269</v>
      </c>
      <c r="C968" s="9" t="s">
        <v>4270</v>
      </c>
      <c r="D968" s="10" t="str">
        <f>HYPERLINK("https://facebook.com/367089020688300_547512052645995", "367089020688300_547512052645995")</f>
        <v>367089020688300_547512052645995</v>
      </c>
      <c r="E968" s="11">
        <v>283.0</v>
      </c>
      <c r="F968" s="11">
        <v>4.0</v>
      </c>
      <c r="G968" s="11">
        <v>389.0</v>
      </c>
      <c r="H968" s="9" t="s">
        <v>26</v>
      </c>
      <c r="I968" s="9" t="s">
        <v>3392</v>
      </c>
      <c r="J968" s="16" t="s">
        <v>3393</v>
      </c>
      <c r="K968" s="9"/>
      <c r="L968" s="9" t="s">
        <v>30</v>
      </c>
      <c r="M968" s="9" t="s">
        <v>31</v>
      </c>
      <c r="N968" s="9" t="s">
        <v>32</v>
      </c>
      <c r="O968" s="12" t="s">
        <v>33</v>
      </c>
      <c r="P968" s="12" t="s">
        <v>34</v>
      </c>
      <c r="Q968" s="9"/>
      <c r="R968" s="18"/>
      <c r="S968" s="18"/>
      <c r="T968" s="18"/>
      <c r="U968" s="18"/>
      <c r="V968" s="18"/>
      <c r="W968" s="15"/>
      <c r="X968" s="15"/>
    </row>
    <row r="969">
      <c r="A969" s="7">
        <v>968.0</v>
      </c>
      <c r="B969" s="8" t="s">
        <v>4271</v>
      </c>
      <c r="C969" s="9" t="s">
        <v>4272</v>
      </c>
      <c r="D969" s="10" t="str">
        <f>HYPERLINK("https://facebook.com/367089020688300_560157688048098", "367089020688300_560157688048098")</f>
        <v>367089020688300_560157688048098</v>
      </c>
      <c r="E969" s="11">
        <v>8.0</v>
      </c>
      <c r="F969" s="11">
        <v>0.0</v>
      </c>
      <c r="G969" s="11">
        <v>14.0</v>
      </c>
      <c r="H969" s="9" t="s">
        <v>26</v>
      </c>
      <c r="I969" s="9" t="s">
        <v>3340</v>
      </c>
      <c r="J969" s="16" t="s">
        <v>4273</v>
      </c>
      <c r="K969" s="9"/>
      <c r="L969" s="9" t="s">
        <v>30</v>
      </c>
      <c r="M969" s="9" t="s">
        <v>31</v>
      </c>
      <c r="N969" s="9" t="s">
        <v>32</v>
      </c>
      <c r="O969" s="12" t="s">
        <v>33</v>
      </c>
      <c r="P969" s="12" t="s">
        <v>34</v>
      </c>
      <c r="Q969" s="9"/>
      <c r="R969" s="18"/>
      <c r="S969" s="18"/>
      <c r="T969" s="18"/>
      <c r="U969" s="18"/>
      <c r="V969" s="18"/>
      <c r="W969" s="15"/>
      <c r="X969" s="15"/>
    </row>
    <row r="970">
      <c r="A970" s="7">
        <v>969.0</v>
      </c>
      <c r="B970" s="8" t="s">
        <v>4274</v>
      </c>
      <c r="C970" s="9" t="s">
        <v>4275</v>
      </c>
      <c r="D970" s="10" t="str">
        <f>HYPERLINK("https://facebook.com/367089020688300_469766457087222", "367089020688300_469766457087222")</f>
        <v>367089020688300_469766457087222</v>
      </c>
      <c r="E970" s="11">
        <v>263.0</v>
      </c>
      <c r="F970" s="11">
        <v>9.0</v>
      </c>
      <c r="G970" s="11">
        <v>221.0</v>
      </c>
      <c r="H970" s="9" t="s">
        <v>26</v>
      </c>
      <c r="I970" s="9" t="s">
        <v>4276</v>
      </c>
      <c r="J970" s="9" t="s">
        <v>4277</v>
      </c>
      <c r="K970" s="9" t="s">
        <v>249</v>
      </c>
      <c r="L970" s="9" t="s">
        <v>30</v>
      </c>
      <c r="M970" s="9" t="s">
        <v>31</v>
      </c>
      <c r="N970" s="9" t="s">
        <v>32</v>
      </c>
      <c r="O970" s="12" t="s">
        <v>33</v>
      </c>
      <c r="P970" s="12" t="s">
        <v>34</v>
      </c>
      <c r="Q970" s="9"/>
      <c r="R970" s="18"/>
      <c r="S970" s="18"/>
      <c r="T970" s="18"/>
      <c r="U970" s="18"/>
      <c r="V970" s="18"/>
      <c r="W970" s="15"/>
      <c r="X970" s="15"/>
    </row>
    <row r="971">
      <c r="A971" s="7">
        <v>970.0</v>
      </c>
      <c r="B971" s="8" t="s">
        <v>4278</v>
      </c>
      <c r="C971" s="9" t="s">
        <v>4279</v>
      </c>
      <c r="D971" s="10" t="str">
        <f>HYPERLINK("https://facebook.com/367089020688300_483427705721097", "367089020688300_483427705721097")</f>
        <v>367089020688300_483427705721097</v>
      </c>
      <c r="E971" s="11">
        <v>132.0</v>
      </c>
      <c r="F971" s="11">
        <v>3.0</v>
      </c>
      <c r="G971" s="11">
        <v>121.0</v>
      </c>
      <c r="H971" s="9" t="s">
        <v>26</v>
      </c>
      <c r="I971" s="9" t="s">
        <v>4280</v>
      </c>
      <c r="J971" s="16" t="s">
        <v>4281</v>
      </c>
      <c r="K971" s="9"/>
      <c r="L971" s="9" t="s">
        <v>30</v>
      </c>
      <c r="M971" s="9" t="s">
        <v>31</v>
      </c>
      <c r="N971" s="9" t="s">
        <v>32</v>
      </c>
      <c r="O971" s="12" t="s">
        <v>33</v>
      </c>
      <c r="P971" s="12" t="s">
        <v>34</v>
      </c>
      <c r="Q971" s="9"/>
      <c r="R971" s="18"/>
      <c r="S971" s="18"/>
      <c r="T971" s="18"/>
      <c r="U971" s="18"/>
      <c r="V971" s="18"/>
      <c r="W971" s="15"/>
      <c r="X971" s="15"/>
    </row>
    <row r="972">
      <c r="A972" s="7">
        <v>971.0</v>
      </c>
      <c r="B972" s="8" t="s">
        <v>4282</v>
      </c>
      <c r="C972" s="9" t="s">
        <v>4283</v>
      </c>
      <c r="D972" s="10" t="str">
        <f>HYPERLINK("https://facebook.com/367089020688300_549869402410260", "367089020688300_549869402410260")</f>
        <v>367089020688300_549869402410260</v>
      </c>
      <c r="E972" s="11">
        <v>12.0</v>
      </c>
      <c r="F972" s="11">
        <v>0.0</v>
      </c>
      <c r="G972" s="11">
        <v>9.0</v>
      </c>
      <c r="H972" s="9" t="s">
        <v>26</v>
      </c>
      <c r="I972" s="9" t="s">
        <v>469</v>
      </c>
      <c r="J972" s="16" t="s">
        <v>4284</v>
      </c>
      <c r="K972" s="9"/>
      <c r="L972" s="9" t="s">
        <v>30</v>
      </c>
      <c r="M972" s="9" t="s">
        <v>31</v>
      </c>
      <c r="N972" s="9" t="s">
        <v>32</v>
      </c>
      <c r="O972" s="12" t="s">
        <v>33</v>
      </c>
      <c r="P972" s="12" t="s">
        <v>34</v>
      </c>
      <c r="Q972" s="9"/>
      <c r="R972" s="18"/>
      <c r="S972" s="18"/>
      <c r="T972" s="18"/>
      <c r="U972" s="18"/>
      <c r="V972" s="18"/>
      <c r="W972" s="15"/>
      <c r="X972" s="15"/>
    </row>
    <row r="973">
      <c r="A973" s="7">
        <v>972.0</v>
      </c>
      <c r="B973" s="8" t="s">
        <v>4285</v>
      </c>
      <c r="C973" s="9" t="s">
        <v>4286</v>
      </c>
      <c r="D973" s="10" t="str">
        <f>HYPERLINK("https://facebook.com/367089020688300_536165800447287", "367089020688300_536165800447287")</f>
        <v>367089020688300_536165800447287</v>
      </c>
      <c r="E973" s="11">
        <v>26.0</v>
      </c>
      <c r="F973" s="11">
        <v>0.0</v>
      </c>
      <c r="G973" s="11">
        <v>14.0</v>
      </c>
      <c r="H973" s="9" t="s">
        <v>26</v>
      </c>
      <c r="I973" s="9" t="s">
        <v>4287</v>
      </c>
      <c r="J973" s="16" t="s">
        <v>4288</v>
      </c>
      <c r="K973" s="9"/>
      <c r="L973" s="9" t="s">
        <v>30</v>
      </c>
      <c r="M973" s="9" t="s">
        <v>31</v>
      </c>
      <c r="N973" s="9" t="s">
        <v>32</v>
      </c>
      <c r="O973" s="12" t="s">
        <v>33</v>
      </c>
      <c r="P973" s="12" t="s">
        <v>34</v>
      </c>
      <c r="Q973" s="9"/>
      <c r="R973" s="18"/>
      <c r="S973" s="18"/>
      <c r="T973" s="18"/>
      <c r="U973" s="18"/>
      <c r="V973" s="18"/>
      <c r="W973" s="15"/>
      <c r="X973" s="15"/>
    </row>
    <row r="974">
      <c r="A974" s="7">
        <v>973.0</v>
      </c>
      <c r="B974" s="8" t="s">
        <v>4289</v>
      </c>
      <c r="C974" s="9" t="s">
        <v>4290</v>
      </c>
      <c r="D974" s="10" t="str">
        <f>HYPERLINK("https://facebook.com/367089020688300_419863848744150", "367089020688300_419863848744150")</f>
        <v>367089020688300_419863848744150</v>
      </c>
      <c r="E974" s="11">
        <v>590.0</v>
      </c>
      <c r="F974" s="11">
        <v>6.0</v>
      </c>
      <c r="G974" s="11">
        <v>237.0</v>
      </c>
      <c r="H974" s="9" t="s">
        <v>26</v>
      </c>
      <c r="I974" s="9" t="s">
        <v>4291</v>
      </c>
      <c r="J974" s="9" t="s">
        <v>4292</v>
      </c>
      <c r="K974" s="9" t="s">
        <v>4293</v>
      </c>
      <c r="L974" s="9" t="s">
        <v>30</v>
      </c>
      <c r="M974" s="9" t="s">
        <v>31</v>
      </c>
      <c r="N974" s="9" t="s">
        <v>32</v>
      </c>
      <c r="O974" s="12" t="s">
        <v>33</v>
      </c>
      <c r="P974" s="12" t="s">
        <v>34</v>
      </c>
      <c r="Q974" s="9"/>
      <c r="R974" s="18"/>
      <c r="S974" s="18"/>
      <c r="T974" s="18"/>
      <c r="U974" s="18"/>
      <c r="V974" s="18"/>
      <c r="W974" s="15"/>
      <c r="X974" s="15"/>
    </row>
    <row r="975">
      <c r="A975" s="7">
        <v>974.0</v>
      </c>
      <c r="B975" s="8" t="s">
        <v>4294</v>
      </c>
      <c r="C975" s="9" t="s">
        <v>4295</v>
      </c>
      <c r="D975" s="10" t="str">
        <f>HYPERLINK("https://facebook.com/367089020688300_538402780223589", "367089020688300_538402780223589")</f>
        <v>367089020688300_538402780223589</v>
      </c>
      <c r="E975" s="11">
        <v>3.0</v>
      </c>
      <c r="F975" s="11">
        <v>0.0</v>
      </c>
      <c r="G975" s="11">
        <v>2.0</v>
      </c>
      <c r="H975" s="9" t="s">
        <v>26</v>
      </c>
      <c r="I975" s="9" t="s">
        <v>4296</v>
      </c>
      <c r="J975" s="16" t="s">
        <v>4297</v>
      </c>
      <c r="K975" s="9"/>
      <c r="L975" s="9" t="s">
        <v>30</v>
      </c>
      <c r="M975" s="9" t="s">
        <v>31</v>
      </c>
      <c r="N975" s="9" t="s">
        <v>32</v>
      </c>
      <c r="O975" s="12" t="s">
        <v>33</v>
      </c>
      <c r="P975" s="12" t="s">
        <v>34</v>
      </c>
      <c r="Q975" s="9"/>
      <c r="R975" s="18"/>
      <c r="S975" s="18"/>
      <c r="T975" s="18"/>
      <c r="U975" s="18"/>
      <c r="V975" s="18"/>
      <c r="W975" s="15"/>
      <c r="X975" s="15"/>
    </row>
    <row r="976">
      <c r="A976" s="7">
        <v>975.0</v>
      </c>
      <c r="B976" s="8" t="s">
        <v>4298</v>
      </c>
      <c r="C976" s="9" t="s">
        <v>4299</v>
      </c>
      <c r="D976" s="10" t="str">
        <f>HYPERLINK("https://facebook.com/367089020688300_547148156015718", "367089020688300_547148156015718")</f>
        <v>367089020688300_547148156015718</v>
      </c>
      <c r="E976" s="11">
        <v>28.0</v>
      </c>
      <c r="F976" s="11">
        <v>0.0</v>
      </c>
      <c r="G976" s="11">
        <v>20.0</v>
      </c>
      <c r="H976" s="9" t="s">
        <v>26</v>
      </c>
      <c r="I976" s="9" t="s">
        <v>4300</v>
      </c>
      <c r="J976" s="9" t="s">
        <v>4301</v>
      </c>
      <c r="K976" s="9" t="s">
        <v>4302</v>
      </c>
      <c r="L976" s="9" t="s">
        <v>30</v>
      </c>
      <c r="M976" s="9" t="s">
        <v>31</v>
      </c>
      <c r="N976" s="9" t="s">
        <v>32</v>
      </c>
      <c r="O976" s="12" t="s">
        <v>33</v>
      </c>
      <c r="P976" s="12" t="s">
        <v>34</v>
      </c>
      <c r="Q976" s="9"/>
      <c r="R976" s="18"/>
      <c r="S976" s="18"/>
      <c r="T976" s="18"/>
      <c r="U976" s="18"/>
      <c r="V976" s="18"/>
      <c r="W976" s="15"/>
      <c r="X976" s="15"/>
    </row>
    <row r="977">
      <c r="A977" s="7">
        <v>976.0</v>
      </c>
      <c r="B977" s="8" t="s">
        <v>4303</v>
      </c>
      <c r="C977" s="9" t="s">
        <v>4304</v>
      </c>
      <c r="D977" s="10" t="str">
        <f>HYPERLINK("https://facebook.com/367089020688300_555822911814909", "367089020688300_555822911814909")</f>
        <v>367089020688300_555822911814909</v>
      </c>
      <c r="E977" s="11">
        <v>395.0</v>
      </c>
      <c r="F977" s="11">
        <v>4.0</v>
      </c>
      <c r="G977" s="11">
        <v>173.0</v>
      </c>
      <c r="H977" s="9" t="s">
        <v>26</v>
      </c>
      <c r="I977" s="9" t="s">
        <v>1289</v>
      </c>
      <c r="J977" s="9" t="s">
        <v>1290</v>
      </c>
      <c r="K977" s="9" t="s">
        <v>4305</v>
      </c>
      <c r="L977" s="9" t="s">
        <v>30</v>
      </c>
      <c r="M977" s="9" t="s">
        <v>31</v>
      </c>
      <c r="N977" s="9" t="s">
        <v>32</v>
      </c>
      <c r="O977" s="12" t="s">
        <v>33</v>
      </c>
      <c r="P977" s="12" t="s">
        <v>34</v>
      </c>
      <c r="Q977" s="9"/>
      <c r="R977" s="18"/>
      <c r="S977" s="18"/>
      <c r="T977" s="18"/>
      <c r="U977" s="18"/>
      <c r="V977" s="18"/>
      <c r="W977" s="15"/>
      <c r="X977" s="15"/>
    </row>
    <row r="978">
      <c r="A978" s="7">
        <v>977.0</v>
      </c>
      <c r="B978" s="8" t="s">
        <v>4306</v>
      </c>
      <c r="C978" s="9" t="s">
        <v>4307</v>
      </c>
      <c r="D978" s="10" t="str">
        <f>HYPERLINK("https://facebook.com/367089020688300_465151060882095", "367089020688300_465151060882095")</f>
        <v>367089020688300_465151060882095</v>
      </c>
      <c r="E978" s="11">
        <v>67.0</v>
      </c>
      <c r="F978" s="11">
        <v>0.0</v>
      </c>
      <c r="G978" s="11">
        <v>99.0</v>
      </c>
      <c r="H978" s="9" t="s">
        <v>26</v>
      </c>
      <c r="I978" s="9" t="s">
        <v>4308</v>
      </c>
      <c r="J978" s="9" t="s">
        <v>4309</v>
      </c>
      <c r="K978" s="9" t="s">
        <v>4310</v>
      </c>
      <c r="L978" s="9" t="s">
        <v>30</v>
      </c>
      <c r="M978" s="9" t="s">
        <v>31</v>
      </c>
      <c r="N978" s="9" t="s">
        <v>32</v>
      </c>
      <c r="O978" s="12" t="s">
        <v>33</v>
      </c>
      <c r="P978" s="12" t="s">
        <v>34</v>
      </c>
      <c r="Q978" s="9"/>
      <c r="R978" s="18"/>
      <c r="S978" s="18"/>
      <c r="T978" s="18"/>
      <c r="U978" s="18"/>
      <c r="V978" s="18"/>
      <c r="W978" s="15"/>
      <c r="X978" s="15"/>
    </row>
    <row r="979">
      <c r="A979" s="7">
        <v>978.0</v>
      </c>
      <c r="B979" s="8" t="s">
        <v>4311</v>
      </c>
      <c r="C979" s="9" t="s">
        <v>4312</v>
      </c>
      <c r="D979" s="10" t="str">
        <f>HYPERLINK("https://facebook.com/367089020688300_465778124152722", "367089020688300_465778124152722")</f>
        <v>367089020688300_465778124152722</v>
      </c>
      <c r="E979" s="11">
        <v>331.0</v>
      </c>
      <c r="F979" s="11">
        <v>4.0</v>
      </c>
      <c r="G979" s="11">
        <v>475.0</v>
      </c>
      <c r="H979" s="9" t="s">
        <v>26</v>
      </c>
      <c r="I979" s="9" t="s">
        <v>4313</v>
      </c>
      <c r="J979" s="9" t="s">
        <v>4314</v>
      </c>
      <c r="K979" s="9" t="s">
        <v>4315</v>
      </c>
      <c r="L979" s="9" t="s">
        <v>30</v>
      </c>
      <c r="M979" s="9" t="s">
        <v>31</v>
      </c>
      <c r="N979" s="9" t="s">
        <v>32</v>
      </c>
      <c r="O979" s="12" t="s">
        <v>33</v>
      </c>
      <c r="P979" s="12" t="s">
        <v>34</v>
      </c>
      <c r="Q979" s="9"/>
      <c r="R979" s="18"/>
      <c r="S979" s="18"/>
      <c r="T979" s="18"/>
      <c r="U979" s="18"/>
      <c r="V979" s="18"/>
      <c r="W979" s="15"/>
      <c r="X979" s="15"/>
    </row>
    <row r="980">
      <c r="A980" s="7">
        <v>979.0</v>
      </c>
      <c r="B980" s="8" t="s">
        <v>4316</v>
      </c>
      <c r="C980" s="9" t="s">
        <v>4317</v>
      </c>
      <c r="D980" s="10" t="str">
        <f>HYPERLINK("https://facebook.com/367089020688300_521557841908083", "367089020688300_521557841908083")</f>
        <v>367089020688300_521557841908083</v>
      </c>
      <c r="E980" s="11">
        <v>160.0</v>
      </c>
      <c r="F980" s="11">
        <v>6.0</v>
      </c>
      <c r="G980" s="11">
        <v>222.0</v>
      </c>
      <c r="H980" s="9" t="s">
        <v>26</v>
      </c>
      <c r="I980" s="9" t="s">
        <v>4318</v>
      </c>
      <c r="J980" s="9" t="s">
        <v>4319</v>
      </c>
      <c r="K980" s="9" t="s">
        <v>214</v>
      </c>
      <c r="L980" s="9" t="s">
        <v>30</v>
      </c>
      <c r="M980" s="9" t="s">
        <v>31</v>
      </c>
      <c r="N980" s="9" t="s">
        <v>32</v>
      </c>
      <c r="O980" s="12" t="s">
        <v>33</v>
      </c>
      <c r="P980" s="12" t="s">
        <v>34</v>
      </c>
      <c r="Q980" s="9"/>
      <c r="R980" s="18"/>
      <c r="S980" s="18"/>
      <c r="T980" s="18"/>
      <c r="U980" s="18"/>
      <c r="V980" s="18"/>
      <c r="W980" s="15"/>
      <c r="X980" s="15"/>
    </row>
    <row r="981">
      <c r="A981" s="7">
        <v>980.0</v>
      </c>
      <c r="B981" s="8" t="s">
        <v>4320</v>
      </c>
      <c r="C981" s="9" t="s">
        <v>4321</v>
      </c>
      <c r="D981" s="10" t="str">
        <f>HYPERLINK("https://facebook.com/367089020688300_417687482295120", "367089020688300_417687482295120")</f>
        <v>367089020688300_417687482295120</v>
      </c>
      <c r="E981" s="11">
        <v>125.0</v>
      </c>
      <c r="F981" s="11">
        <v>5.0</v>
      </c>
      <c r="G981" s="11">
        <v>130.0</v>
      </c>
      <c r="H981" s="9" t="s">
        <v>26</v>
      </c>
      <c r="I981" s="9" t="s">
        <v>4322</v>
      </c>
      <c r="J981" s="9" t="s">
        <v>4323</v>
      </c>
      <c r="K981" s="9" t="s">
        <v>4324</v>
      </c>
      <c r="L981" s="9" t="s">
        <v>30</v>
      </c>
      <c r="M981" s="9" t="s">
        <v>31</v>
      </c>
      <c r="N981" s="9" t="s">
        <v>32</v>
      </c>
      <c r="O981" s="12" t="s">
        <v>33</v>
      </c>
      <c r="P981" s="12" t="s">
        <v>34</v>
      </c>
      <c r="Q981" s="9"/>
      <c r="R981" s="18"/>
      <c r="S981" s="18"/>
      <c r="T981" s="18"/>
      <c r="U981" s="18"/>
      <c r="V981" s="18"/>
      <c r="W981" s="15"/>
      <c r="X981" s="15"/>
    </row>
    <row r="982">
      <c r="A982" s="7">
        <v>981.0</v>
      </c>
      <c r="B982" s="8" t="s">
        <v>4325</v>
      </c>
      <c r="C982" s="9" t="s">
        <v>4326</v>
      </c>
      <c r="D982" s="10" t="str">
        <f>HYPERLINK("https://facebook.com/367089020688300_515638619166672", "367089020688300_515638619166672")</f>
        <v>367089020688300_515638619166672</v>
      </c>
      <c r="E982" s="11">
        <v>278.0</v>
      </c>
      <c r="F982" s="11">
        <v>6.0</v>
      </c>
      <c r="G982" s="11">
        <v>354.0</v>
      </c>
      <c r="H982" s="9" t="s">
        <v>26</v>
      </c>
      <c r="I982" s="9" t="s">
        <v>4327</v>
      </c>
      <c r="J982" s="9" t="s">
        <v>4328</v>
      </c>
      <c r="K982" s="9" t="s">
        <v>249</v>
      </c>
      <c r="L982" s="9" t="s">
        <v>30</v>
      </c>
      <c r="M982" s="9" t="s">
        <v>31</v>
      </c>
      <c r="N982" s="9" t="s">
        <v>32</v>
      </c>
      <c r="O982" s="12" t="s">
        <v>33</v>
      </c>
      <c r="P982" s="12" t="s">
        <v>34</v>
      </c>
      <c r="Q982" s="9"/>
      <c r="R982" s="18"/>
      <c r="S982" s="18"/>
      <c r="T982" s="18"/>
      <c r="U982" s="18"/>
      <c r="V982" s="18"/>
      <c r="W982" s="15"/>
      <c r="X982" s="15"/>
    </row>
    <row r="983">
      <c r="A983" s="7">
        <v>982.0</v>
      </c>
      <c r="B983" s="8" t="s">
        <v>4329</v>
      </c>
      <c r="C983" s="9" t="s">
        <v>4330</v>
      </c>
      <c r="D983" s="10" t="str">
        <f>HYPERLINK("https://facebook.com/367089020688300_508812506515950", "367089020688300_508812506515950")</f>
        <v>367089020688300_508812506515950</v>
      </c>
      <c r="E983" s="11">
        <v>434.0</v>
      </c>
      <c r="F983" s="11">
        <v>12.0</v>
      </c>
      <c r="G983" s="11">
        <v>176.0</v>
      </c>
      <c r="H983" s="9" t="s">
        <v>26</v>
      </c>
      <c r="I983" s="9" t="s">
        <v>4331</v>
      </c>
      <c r="J983" s="16" t="s">
        <v>4332</v>
      </c>
      <c r="K983" s="9"/>
      <c r="L983" s="9" t="s">
        <v>30</v>
      </c>
      <c r="M983" s="9" t="s">
        <v>31</v>
      </c>
      <c r="N983" s="9" t="s">
        <v>32</v>
      </c>
      <c r="O983" s="12" t="s">
        <v>33</v>
      </c>
      <c r="P983" s="12" t="s">
        <v>34</v>
      </c>
      <c r="Q983" s="9"/>
      <c r="R983" s="18"/>
      <c r="S983" s="18"/>
      <c r="T983" s="18"/>
      <c r="U983" s="18"/>
      <c r="V983" s="18"/>
      <c r="W983" s="15"/>
      <c r="X983" s="15"/>
    </row>
    <row r="984">
      <c r="A984" s="7">
        <v>983.0</v>
      </c>
      <c r="B984" s="8" t="s">
        <v>4333</v>
      </c>
      <c r="C984" s="9" t="s">
        <v>4334</v>
      </c>
      <c r="D984" s="10" t="str">
        <f>HYPERLINK("https://facebook.com/367089020688300_421985148532020", "367089020688300_421985148532020")</f>
        <v>367089020688300_421985148532020</v>
      </c>
      <c r="E984" s="11">
        <v>260.0</v>
      </c>
      <c r="F984" s="11">
        <v>11.0</v>
      </c>
      <c r="G984" s="11">
        <v>321.0</v>
      </c>
      <c r="H984" s="9" t="s">
        <v>26</v>
      </c>
      <c r="I984" s="9" t="s">
        <v>4335</v>
      </c>
      <c r="J984" s="9" t="s">
        <v>4336</v>
      </c>
      <c r="K984" s="9" t="s">
        <v>4337</v>
      </c>
      <c r="L984" s="9" t="s">
        <v>30</v>
      </c>
      <c r="M984" s="9" t="s">
        <v>31</v>
      </c>
      <c r="N984" s="9" t="s">
        <v>32</v>
      </c>
      <c r="O984" s="12" t="s">
        <v>33</v>
      </c>
      <c r="P984" s="12" t="s">
        <v>34</v>
      </c>
      <c r="Q984" s="9"/>
      <c r="R984" s="18"/>
      <c r="S984" s="18"/>
      <c r="T984" s="18"/>
      <c r="U984" s="18"/>
      <c r="V984" s="18"/>
      <c r="W984" s="15"/>
      <c r="X984" s="15"/>
    </row>
    <row r="985">
      <c r="A985" s="7">
        <v>984.0</v>
      </c>
      <c r="B985" s="8" t="s">
        <v>4338</v>
      </c>
      <c r="C985" s="9" t="s">
        <v>4339</v>
      </c>
      <c r="D985" s="10" t="str">
        <f>HYPERLINK("https://facebook.com/367089020688300_546296672767533", "367089020688300_546296672767533")</f>
        <v>367089020688300_546296672767533</v>
      </c>
      <c r="E985" s="11">
        <v>32.0</v>
      </c>
      <c r="F985" s="11">
        <v>0.0</v>
      </c>
      <c r="G985" s="11">
        <v>48.0</v>
      </c>
      <c r="H985" s="9" t="s">
        <v>26</v>
      </c>
      <c r="I985" s="9" t="s">
        <v>1893</v>
      </c>
      <c r="J985" s="16" t="s">
        <v>1894</v>
      </c>
      <c r="K985" s="9"/>
      <c r="L985" s="9" t="s">
        <v>30</v>
      </c>
      <c r="M985" s="9" t="s">
        <v>31</v>
      </c>
      <c r="N985" s="9" t="s">
        <v>32</v>
      </c>
      <c r="O985" s="12" t="s">
        <v>33</v>
      </c>
      <c r="P985" s="12" t="s">
        <v>34</v>
      </c>
      <c r="Q985" s="9"/>
      <c r="R985" s="18"/>
      <c r="S985" s="18"/>
      <c r="T985" s="18"/>
      <c r="U985" s="18"/>
      <c r="V985" s="18"/>
      <c r="W985" s="15"/>
      <c r="X985" s="15"/>
    </row>
    <row r="986">
      <c r="A986" s="7">
        <v>985.0</v>
      </c>
      <c r="B986" s="8" t="s">
        <v>4340</v>
      </c>
      <c r="C986" s="9" t="s">
        <v>4341</v>
      </c>
      <c r="D986" s="10" t="str">
        <f>HYPERLINK("https://facebook.com/367089020688300_548928392504361", "367089020688300_548928392504361")</f>
        <v>367089020688300_548928392504361</v>
      </c>
      <c r="E986" s="11">
        <v>73.0</v>
      </c>
      <c r="F986" s="11">
        <v>0.0</v>
      </c>
      <c r="G986" s="11">
        <v>44.0</v>
      </c>
      <c r="H986" s="9" t="s">
        <v>26</v>
      </c>
      <c r="I986" s="9" t="s">
        <v>4342</v>
      </c>
      <c r="J986" s="16" t="s">
        <v>4343</v>
      </c>
      <c r="K986" s="9"/>
      <c r="L986" s="9" t="s">
        <v>30</v>
      </c>
      <c r="M986" s="9" t="s">
        <v>31</v>
      </c>
      <c r="N986" s="9" t="s">
        <v>32</v>
      </c>
      <c r="O986" s="12" t="s">
        <v>33</v>
      </c>
      <c r="P986" s="12" t="s">
        <v>34</v>
      </c>
      <c r="Q986" s="9"/>
      <c r="R986" s="18"/>
      <c r="S986" s="18"/>
      <c r="T986" s="18"/>
      <c r="U986" s="18"/>
      <c r="V986" s="18"/>
      <c r="W986" s="15"/>
      <c r="X986" s="15"/>
    </row>
    <row r="987">
      <c r="A987" s="7">
        <v>986.0</v>
      </c>
      <c r="B987" s="8" t="s">
        <v>4344</v>
      </c>
      <c r="C987" s="9" t="s">
        <v>4345</v>
      </c>
      <c r="D987" s="10" t="str">
        <f>HYPERLINK("https://facebook.com/367089020688300_552606578803209", "367089020688300_552606578803209")</f>
        <v>367089020688300_552606578803209</v>
      </c>
      <c r="E987" s="11">
        <v>19.0</v>
      </c>
      <c r="F987" s="11">
        <v>0.0</v>
      </c>
      <c r="G987" s="11">
        <v>41.0</v>
      </c>
      <c r="H987" s="9" t="s">
        <v>26</v>
      </c>
      <c r="I987" s="9" t="s">
        <v>4346</v>
      </c>
      <c r="J987" s="9" t="s">
        <v>4347</v>
      </c>
      <c r="K987" s="9" t="s">
        <v>4348</v>
      </c>
      <c r="L987" s="9" t="s">
        <v>30</v>
      </c>
      <c r="M987" s="9" t="s">
        <v>31</v>
      </c>
      <c r="N987" s="9" t="s">
        <v>32</v>
      </c>
      <c r="O987" s="12" t="s">
        <v>33</v>
      </c>
      <c r="P987" s="12" t="s">
        <v>34</v>
      </c>
      <c r="Q987" s="9"/>
      <c r="R987" s="18"/>
      <c r="S987" s="18"/>
      <c r="T987" s="18"/>
      <c r="U987" s="18"/>
      <c r="V987" s="18"/>
      <c r="W987" s="15"/>
      <c r="X987" s="15"/>
    </row>
    <row r="988">
      <c r="A988" s="7">
        <v>987.0</v>
      </c>
      <c r="B988" s="8" t="s">
        <v>4349</v>
      </c>
      <c r="C988" s="9" t="s">
        <v>4350</v>
      </c>
      <c r="D988" s="10" t="str">
        <f>HYPERLINK("https://facebook.com/367089020688300_520378022026065", "367089020688300_520378022026065")</f>
        <v>367089020688300_520378022026065</v>
      </c>
      <c r="E988" s="11">
        <v>101.0</v>
      </c>
      <c r="F988" s="11">
        <v>1.0</v>
      </c>
      <c r="G988" s="11">
        <v>84.0</v>
      </c>
      <c r="H988" s="9" t="s">
        <v>26</v>
      </c>
      <c r="I988" s="9" t="s">
        <v>4351</v>
      </c>
      <c r="J988" s="9" t="s">
        <v>4352</v>
      </c>
      <c r="K988" s="9" t="s">
        <v>4353</v>
      </c>
      <c r="L988" s="9" t="s">
        <v>30</v>
      </c>
      <c r="M988" s="9" t="s">
        <v>31</v>
      </c>
      <c r="N988" s="9" t="s">
        <v>32</v>
      </c>
      <c r="O988" s="12" t="s">
        <v>33</v>
      </c>
      <c r="P988" s="12" t="s">
        <v>34</v>
      </c>
      <c r="Q988" s="9"/>
      <c r="R988" s="18"/>
      <c r="S988" s="18"/>
      <c r="T988" s="18"/>
      <c r="U988" s="18"/>
      <c r="V988" s="18"/>
      <c r="W988" s="15"/>
      <c r="X988" s="15"/>
    </row>
    <row r="989">
      <c r="A989" s="7">
        <v>988.0</v>
      </c>
      <c r="B989" s="8" t="s">
        <v>4354</v>
      </c>
      <c r="C989" s="9" t="s">
        <v>4355</v>
      </c>
      <c r="D989" s="10" t="str">
        <f>HYPERLINK("https://facebook.com/367089020688300_537836063613594", "367089020688300_537836063613594")</f>
        <v>367089020688300_537836063613594</v>
      </c>
      <c r="E989" s="11">
        <v>279.0</v>
      </c>
      <c r="F989" s="11">
        <v>1.0</v>
      </c>
      <c r="G989" s="11">
        <v>255.0</v>
      </c>
      <c r="H989" s="9" t="s">
        <v>26</v>
      </c>
      <c r="I989" s="9" t="s">
        <v>4356</v>
      </c>
      <c r="J989" s="16" t="s">
        <v>4357</v>
      </c>
      <c r="K989" s="9"/>
      <c r="L989" s="9" t="s">
        <v>30</v>
      </c>
      <c r="M989" s="9" t="s">
        <v>31</v>
      </c>
      <c r="N989" s="9" t="s">
        <v>32</v>
      </c>
      <c r="O989" s="12" t="s">
        <v>33</v>
      </c>
      <c r="P989" s="12" t="s">
        <v>34</v>
      </c>
      <c r="Q989" s="9"/>
      <c r="R989" s="18"/>
      <c r="S989" s="18"/>
      <c r="T989" s="18"/>
      <c r="U989" s="18"/>
      <c r="V989" s="18"/>
      <c r="W989" s="15"/>
      <c r="X989" s="15"/>
    </row>
    <row r="990">
      <c r="A990" s="7">
        <v>989.0</v>
      </c>
      <c r="B990" s="8" t="s">
        <v>4358</v>
      </c>
      <c r="C990" s="9" t="s">
        <v>4359</v>
      </c>
      <c r="D990" s="10" t="str">
        <f>HYPERLINK("https://facebook.com/367089020688300_513826319347902", "367089020688300_513826319347902")</f>
        <v>367089020688300_513826319347902</v>
      </c>
      <c r="E990" s="11">
        <v>314.0</v>
      </c>
      <c r="F990" s="11">
        <v>4.0</v>
      </c>
      <c r="G990" s="11">
        <v>155.0</v>
      </c>
      <c r="H990" s="9" t="s">
        <v>26</v>
      </c>
      <c r="I990" s="9" t="s">
        <v>4360</v>
      </c>
      <c r="J990" s="9" t="s">
        <v>4361</v>
      </c>
      <c r="K990" s="9" t="s">
        <v>2093</v>
      </c>
      <c r="L990" s="9" t="s">
        <v>30</v>
      </c>
      <c r="M990" s="9" t="s">
        <v>31</v>
      </c>
      <c r="N990" s="9" t="s">
        <v>32</v>
      </c>
      <c r="O990" s="12" t="s">
        <v>33</v>
      </c>
      <c r="P990" s="12" t="s">
        <v>34</v>
      </c>
      <c r="Q990" s="9"/>
      <c r="R990" s="18"/>
      <c r="S990" s="18"/>
      <c r="T990" s="18"/>
      <c r="U990" s="18"/>
      <c r="V990" s="18"/>
      <c r="W990" s="15"/>
      <c r="X990" s="15"/>
    </row>
    <row r="991">
      <c r="A991" s="7">
        <v>990.0</v>
      </c>
      <c r="B991" s="8" t="s">
        <v>4362</v>
      </c>
      <c r="C991" s="9" t="s">
        <v>4363</v>
      </c>
      <c r="D991" s="10" t="str">
        <f>HYPERLINK("https://facebook.com/367089020688300_484974992233035", "367089020688300_484974992233035")</f>
        <v>367089020688300_484974992233035</v>
      </c>
      <c r="E991" s="11">
        <v>223.0</v>
      </c>
      <c r="F991" s="11">
        <v>14.0</v>
      </c>
      <c r="G991" s="11">
        <v>189.0</v>
      </c>
      <c r="H991" s="9" t="s">
        <v>26</v>
      </c>
      <c r="I991" s="9" t="s">
        <v>1510</v>
      </c>
      <c r="J991" s="9" t="s">
        <v>4364</v>
      </c>
      <c r="K991" s="9" t="s">
        <v>249</v>
      </c>
      <c r="L991" s="9" t="s">
        <v>30</v>
      </c>
      <c r="M991" s="9" t="s">
        <v>31</v>
      </c>
      <c r="N991" s="9" t="s">
        <v>32</v>
      </c>
      <c r="O991" s="12" t="s">
        <v>33</v>
      </c>
      <c r="P991" s="12" t="s">
        <v>34</v>
      </c>
      <c r="Q991" s="9"/>
      <c r="R991" s="18"/>
      <c r="S991" s="18"/>
      <c r="T991" s="18"/>
      <c r="U991" s="18"/>
      <c r="V991" s="18"/>
      <c r="W991" s="15"/>
      <c r="X991" s="15"/>
    </row>
    <row r="992">
      <c r="A992" s="7">
        <v>991.0</v>
      </c>
      <c r="B992" s="8" t="s">
        <v>4365</v>
      </c>
      <c r="C992" s="9" t="s">
        <v>4366</v>
      </c>
      <c r="D992" s="10" t="str">
        <f>HYPERLINK("https://facebook.com/367089020688300_480228152707719", "367089020688300_480228152707719")</f>
        <v>367089020688300_480228152707719</v>
      </c>
      <c r="E992" s="11">
        <v>42.0</v>
      </c>
      <c r="F992" s="11">
        <v>1.0</v>
      </c>
      <c r="G992" s="11">
        <v>35.0</v>
      </c>
      <c r="H992" s="9" t="s">
        <v>26</v>
      </c>
      <c r="I992" s="9" t="s">
        <v>4367</v>
      </c>
      <c r="J992" s="16" t="s">
        <v>4368</v>
      </c>
      <c r="K992" s="9"/>
      <c r="L992" s="9" t="s">
        <v>30</v>
      </c>
      <c r="M992" s="9" t="s">
        <v>31</v>
      </c>
      <c r="N992" s="9" t="s">
        <v>32</v>
      </c>
      <c r="O992" s="12" t="s">
        <v>33</v>
      </c>
      <c r="P992" s="12" t="s">
        <v>34</v>
      </c>
      <c r="Q992" s="9"/>
      <c r="R992" s="18"/>
      <c r="S992" s="18"/>
      <c r="T992" s="18"/>
      <c r="U992" s="18"/>
      <c r="V992" s="18"/>
      <c r="W992" s="15"/>
      <c r="X992" s="15"/>
    </row>
    <row r="993">
      <c r="A993" s="7">
        <v>992.0</v>
      </c>
      <c r="B993" s="8" t="s">
        <v>4369</v>
      </c>
      <c r="C993" s="9" t="s">
        <v>4370</v>
      </c>
      <c r="D993" s="10" t="str">
        <f>HYPERLINK("https://facebook.com/367089020688300_516452445751956", "367089020688300_516452445751956")</f>
        <v>367089020688300_516452445751956</v>
      </c>
      <c r="E993" s="11">
        <v>27.0</v>
      </c>
      <c r="F993" s="11">
        <v>0.0</v>
      </c>
      <c r="G993" s="11">
        <v>7.0</v>
      </c>
      <c r="H993" s="9" t="s">
        <v>26</v>
      </c>
      <c r="I993" s="9" t="s">
        <v>2883</v>
      </c>
      <c r="J993" s="9" t="s">
        <v>4371</v>
      </c>
      <c r="K993" s="9" t="s">
        <v>3440</v>
      </c>
      <c r="L993" s="9" t="s">
        <v>30</v>
      </c>
      <c r="M993" s="9" t="s">
        <v>31</v>
      </c>
      <c r="N993" s="9" t="s">
        <v>32</v>
      </c>
      <c r="O993" s="12" t="s">
        <v>33</v>
      </c>
      <c r="P993" s="12" t="s">
        <v>34</v>
      </c>
      <c r="Q993" s="9"/>
      <c r="R993" s="18"/>
      <c r="S993" s="18"/>
      <c r="T993" s="18"/>
      <c r="U993" s="18"/>
      <c r="V993" s="18"/>
      <c r="W993" s="15"/>
      <c r="X993" s="15"/>
    </row>
    <row r="994">
      <c r="A994" s="7">
        <v>993.0</v>
      </c>
      <c r="B994" s="8" t="s">
        <v>4372</v>
      </c>
      <c r="C994" s="9" t="s">
        <v>4373</v>
      </c>
      <c r="D994" s="10" t="str">
        <f>HYPERLINK("https://facebook.com/367089020688300_489069418490259", "367089020688300_489069418490259")</f>
        <v>367089020688300_489069418490259</v>
      </c>
      <c r="E994" s="11">
        <v>53.0</v>
      </c>
      <c r="F994" s="11">
        <v>0.0</v>
      </c>
      <c r="G994" s="11">
        <v>139.0</v>
      </c>
      <c r="H994" s="9" t="s">
        <v>26</v>
      </c>
      <c r="I994" s="9" t="s">
        <v>4374</v>
      </c>
      <c r="J994" s="16" t="s">
        <v>4375</v>
      </c>
      <c r="K994" s="9"/>
      <c r="L994" s="9" t="s">
        <v>30</v>
      </c>
      <c r="M994" s="9" t="s">
        <v>31</v>
      </c>
      <c r="N994" s="9" t="s">
        <v>32</v>
      </c>
      <c r="O994" s="12" t="s">
        <v>33</v>
      </c>
      <c r="P994" s="12" t="s">
        <v>34</v>
      </c>
      <c r="Q994" s="9"/>
      <c r="R994" s="18"/>
      <c r="S994" s="18"/>
      <c r="T994" s="18"/>
      <c r="U994" s="18"/>
      <c r="V994" s="18"/>
      <c r="W994" s="15"/>
      <c r="X994" s="15"/>
    </row>
    <row r="995">
      <c r="A995" s="7">
        <v>994.0</v>
      </c>
      <c r="B995" s="8" t="s">
        <v>4376</v>
      </c>
      <c r="C995" s="9" t="s">
        <v>4377</v>
      </c>
      <c r="D995" s="10" t="str">
        <f>HYPERLINK("https://facebook.com/367089020688300_562230017840865", "367089020688300_562230017840865")</f>
        <v>367089020688300_562230017840865</v>
      </c>
      <c r="E995" s="11">
        <v>208.0</v>
      </c>
      <c r="F995" s="11">
        <v>4.0</v>
      </c>
      <c r="G995" s="11">
        <v>197.0</v>
      </c>
      <c r="H995" s="9" t="s">
        <v>26</v>
      </c>
      <c r="I995" s="9" t="s">
        <v>4378</v>
      </c>
      <c r="J995" s="16" t="s">
        <v>4379</v>
      </c>
      <c r="K995" s="9"/>
      <c r="L995" s="9" t="s">
        <v>30</v>
      </c>
      <c r="M995" s="9" t="s">
        <v>31</v>
      </c>
      <c r="N995" s="9" t="s">
        <v>32</v>
      </c>
      <c r="O995" s="12" t="s">
        <v>33</v>
      </c>
      <c r="P995" s="12" t="s">
        <v>34</v>
      </c>
      <c r="Q995" s="9"/>
      <c r="R995" s="18"/>
      <c r="S995" s="18"/>
      <c r="T995" s="18"/>
      <c r="U995" s="18"/>
      <c r="V995" s="18"/>
      <c r="W995" s="15"/>
      <c r="X995" s="15"/>
    </row>
    <row r="996">
      <c r="A996" s="7">
        <v>995.0</v>
      </c>
      <c r="B996" s="8" t="s">
        <v>4380</v>
      </c>
      <c r="C996" s="9" t="s">
        <v>4381</v>
      </c>
      <c r="D996" s="10" t="str">
        <f>HYPERLINK("https://facebook.com/367089020688300_509909963072871", "367089020688300_509909963072871")</f>
        <v>367089020688300_509909963072871</v>
      </c>
      <c r="E996" s="11">
        <v>141.0</v>
      </c>
      <c r="F996" s="11">
        <v>9.0</v>
      </c>
      <c r="G996" s="11">
        <v>44.0</v>
      </c>
      <c r="H996" s="9" t="s">
        <v>26</v>
      </c>
      <c r="I996" s="9" t="s">
        <v>4382</v>
      </c>
      <c r="J996" s="9" t="s">
        <v>4383</v>
      </c>
      <c r="K996" s="9" t="s">
        <v>3271</v>
      </c>
      <c r="L996" s="9" t="s">
        <v>30</v>
      </c>
      <c r="M996" s="9" t="s">
        <v>31</v>
      </c>
      <c r="N996" s="9" t="s">
        <v>32</v>
      </c>
      <c r="O996" s="12" t="s">
        <v>33</v>
      </c>
      <c r="P996" s="12" t="s">
        <v>34</v>
      </c>
      <c r="Q996" s="9"/>
      <c r="R996" s="18"/>
      <c r="S996" s="18"/>
      <c r="T996" s="18"/>
      <c r="U996" s="18"/>
      <c r="V996" s="18"/>
      <c r="W996" s="15"/>
      <c r="X996" s="15"/>
    </row>
    <row r="997">
      <c r="A997" s="7">
        <v>996.0</v>
      </c>
      <c r="B997" s="8" t="s">
        <v>4384</v>
      </c>
      <c r="C997" s="9" t="s">
        <v>4385</v>
      </c>
      <c r="D997" s="10" t="str">
        <f>HYPERLINK("https://facebook.com/367089020688300_536074777123056", "367089020688300_536074777123056")</f>
        <v>367089020688300_536074777123056</v>
      </c>
      <c r="E997" s="11">
        <v>494.0</v>
      </c>
      <c r="F997" s="11">
        <v>3.0</v>
      </c>
      <c r="G997" s="11">
        <v>502.0</v>
      </c>
      <c r="H997" s="9" t="s">
        <v>26</v>
      </c>
      <c r="I997" s="9" t="s">
        <v>4386</v>
      </c>
      <c r="J997" s="16" t="s">
        <v>4387</v>
      </c>
      <c r="K997" s="9"/>
      <c r="L997" s="9" t="s">
        <v>30</v>
      </c>
      <c r="M997" s="9" t="s">
        <v>31</v>
      </c>
      <c r="N997" s="9" t="s">
        <v>32</v>
      </c>
      <c r="O997" s="12" t="s">
        <v>33</v>
      </c>
      <c r="P997" s="12" t="s">
        <v>34</v>
      </c>
      <c r="Q997" s="9"/>
      <c r="R997" s="18"/>
      <c r="S997" s="18"/>
      <c r="T997" s="18"/>
      <c r="U997" s="18"/>
      <c r="V997" s="18"/>
      <c r="W997" s="15"/>
      <c r="X997" s="15"/>
    </row>
    <row r="998">
      <c r="A998" s="7">
        <v>997.0</v>
      </c>
      <c r="B998" s="8" t="s">
        <v>4388</v>
      </c>
      <c r="C998" s="9" t="s">
        <v>4389</v>
      </c>
      <c r="D998" s="10" t="str">
        <f>HYPERLINK("https://facebook.com/367089020688300_463565247707343", "367089020688300_463565247707343")</f>
        <v>367089020688300_463565247707343</v>
      </c>
      <c r="E998" s="11">
        <v>336.0</v>
      </c>
      <c r="F998" s="11">
        <v>4.0</v>
      </c>
      <c r="G998" s="11">
        <v>235.0</v>
      </c>
      <c r="H998" s="9" t="s">
        <v>26</v>
      </c>
      <c r="I998" s="9" t="s">
        <v>4390</v>
      </c>
      <c r="J998" s="9" t="s">
        <v>4391</v>
      </c>
      <c r="K998" s="9" t="s">
        <v>4392</v>
      </c>
      <c r="L998" s="9" t="s">
        <v>30</v>
      </c>
      <c r="M998" s="9" t="s">
        <v>31</v>
      </c>
      <c r="N998" s="9" t="s">
        <v>32</v>
      </c>
      <c r="O998" s="12" t="s">
        <v>33</v>
      </c>
      <c r="P998" s="12" t="s">
        <v>34</v>
      </c>
      <c r="Q998" s="9"/>
      <c r="R998" s="18"/>
      <c r="S998" s="18"/>
      <c r="T998" s="18"/>
      <c r="U998" s="18"/>
      <c r="V998" s="18"/>
      <c r="W998" s="15"/>
      <c r="X998" s="15"/>
    </row>
    <row r="999">
      <c r="A999" s="7">
        <v>998.0</v>
      </c>
      <c r="B999" s="8" t="s">
        <v>4393</v>
      </c>
      <c r="C999" s="9" t="s">
        <v>4394</v>
      </c>
      <c r="D999" s="10" t="str">
        <f>HYPERLINK("https://facebook.com/367089020688300_498248067572394", "367089020688300_498248067572394")</f>
        <v>367089020688300_498248067572394</v>
      </c>
      <c r="E999" s="11">
        <v>71.0</v>
      </c>
      <c r="F999" s="11">
        <v>0.0</v>
      </c>
      <c r="G999" s="11">
        <v>73.0</v>
      </c>
      <c r="H999" s="9" t="s">
        <v>26</v>
      </c>
      <c r="I999" s="9" t="s">
        <v>4395</v>
      </c>
      <c r="J999" s="9" t="s">
        <v>4396</v>
      </c>
      <c r="K999" s="9" t="s">
        <v>4397</v>
      </c>
      <c r="L999" s="9" t="s">
        <v>30</v>
      </c>
      <c r="M999" s="9" t="s">
        <v>31</v>
      </c>
      <c r="N999" s="9" t="s">
        <v>32</v>
      </c>
      <c r="O999" s="12" t="s">
        <v>33</v>
      </c>
      <c r="P999" s="12" t="s">
        <v>34</v>
      </c>
      <c r="Q999" s="9"/>
      <c r="R999" s="18"/>
      <c r="S999" s="18"/>
      <c r="T999" s="18"/>
      <c r="U999" s="18"/>
      <c r="V999" s="18"/>
      <c r="W999" s="15"/>
      <c r="X999" s="15"/>
    </row>
    <row r="1000">
      <c r="A1000" s="7">
        <v>999.0</v>
      </c>
      <c r="B1000" s="8" t="s">
        <v>4398</v>
      </c>
      <c r="C1000" s="9" t="s">
        <v>4399</v>
      </c>
      <c r="D1000" s="10" t="str">
        <f>HYPERLINK("https://facebook.com/367089020688300_542738693123331", "367089020688300_542738693123331")</f>
        <v>367089020688300_542738693123331</v>
      </c>
      <c r="E1000" s="11">
        <v>527.0</v>
      </c>
      <c r="F1000" s="11">
        <v>10.0</v>
      </c>
      <c r="G1000" s="11">
        <v>751.0</v>
      </c>
      <c r="H1000" s="9" t="s">
        <v>26</v>
      </c>
      <c r="I1000" s="9" t="s">
        <v>4400</v>
      </c>
      <c r="J1000" s="16" t="s">
        <v>4401</v>
      </c>
      <c r="K1000" s="9"/>
      <c r="L1000" s="9" t="s">
        <v>30</v>
      </c>
      <c r="M1000" s="9" t="s">
        <v>31</v>
      </c>
      <c r="N1000" s="9" t="s">
        <v>32</v>
      </c>
      <c r="O1000" s="12" t="s">
        <v>33</v>
      </c>
      <c r="P1000" s="12" t="s">
        <v>34</v>
      </c>
      <c r="Q1000" s="9"/>
      <c r="R1000" s="18"/>
      <c r="S1000" s="18"/>
      <c r="T1000" s="18"/>
      <c r="U1000" s="18"/>
      <c r="V1000" s="18"/>
      <c r="W1000" s="15"/>
      <c r="X1000" s="15"/>
    </row>
    <row r="1001">
      <c r="A1001" s="7">
        <v>1000.0</v>
      </c>
      <c r="B1001" s="8" t="s">
        <v>4402</v>
      </c>
      <c r="C1001" s="9" t="s">
        <v>4403</v>
      </c>
      <c r="D1001" s="10" t="str">
        <f>HYPERLINK("https://facebook.com/367089020688300_551744835556050", "367089020688300_551744835556050")</f>
        <v>367089020688300_551744835556050</v>
      </c>
      <c r="E1001" s="11">
        <v>40.0</v>
      </c>
      <c r="F1001" s="11">
        <v>0.0</v>
      </c>
      <c r="G1001" s="11">
        <v>30.0</v>
      </c>
      <c r="H1001" s="9" t="s">
        <v>26</v>
      </c>
      <c r="I1001" s="9" t="s">
        <v>4404</v>
      </c>
      <c r="J1001" s="16" t="s">
        <v>4405</v>
      </c>
      <c r="K1001" s="9"/>
      <c r="L1001" s="9" t="s">
        <v>30</v>
      </c>
      <c r="M1001" s="9" t="s">
        <v>31</v>
      </c>
      <c r="N1001" s="9" t="s">
        <v>32</v>
      </c>
      <c r="O1001" s="12" t="s">
        <v>33</v>
      </c>
      <c r="P1001" s="12" t="s">
        <v>34</v>
      </c>
      <c r="Q1001" s="9"/>
      <c r="R1001" s="18"/>
      <c r="S1001" s="18"/>
      <c r="T1001" s="18"/>
      <c r="U1001" s="18"/>
      <c r="V1001" s="18"/>
      <c r="W1001" s="15"/>
      <c r="X1001" s="15"/>
    </row>
    <row r="1002">
      <c r="A1002" s="7">
        <v>1001.0</v>
      </c>
      <c r="B1002" s="8" t="s">
        <v>4406</v>
      </c>
      <c r="C1002" s="9" t="s">
        <v>4407</v>
      </c>
      <c r="D1002" s="10" t="str">
        <f>HYPERLINK("https://facebook.com/367089020688300_551896168874250", "367089020688300_551896168874250")</f>
        <v>367089020688300_551896168874250</v>
      </c>
      <c r="E1002" s="11">
        <v>99.0</v>
      </c>
      <c r="F1002" s="11">
        <v>12.0</v>
      </c>
      <c r="G1002" s="11">
        <v>284.0</v>
      </c>
      <c r="H1002" s="9" t="s">
        <v>26</v>
      </c>
      <c r="I1002" s="9" t="s">
        <v>3459</v>
      </c>
      <c r="J1002" s="16" t="s">
        <v>3460</v>
      </c>
      <c r="K1002" s="9"/>
      <c r="L1002" s="9" t="s">
        <v>30</v>
      </c>
      <c r="M1002" s="9" t="s">
        <v>31</v>
      </c>
      <c r="N1002" s="9" t="s">
        <v>32</v>
      </c>
      <c r="O1002" s="12" t="s">
        <v>33</v>
      </c>
      <c r="P1002" s="12" t="s">
        <v>34</v>
      </c>
      <c r="Q1002" s="9"/>
      <c r="R1002" s="18"/>
      <c r="S1002" s="18"/>
      <c r="T1002" s="18"/>
      <c r="U1002" s="18"/>
      <c r="V1002" s="18"/>
      <c r="W1002" s="15"/>
      <c r="X1002" s="15"/>
    </row>
    <row r="1003">
      <c r="A1003" s="7">
        <v>1002.0</v>
      </c>
      <c r="B1003" s="8" t="s">
        <v>4408</v>
      </c>
      <c r="C1003" s="9" t="s">
        <v>4409</v>
      </c>
      <c r="D1003" s="10" t="str">
        <f>HYPERLINK("https://facebook.com/367089020688300_506174236779777", "367089020688300_506174236779777")</f>
        <v>367089020688300_506174236779777</v>
      </c>
      <c r="E1003" s="11">
        <v>1261.0</v>
      </c>
      <c r="F1003" s="11">
        <v>91.0</v>
      </c>
      <c r="G1003" s="11">
        <v>564.0</v>
      </c>
      <c r="H1003" s="9" t="s">
        <v>26</v>
      </c>
      <c r="I1003" s="9" t="s">
        <v>4410</v>
      </c>
      <c r="J1003" s="9" t="s">
        <v>4411</v>
      </c>
      <c r="K1003" s="9" t="s">
        <v>4412</v>
      </c>
      <c r="L1003" s="9" t="s">
        <v>30</v>
      </c>
      <c r="M1003" s="9" t="s">
        <v>31</v>
      </c>
      <c r="N1003" s="9" t="s">
        <v>32</v>
      </c>
      <c r="O1003" s="12" t="s">
        <v>33</v>
      </c>
      <c r="P1003" s="12" t="s">
        <v>34</v>
      </c>
      <c r="Q1003" s="9"/>
      <c r="R1003" s="18"/>
      <c r="S1003" s="18"/>
      <c r="T1003" s="18"/>
      <c r="U1003" s="18"/>
      <c r="V1003" s="18"/>
      <c r="W1003" s="15"/>
      <c r="X1003" s="15"/>
    </row>
    <row r="1004">
      <c r="A1004" s="7">
        <v>1003.0</v>
      </c>
      <c r="B1004" s="8" t="s">
        <v>4413</v>
      </c>
      <c r="C1004" s="9" t="s">
        <v>4414</v>
      </c>
      <c r="D1004" s="10" t="str">
        <f>HYPERLINK("https://facebook.com/367089020688300_544635956266938", "367089020688300_544635956266938")</f>
        <v>367089020688300_544635956266938</v>
      </c>
      <c r="E1004" s="11">
        <v>549.0</v>
      </c>
      <c r="F1004" s="11">
        <v>15.0</v>
      </c>
      <c r="G1004" s="11">
        <v>266.0</v>
      </c>
      <c r="H1004" s="9" t="s">
        <v>26</v>
      </c>
      <c r="I1004" s="9" t="s">
        <v>4415</v>
      </c>
      <c r="J1004" s="9" t="s">
        <v>4416</v>
      </c>
      <c r="K1004" s="9" t="s">
        <v>4417</v>
      </c>
      <c r="L1004" s="9" t="s">
        <v>30</v>
      </c>
      <c r="M1004" s="9" t="s">
        <v>31</v>
      </c>
      <c r="N1004" s="9" t="s">
        <v>32</v>
      </c>
      <c r="O1004" s="12" t="s">
        <v>33</v>
      </c>
      <c r="P1004" s="12" t="s">
        <v>34</v>
      </c>
      <c r="Q1004" s="9"/>
      <c r="R1004" s="18"/>
      <c r="S1004" s="18"/>
      <c r="T1004" s="18"/>
      <c r="U1004" s="18"/>
      <c r="V1004" s="18"/>
      <c r="W1004" s="15"/>
      <c r="X1004" s="15"/>
    </row>
    <row r="1005">
      <c r="A1005" s="7">
        <v>1004.0</v>
      </c>
      <c r="B1005" s="8" t="s">
        <v>4418</v>
      </c>
      <c r="C1005" s="9" t="s">
        <v>4419</v>
      </c>
      <c r="D1005" s="10" t="str">
        <f>HYPERLINK("https://facebook.com/367089020688300_523088135088387", "367089020688300_523088135088387")</f>
        <v>367089020688300_523088135088387</v>
      </c>
      <c r="E1005" s="11">
        <v>166.0</v>
      </c>
      <c r="F1005" s="11">
        <v>5.0</v>
      </c>
      <c r="G1005" s="11">
        <v>88.0</v>
      </c>
      <c r="H1005" s="9" t="s">
        <v>26</v>
      </c>
      <c r="I1005" s="9" t="s">
        <v>4420</v>
      </c>
      <c r="J1005" s="9" t="s">
        <v>4421</v>
      </c>
      <c r="K1005" s="9" t="s">
        <v>1345</v>
      </c>
      <c r="L1005" s="9" t="s">
        <v>30</v>
      </c>
      <c r="M1005" s="9" t="s">
        <v>31</v>
      </c>
      <c r="N1005" s="9" t="s">
        <v>32</v>
      </c>
      <c r="O1005" s="12" t="s">
        <v>33</v>
      </c>
      <c r="P1005" s="12" t="s">
        <v>34</v>
      </c>
      <c r="Q1005" s="9"/>
      <c r="R1005" s="18"/>
      <c r="S1005" s="18"/>
      <c r="T1005" s="18"/>
      <c r="U1005" s="18"/>
      <c r="V1005" s="18"/>
      <c r="W1005" s="15"/>
      <c r="X1005" s="15"/>
    </row>
    <row r="1006">
      <c r="A1006" s="7">
        <v>1005.0</v>
      </c>
      <c r="B1006" s="8" t="s">
        <v>4422</v>
      </c>
      <c r="C1006" s="9" t="s">
        <v>4423</v>
      </c>
      <c r="D1006" s="10" t="str">
        <f>HYPERLINK("https://facebook.com/367089020688300_550422955688238", "367089020688300_550422955688238")</f>
        <v>367089020688300_550422955688238</v>
      </c>
      <c r="E1006" s="11">
        <v>25.0</v>
      </c>
      <c r="F1006" s="11">
        <v>0.0</v>
      </c>
      <c r="G1006" s="11">
        <v>10.0</v>
      </c>
      <c r="H1006" s="9" t="s">
        <v>26</v>
      </c>
      <c r="I1006" s="9" t="s">
        <v>4424</v>
      </c>
      <c r="J1006" s="9" t="s">
        <v>4425</v>
      </c>
      <c r="K1006" s="9" t="s">
        <v>4426</v>
      </c>
      <c r="L1006" s="9" t="s">
        <v>30</v>
      </c>
      <c r="M1006" s="9" t="s">
        <v>31</v>
      </c>
      <c r="N1006" s="9" t="s">
        <v>32</v>
      </c>
      <c r="O1006" s="12" t="s">
        <v>33</v>
      </c>
      <c r="P1006" s="12" t="s">
        <v>34</v>
      </c>
      <c r="Q1006" s="9"/>
      <c r="R1006" s="18"/>
      <c r="S1006" s="18"/>
      <c r="T1006" s="18"/>
      <c r="U1006" s="18"/>
      <c r="V1006" s="18"/>
      <c r="W1006" s="15"/>
      <c r="X1006" s="15"/>
    </row>
    <row r="1007">
      <c r="A1007" s="7">
        <v>1006.0</v>
      </c>
      <c r="B1007" s="8" t="s">
        <v>4427</v>
      </c>
      <c r="C1007" s="9" t="s">
        <v>4428</v>
      </c>
      <c r="D1007" s="10" t="str">
        <f>HYPERLINK("https://facebook.com/367089020688300_504198193644048", "367089020688300_504198193644048")</f>
        <v>367089020688300_504198193644048</v>
      </c>
      <c r="E1007" s="11">
        <v>160.0</v>
      </c>
      <c r="F1007" s="11">
        <v>4.0</v>
      </c>
      <c r="G1007" s="11">
        <v>225.0</v>
      </c>
      <c r="H1007" s="9" t="s">
        <v>26</v>
      </c>
      <c r="I1007" s="9" t="s">
        <v>4429</v>
      </c>
      <c r="J1007" s="9" t="s">
        <v>4430</v>
      </c>
      <c r="K1007" s="9" t="s">
        <v>219</v>
      </c>
      <c r="L1007" s="9" t="s">
        <v>30</v>
      </c>
      <c r="M1007" s="9" t="s">
        <v>31</v>
      </c>
      <c r="N1007" s="9" t="s">
        <v>32</v>
      </c>
      <c r="O1007" s="12" t="s">
        <v>33</v>
      </c>
      <c r="P1007" s="12" t="s">
        <v>34</v>
      </c>
      <c r="Q1007" s="9"/>
      <c r="R1007" s="18"/>
      <c r="S1007" s="18"/>
      <c r="T1007" s="18"/>
      <c r="U1007" s="18"/>
      <c r="V1007" s="18"/>
      <c r="W1007" s="15"/>
      <c r="X1007" s="15"/>
    </row>
    <row r="1008">
      <c r="A1008" s="7">
        <v>1007.0</v>
      </c>
      <c r="B1008" s="8" t="s">
        <v>4431</v>
      </c>
      <c r="C1008" s="9" t="s">
        <v>4432</v>
      </c>
      <c r="D1008" s="10" t="str">
        <f>HYPERLINK("https://facebook.com/367089020688300_529207347809799", "367089020688300_529207347809799")</f>
        <v>367089020688300_529207347809799</v>
      </c>
      <c r="E1008" s="11">
        <v>533.0</v>
      </c>
      <c r="F1008" s="11">
        <v>10.0</v>
      </c>
      <c r="G1008" s="11">
        <v>503.0</v>
      </c>
      <c r="H1008" s="9" t="s">
        <v>26</v>
      </c>
      <c r="I1008" s="9" t="s">
        <v>4433</v>
      </c>
      <c r="J1008" s="16" t="s">
        <v>4434</v>
      </c>
      <c r="K1008" s="9"/>
      <c r="L1008" s="9" t="s">
        <v>30</v>
      </c>
      <c r="M1008" s="9" t="s">
        <v>31</v>
      </c>
      <c r="N1008" s="9" t="s">
        <v>32</v>
      </c>
      <c r="O1008" s="12" t="s">
        <v>33</v>
      </c>
      <c r="P1008" s="12" t="s">
        <v>34</v>
      </c>
      <c r="Q1008" s="9"/>
      <c r="R1008" s="18"/>
      <c r="S1008" s="18"/>
      <c r="T1008" s="18"/>
      <c r="U1008" s="18"/>
      <c r="V1008" s="18"/>
      <c r="W1008" s="15"/>
      <c r="X1008" s="15"/>
    </row>
    <row r="1009">
      <c r="A1009" s="7">
        <v>1008.0</v>
      </c>
      <c r="B1009" s="8" t="s">
        <v>4435</v>
      </c>
      <c r="C1009" s="9" t="s">
        <v>4436</v>
      </c>
      <c r="D1009" s="10" t="str">
        <f>HYPERLINK("https://facebook.com/367089020688300_475081383222396", "367089020688300_475081383222396")</f>
        <v>367089020688300_475081383222396</v>
      </c>
      <c r="E1009" s="11">
        <v>237.0</v>
      </c>
      <c r="F1009" s="11">
        <v>3.0</v>
      </c>
      <c r="G1009" s="11">
        <v>91.0</v>
      </c>
      <c r="H1009" s="9" t="s">
        <v>26</v>
      </c>
      <c r="I1009" s="9" t="s">
        <v>4437</v>
      </c>
      <c r="J1009" s="9" t="s">
        <v>4438</v>
      </c>
      <c r="K1009" s="9" t="s">
        <v>219</v>
      </c>
      <c r="L1009" s="9" t="s">
        <v>30</v>
      </c>
      <c r="M1009" s="9" t="s">
        <v>31</v>
      </c>
      <c r="N1009" s="9" t="s">
        <v>32</v>
      </c>
      <c r="O1009" s="12" t="s">
        <v>33</v>
      </c>
      <c r="P1009" s="12" t="s">
        <v>34</v>
      </c>
      <c r="Q1009" s="9"/>
      <c r="R1009" s="18"/>
      <c r="S1009" s="18"/>
      <c r="T1009" s="18"/>
      <c r="U1009" s="18"/>
      <c r="V1009" s="18"/>
      <c r="W1009" s="15"/>
      <c r="X1009" s="15"/>
    </row>
    <row r="1010">
      <c r="A1010" s="7">
        <v>1009.0</v>
      </c>
      <c r="B1010" s="8" t="s">
        <v>4439</v>
      </c>
      <c r="C1010" s="9" t="s">
        <v>4440</v>
      </c>
      <c r="D1010" s="10" t="str">
        <f>HYPERLINK("https://facebook.com/367089020688300_561054371291763", "367089020688300_561054371291763")</f>
        <v>367089020688300_561054371291763</v>
      </c>
      <c r="E1010" s="11">
        <v>576.0</v>
      </c>
      <c r="F1010" s="11">
        <v>0.0</v>
      </c>
      <c r="G1010" s="11">
        <v>52.0</v>
      </c>
      <c r="H1010" s="9" t="s">
        <v>26</v>
      </c>
      <c r="I1010" s="9" t="s">
        <v>4441</v>
      </c>
      <c r="J1010" s="16" t="s">
        <v>4442</v>
      </c>
      <c r="K1010" s="9"/>
      <c r="L1010" s="9" t="s">
        <v>30</v>
      </c>
      <c r="M1010" s="9" t="s">
        <v>31</v>
      </c>
      <c r="N1010" s="9" t="s">
        <v>32</v>
      </c>
      <c r="O1010" s="12" t="s">
        <v>33</v>
      </c>
      <c r="P1010" s="12" t="s">
        <v>34</v>
      </c>
      <c r="Q1010" s="9"/>
      <c r="R1010" s="18"/>
      <c r="S1010" s="18"/>
      <c r="T1010" s="18"/>
      <c r="U1010" s="18"/>
      <c r="V1010" s="18"/>
      <c r="W1010" s="15"/>
      <c r="X1010" s="15"/>
    </row>
    <row r="1011">
      <c r="A1011" s="7">
        <v>1010.0</v>
      </c>
      <c r="B1011" s="8" t="s">
        <v>4443</v>
      </c>
      <c r="C1011" s="9" t="s">
        <v>4444</v>
      </c>
      <c r="D1011" s="10" t="str">
        <f>HYPERLINK("https://facebook.com/367089020688300_525687971495070", "367089020688300_525687971495070")</f>
        <v>367089020688300_525687971495070</v>
      </c>
      <c r="E1011" s="11">
        <v>8.0</v>
      </c>
      <c r="F1011" s="11">
        <v>0.0</v>
      </c>
      <c r="G1011" s="11">
        <v>41.0</v>
      </c>
      <c r="H1011" s="9" t="s">
        <v>26</v>
      </c>
      <c r="I1011" s="9" t="s">
        <v>4445</v>
      </c>
      <c r="J1011" s="16" t="s">
        <v>4446</v>
      </c>
      <c r="K1011" s="9"/>
      <c r="L1011" s="9" t="s">
        <v>30</v>
      </c>
      <c r="M1011" s="9" t="s">
        <v>31</v>
      </c>
      <c r="N1011" s="9" t="s">
        <v>32</v>
      </c>
      <c r="O1011" s="12" t="s">
        <v>33</v>
      </c>
      <c r="P1011" s="12" t="s">
        <v>34</v>
      </c>
      <c r="Q1011" s="9"/>
      <c r="R1011" s="18"/>
      <c r="S1011" s="18"/>
      <c r="T1011" s="18"/>
      <c r="U1011" s="18"/>
      <c r="V1011" s="18"/>
      <c r="W1011" s="15"/>
      <c r="X1011" s="15"/>
    </row>
    <row r="1012">
      <c r="A1012" s="7">
        <v>1011.0</v>
      </c>
      <c r="B1012" s="8" t="s">
        <v>4447</v>
      </c>
      <c r="C1012" s="9" t="s">
        <v>4448</v>
      </c>
      <c r="D1012" s="10" t="str">
        <f>HYPERLINK("https://facebook.com/367089020688300_531817630882104", "367089020688300_531817630882104")</f>
        <v>367089020688300_531817630882104</v>
      </c>
      <c r="E1012" s="11">
        <v>98.0</v>
      </c>
      <c r="F1012" s="11">
        <v>0.0</v>
      </c>
      <c r="G1012" s="11">
        <v>34.0</v>
      </c>
      <c r="H1012" s="9" t="s">
        <v>26</v>
      </c>
      <c r="I1012" s="9" t="s">
        <v>4449</v>
      </c>
      <c r="J1012" s="9" t="s">
        <v>4450</v>
      </c>
      <c r="K1012" s="9" t="s">
        <v>4451</v>
      </c>
      <c r="L1012" s="9" t="s">
        <v>30</v>
      </c>
      <c r="M1012" s="9" t="s">
        <v>31</v>
      </c>
      <c r="N1012" s="9" t="s">
        <v>32</v>
      </c>
      <c r="O1012" s="12" t="s">
        <v>33</v>
      </c>
      <c r="P1012" s="12" t="s">
        <v>34</v>
      </c>
      <c r="Q1012" s="9"/>
      <c r="R1012" s="18"/>
      <c r="S1012" s="18"/>
      <c r="T1012" s="18"/>
      <c r="U1012" s="18"/>
      <c r="V1012" s="18"/>
      <c r="W1012" s="15"/>
      <c r="X1012" s="15"/>
    </row>
    <row r="1013">
      <c r="A1013" s="7">
        <v>1012.0</v>
      </c>
      <c r="B1013" s="8" t="s">
        <v>4452</v>
      </c>
      <c r="C1013" s="9" t="s">
        <v>4453</v>
      </c>
      <c r="D1013" s="10" t="str">
        <f>HYPERLINK("https://facebook.com/367089020688300_525007211563146", "367089020688300_525007211563146")</f>
        <v>367089020688300_525007211563146</v>
      </c>
      <c r="E1013" s="11">
        <v>5.0</v>
      </c>
      <c r="F1013" s="11">
        <v>0.0</v>
      </c>
      <c r="G1013" s="11">
        <v>21.0</v>
      </c>
      <c r="H1013" s="9" t="s">
        <v>26</v>
      </c>
      <c r="I1013" s="9" t="s">
        <v>4454</v>
      </c>
      <c r="J1013" s="9" t="s">
        <v>4455</v>
      </c>
      <c r="K1013" s="9" t="s">
        <v>4456</v>
      </c>
      <c r="L1013" s="9" t="s">
        <v>30</v>
      </c>
      <c r="M1013" s="9" t="s">
        <v>31</v>
      </c>
      <c r="N1013" s="9" t="s">
        <v>32</v>
      </c>
      <c r="O1013" s="12" t="s">
        <v>33</v>
      </c>
      <c r="P1013" s="12" t="s">
        <v>34</v>
      </c>
      <c r="Q1013" s="9"/>
      <c r="R1013" s="18"/>
      <c r="S1013" s="18"/>
      <c r="T1013" s="18"/>
      <c r="U1013" s="18"/>
      <c r="V1013" s="18"/>
      <c r="W1013" s="15"/>
      <c r="X1013" s="15"/>
    </row>
    <row r="1014">
      <c r="A1014" s="7">
        <v>1013.0</v>
      </c>
      <c r="B1014" s="8" t="s">
        <v>4457</v>
      </c>
      <c r="C1014" s="9" t="s">
        <v>4458</v>
      </c>
      <c r="D1014" s="10" t="str">
        <f>HYPERLINK("https://facebook.com/367089020688300_563184197745447", "367089020688300_563184197745447")</f>
        <v>367089020688300_563184197745447</v>
      </c>
      <c r="E1014" s="11">
        <v>13.0</v>
      </c>
      <c r="F1014" s="11">
        <v>0.0</v>
      </c>
      <c r="G1014" s="11">
        <v>14.0</v>
      </c>
      <c r="H1014" s="9" t="s">
        <v>26</v>
      </c>
      <c r="I1014" s="9" t="s">
        <v>4459</v>
      </c>
      <c r="J1014" s="9" t="s">
        <v>4460</v>
      </c>
      <c r="K1014" s="9"/>
      <c r="L1014" s="9" t="s">
        <v>30</v>
      </c>
      <c r="M1014" s="9" t="s">
        <v>31</v>
      </c>
      <c r="N1014" s="9" t="s">
        <v>32</v>
      </c>
      <c r="O1014" s="12" t="s">
        <v>33</v>
      </c>
      <c r="P1014" s="12" t="s">
        <v>34</v>
      </c>
      <c r="Q1014" s="9"/>
      <c r="R1014" s="18"/>
      <c r="S1014" s="18"/>
      <c r="T1014" s="18"/>
      <c r="U1014" s="18"/>
      <c r="V1014" s="18"/>
      <c r="W1014" s="15"/>
      <c r="X1014" s="15"/>
    </row>
    <row r="1015">
      <c r="A1015" s="7">
        <v>1014.0</v>
      </c>
      <c r="B1015" s="8" t="s">
        <v>4461</v>
      </c>
      <c r="C1015" s="9" t="s">
        <v>4462</v>
      </c>
      <c r="D1015" s="10" t="str">
        <f>HYPERLINK("https://facebook.com/367089020688300_493444008052800", "367089020688300_493444008052800")</f>
        <v>367089020688300_493444008052800</v>
      </c>
      <c r="E1015" s="11">
        <v>438.0</v>
      </c>
      <c r="F1015" s="11">
        <v>6.0</v>
      </c>
      <c r="G1015" s="11">
        <v>747.0</v>
      </c>
      <c r="H1015" s="9" t="s">
        <v>26</v>
      </c>
      <c r="I1015" s="9" t="s">
        <v>4463</v>
      </c>
      <c r="J1015" s="9" t="s">
        <v>4464</v>
      </c>
      <c r="K1015" s="9" t="s">
        <v>4465</v>
      </c>
      <c r="L1015" s="9" t="s">
        <v>30</v>
      </c>
      <c r="M1015" s="9" t="s">
        <v>31</v>
      </c>
      <c r="N1015" s="9" t="s">
        <v>32</v>
      </c>
      <c r="O1015" s="12" t="s">
        <v>33</v>
      </c>
      <c r="P1015" s="12" t="s">
        <v>34</v>
      </c>
      <c r="Q1015" s="9"/>
      <c r="R1015" s="18"/>
      <c r="S1015" s="18"/>
      <c r="T1015" s="18"/>
      <c r="U1015" s="18"/>
      <c r="V1015" s="18"/>
      <c r="W1015" s="15"/>
      <c r="X1015" s="15"/>
    </row>
    <row r="1016">
      <c r="A1016" s="7">
        <v>1015.0</v>
      </c>
      <c r="B1016" s="8" t="s">
        <v>4466</v>
      </c>
      <c r="C1016" s="9" t="s">
        <v>4467</v>
      </c>
      <c r="D1016" s="10" t="str">
        <f>HYPERLINK("https://facebook.com/367089020688300_536305603766640", "367089020688300_536305603766640")</f>
        <v>367089020688300_536305603766640</v>
      </c>
      <c r="E1016" s="11">
        <v>67.0</v>
      </c>
      <c r="F1016" s="11">
        <v>0.0</v>
      </c>
      <c r="G1016" s="11">
        <v>10.0</v>
      </c>
      <c r="H1016" s="9" t="s">
        <v>26</v>
      </c>
      <c r="I1016" s="9" t="s">
        <v>4468</v>
      </c>
      <c r="J1016" s="16" t="s">
        <v>4469</v>
      </c>
      <c r="K1016" s="9"/>
      <c r="L1016" s="9" t="s">
        <v>30</v>
      </c>
      <c r="M1016" s="9" t="s">
        <v>31</v>
      </c>
      <c r="N1016" s="9" t="s">
        <v>32</v>
      </c>
      <c r="O1016" s="12" t="s">
        <v>33</v>
      </c>
      <c r="P1016" s="12" t="s">
        <v>34</v>
      </c>
      <c r="Q1016" s="9"/>
      <c r="R1016" s="18"/>
      <c r="S1016" s="18"/>
      <c r="T1016" s="18"/>
      <c r="U1016" s="18"/>
      <c r="V1016" s="18"/>
      <c r="W1016" s="15"/>
      <c r="X1016" s="15"/>
    </row>
    <row r="1017">
      <c r="A1017" s="7">
        <v>1016.0</v>
      </c>
      <c r="B1017" s="8" t="s">
        <v>4470</v>
      </c>
      <c r="C1017" s="9" t="s">
        <v>4471</v>
      </c>
      <c r="D1017" s="10" t="str">
        <f>HYPERLINK("https://facebook.com/367089020688300_496046987792502", "367089020688300_496046987792502")</f>
        <v>367089020688300_496046987792502</v>
      </c>
      <c r="E1017" s="11">
        <v>161.0</v>
      </c>
      <c r="F1017" s="11">
        <v>7.0</v>
      </c>
      <c r="G1017" s="11">
        <v>185.0</v>
      </c>
      <c r="H1017" s="9" t="s">
        <v>26</v>
      </c>
      <c r="I1017" s="9" t="s">
        <v>4472</v>
      </c>
      <c r="J1017" s="9" t="s">
        <v>4473</v>
      </c>
      <c r="K1017" s="9" t="s">
        <v>4474</v>
      </c>
      <c r="L1017" s="9" t="s">
        <v>30</v>
      </c>
      <c r="M1017" s="9" t="s">
        <v>31</v>
      </c>
      <c r="N1017" s="9" t="s">
        <v>32</v>
      </c>
      <c r="O1017" s="12" t="s">
        <v>33</v>
      </c>
      <c r="P1017" s="12" t="s">
        <v>34</v>
      </c>
      <c r="Q1017" s="9"/>
      <c r="R1017" s="18"/>
      <c r="S1017" s="18"/>
      <c r="T1017" s="18"/>
      <c r="U1017" s="18"/>
      <c r="V1017" s="18"/>
      <c r="W1017" s="15"/>
      <c r="X1017" s="15"/>
    </row>
    <row r="1018">
      <c r="A1018" s="7">
        <v>1017.0</v>
      </c>
      <c r="B1018" s="8" t="s">
        <v>4475</v>
      </c>
      <c r="C1018" s="9" t="s">
        <v>4476</v>
      </c>
      <c r="D1018" s="10" t="str">
        <f>HYPERLINK("https://facebook.com/367089020688300_533488757381658", "367089020688300_533488757381658")</f>
        <v>367089020688300_533488757381658</v>
      </c>
      <c r="E1018" s="11">
        <v>14.0</v>
      </c>
      <c r="F1018" s="11">
        <v>0.0</v>
      </c>
      <c r="G1018" s="11">
        <v>32.0</v>
      </c>
      <c r="H1018" s="9" t="s">
        <v>26</v>
      </c>
      <c r="I1018" s="9" t="s">
        <v>4477</v>
      </c>
      <c r="J1018" s="16" t="s">
        <v>4478</v>
      </c>
      <c r="K1018" s="9"/>
      <c r="L1018" s="9" t="s">
        <v>30</v>
      </c>
      <c r="M1018" s="9" t="s">
        <v>31</v>
      </c>
      <c r="N1018" s="9" t="s">
        <v>32</v>
      </c>
      <c r="O1018" s="12" t="s">
        <v>33</v>
      </c>
      <c r="P1018" s="12" t="s">
        <v>34</v>
      </c>
      <c r="Q1018" s="9"/>
      <c r="R1018" s="18"/>
      <c r="S1018" s="18"/>
      <c r="T1018" s="18"/>
      <c r="U1018" s="18"/>
      <c r="V1018" s="18"/>
      <c r="W1018" s="15"/>
      <c r="X1018" s="15"/>
    </row>
    <row r="1019">
      <c r="A1019" s="7">
        <v>1018.0</v>
      </c>
      <c r="B1019" s="8" t="s">
        <v>4479</v>
      </c>
      <c r="C1019" s="9" t="s">
        <v>4480</v>
      </c>
      <c r="D1019" s="10" t="str">
        <f>HYPERLINK("https://facebook.com/367089020688300_514343539296180", "367089020688300_514343539296180")</f>
        <v>367089020688300_514343539296180</v>
      </c>
      <c r="E1019" s="11">
        <v>30.0</v>
      </c>
      <c r="F1019" s="11">
        <v>0.0</v>
      </c>
      <c r="G1019" s="11">
        <v>10.0</v>
      </c>
      <c r="H1019" s="9" t="s">
        <v>26</v>
      </c>
      <c r="I1019" s="9" t="s">
        <v>4481</v>
      </c>
      <c r="J1019" s="16" t="s">
        <v>4482</v>
      </c>
      <c r="K1019" s="9"/>
      <c r="L1019" s="9" t="s">
        <v>30</v>
      </c>
      <c r="M1019" s="9" t="s">
        <v>31</v>
      </c>
      <c r="N1019" s="9" t="s">
        <v>32</v>
      </c>
      <c r="O1019" s="12" t="s">
        <v>33</v>
      </c>
      <c r="P1019" s="12" t="s">
        <v>34</v>
      </c>
      <c r="Q1019" s="9"/>
      <c r="R1019" s="18"/>
      <c r="S1019" s="18"/>
      <c r="T1019" s="18"/>
      <c r="U1019" s="18"/>
      <c r="V1019" s="18"/>
      <c r="W1019" s="15"/>
      <c r="X1019" s="15"/>
    </row>
    <row r="1020">
      <c r="A1020" s="7">
        <v>1019.0</v>
      </c>
      <c r="B1020" s="8" t="s">
        <v>4483</v>
      </c>
      <c r="C1020" s="9" t="s">
        <v>4484</v>
      </c>
      <c r="D1020" s="10" t="str">
        <f>HYPERLINK("https://facebook.com/367089020688300_539166530147214", "367089020688300_539166530147214")</f>
        <v>367089020688300_539166530147214</v>
      </c>
      <c r="E1020" s="11">
        <v>45.0</v>
      </c>
      <c r="F1020" s="11">
        <v>0.0</v>
      </c>
      <c r="G1020" s="11">
        <v>41.0</v>
      </c>
      <c r="H1020" s="9" t="s">
        <v>26</v>
      </c>
      <c r="I1020" s="9" t="s">
        <v>4485</v>
      </c>
      <c r="J1020" s="16" t="s">
        <v>4486</v>
      </c>
      <c r="K1020" s="9"/>
      <c r="L1020" s="9" t="s">
        <v>30</v>
      </c>
      <c r="M1020" s="9" t="s">
        <v>31</v>
      </c>
      <c r="N1020" s="9" t="s">
        <v>32</v>
      </c>
      <c r="O1020" s="12" t="s">
        <v>33</v>
      </c>
      <c r="P1020" s="12" t="s">
        <v>34</v>
      </c>
      <c r="Q1020" s="9"/>
      <c r="R1020" s="18"/>
      <c r="S1020" s="18"/>
      <c r="T1020" s="18"/>
      <c r="U1020" s="18"/>
      <c r="V1020" s="18"/>
      <c r="W1020" s="15"/>
      <c r="X1020" s="15"/>
    </row>
    <row r="1021">
      <c r="A1021" s="7">
        <v>1020.0</v>
      </c>
      <c r="B1021" s="8" t="s">
        <v>4487</v>
      </c>
      <c r="C1021" s="9" t="s">
        <v>4488</v>
      </c>
      <c r="D1021" s="10" t="str">
        <f>HYPERLINK("https://facebook.com/367089020688300_522098275187373", "367089020688300_522098275187373")</f>
        <v>367089020688300_522098275187373</v>
      </c>
      <c r="E1021" s="11">
        <v>284.0</v>
      </c>
      <c r="F1021" s="11">
        <v>15.0</v>
      </c>
      <c r="G1021" s="11">
        <v>414.0</v>
      </c>
      <c r="H1021" s="9" t="s">
        <v>26</v>
      </c>
      <c r="I1021" s="9" t="s">
        <v>4489</v>
      </c>
      <c r="J1021" s="9" t="s">
        <v>4490</v>
      </c>
      <c r="K1021" s="9" t="s">
        <v>4491</v>
      </c>
      <c r="L1021" s="9" t="s">
        <v>30</v>
      </c>
      <c r="M1021" s="9" t="s">
        <v>31</v>
      </c>
      <c r="N1021" s="9" t="s">
        <v>32</v>
      </c>
      <c r="O1021" s="12" t="s">
        <v>33</v>
      </c>
      <c r="P1021" s="12" t="s">
        <v>34</v>
      </c>
      <c r="Q1021" s="9"/>
      <c r="R1021" s="18"/>
      <c r="S1021" s="18"/>
      <c r="T1021" s="18"/>
      <c r="U1021" s="18"/>
      <c r="V1021" s="18"/>
      <c r="W1021" s="15"/>
      <c r="X1021" s="15"/>
    </row>
    <row r="1022">
      <c r="A1022" s="7">
        <v>1021.0</v>
      </c>
      <c r="B1022" s="8" t="s">
        <v>4492</v>
      </c>
      <c r="C1022" s="9" t="s">
        <v>4493</v>
      </c>
      <c r="D1022" s="10" t="str">
        <f>HYPERLINK("https://facebook.com/367089020688300_537928030271064", "367089020688300_537928030271064")</f>
        <v>367089020688300_537928030271064</v>
      </c>
      <c r="E1022" s="11">
        <v>18.0</v>
      </c>
      <c r="F1022" s="11">
        <v>0.0</v>
      </c>
      <c r="G1022" s="11">
        <v>2.0</v>
      </c>
      <c r="H1022" s="9" t="s">
        <v>26</v>
      </c>
      <c r="I1022" s="9" t="s">
        <v>2316</v>
      </c>
      <c r="J1022" s="9" t="s">
        <v>2317</v>
      </c>
      <c r="K1022" s="9" t="s">
        <v>4494</v>
      </c>
      <c r="L1022" s="9" t="s">
        <v>30</v>
      </c>
      <c r="M1022" s="9" t="s">
        <v>31</v>
      </c>
      <c r="N1022" s="9" t="s">
        <v>32</v>
      </c>
      <c r="O1022" s="12" t="s">
        <v>33</v>
      </c>
      <c r="P1022" s="12" t="s">
        <v>34</v>
      </c>
      <c r="Q1022" s="9"/>
      <c r="R1022" s="18"/>
      <c r="S1022" s="18"/>
      <c r="T1022" s="18"/>
      <c r="U1022" s="18"/>
      <c r="V1022" s="18"/>
      <c r="W1022" s="15"/>
      <c r="X1022" s="15"/>
    </row>
    <row r="1023">
      <c r="A1023" s="7">
        <v>1022.0</v>
      </c>
      <c r="B1023" s="8" t="s">
        <v>4495</v>
      </c>
      <c r="C1023" s="9" t="s">
        <v>4496</v>
      </c>
      <c r="D1023" s="10" t="str">
        <f>HYPERLINK("https://facebook.com/367089020688300_426602814736920", "367089020688300_426602814736920")</f>
        <v>367089020688300_426602814736920</v>
      </c>
      <c r="E1023" s="11">
        <v>78.0</v>
      </c>
      <c r="F1023" s="11">
        <v>1.0</v>
      </c>
      <c r="G1023" s="11">
        <v>117.0</v>
      </c>
      <c r="H1023" s="9" t="s">
        <v>26</v>
      </c>
      <c r="I1023" s="9" t="s">
        <v>4497</v>
      </c>
      <c r="J1023" s="9" t="s">
        <v>4498</v>
      </c>
      <c r="K1023" s="9" t="s">
        <v>4499</v>
      </c>
      <c r="L1023" s="9" t="s">
        <v>30</v>
      </c>
      <c r="M1023" s="9" t="s">
        <v>31</v>
      </c>
      <c r="N1023" s="9" t="s">
        <v>32</v>
      </c>
      <c r="O1023" s="12" t="s">
        <v>33</v>
      </c>
      <c r="P1023" s="12" t="s">
        <v>34</v>
      </c>
      <c r="Q1023" s="9"/>
      <c r="R1023" s="18"/>
      <c r="S1023" s="18"/>
      <c r="T1023" s="18"/>
      <c r="U1023" s="18"/>
      <c r="V1023" s="18"/>
      <c r="W1023" s="15"/>
      <c r="X1023" s="15"/>
    </row>
    <row r="1024">
      <c r="A1024" s="7">
        <v>1023.0</v>
      </c>
      <c r="B1024" s="8" t="s">
        <v>4500</v>
      </c>
      <c r="C1024" s="9" t="s">
        <v>4501</v>
      </c>
      <c r="D1024" s="10" t="str">
        <f>HYPERLINK("https://facebook.com/367089020688300_533779817352552", "367089020688300_533779817352552")</f>
        <v>367089020688300_533779817352552</v>
      </c>
      <c r="E1024" s="11">
        <v>52.0</v>
      </c>
      <c r="F1024" s="11">
        <v>2.0</v>
      </c>
      <c r="G1024" s="11">
        <v>134.0</v>
      </c>
      <c r="H1024" s="9" t="s">
        <v>26</v>
      </c>
      <c r="I1024" s="9" t="s">
        <v>4502</v>
      </c>
      <c r="J1024" s="16" t="s">
        <v>4503</v>
      </c>
      <c r="K1024" s="9"/>
      <c r="L1024" s="9" t="s">
        <v>30</v>
      </c>
      <c r="M1024" s="9" t="s">
        <v>31</v>
      </c>
      <c r="N1024" s="9" t="s">
        <v>32</v>
      </c>
      <c r="O1024" s="12" t="s">
        <v>33</v>
      </c>
      <c r="P1024" s="12" t="s">
        <v>34</v>
      </c>
      <c r="Q1024" s="9"/>
      <c r="R1024" s="18"/>
      <c r="S1024" s="18"/>
      <c r="T1024" s="18"/>
      <c r="U1024" s="18"/>
      <c r="V1024" s="18"/>
      <c r="W1024" s="15"/>
      <c r="X1024" s="15"/>
    </row>
    <row r="1025">
      <c r="A1025" s="7">
        <v>1024.0</v>
      </c>
      <c r="B1025" s="8" t="s">
        <v>4504</v>
      </c>
      <c r="C1025" s="9" t="s">
        <v>4505</v>
      </c>
      <c r="D1025" s="10" t="str">
        <f>HYPERLINK("https://facebook.com/367089020688300_546150559448811", "367089020688300_546150559448811")</f>
        <v>367089020688300_546150559448811</v>
      </c>
      <c r="E1025" s="11">
        <v>1695.0</v>
      </c>
      <c r="F1025" s="11">
        <v>23.0</v>
      </c>
      <c r="G1025" s="11">
        <v>661.0</v>
      </c>
      <c r="H1025" s="9" t="s">
        <v>26</v>
      </c>
      <c r="I1025" s="9" t="s">
        <v>4506</v>
      </c>
      <c r="J1025" s="9" t="s">
        <v>4507</v>
      </c>
      <c r="K1025" s="9" t="s">
        <v>4508</v>
      </c>
      <c r="L1025" s="9" t="s">
        <v>30</v>
      </c>
      <c r="M1025" s="9" t="s">
        <v>31</v>
      </c>
      <c r="N1025" s="9" t="s">
        <v>32</v>
      </c>
      <c r="O1025" s="12" t="s">
        <v>33</v>
      </c>
      <c r="P1025" s="12" t="s">
        <v>34</v>
      </c>
      <c r="Q1025" s="9"/>
      <c r="R1025" s="18"/>
      <c r="S1025" s="18"/>
      <c r="T1025" s="18"/>
      <c r="U1025" s="18"/>
      <c r="V1025" s="18"/>
      <c r="W1025" s="15"/>
      <c r="X1025" s="15"/>
    </row>
    <row r="1026">
      <c r="A1026" s="7">
        <v>1025.0</v>
      </c>
      <c r="B1026" s="8" t="s">
        <v>4509</v>
      </c>
      <c r="C1026" s="9" t="s">
        <v>4510</v>
      </c>
      <c r="D1026" s="10" t="str">
        <f>HYPERLINK("https://facebook.com/367089020688300_530873254309875", "367089020688300_530873254309875")</f>
        <v>367089020688300_530873254309875</v>
      </c>
      <c r="E1026" s="11">
        <v>87.0</v>
      </c>
      <c r="F1026" s="11">
        <v>0.0</v>
      </c>
      <c r="G1026" s="11">
        <v>35.0</v>
      </c>
      <c r="H1026" s="9" t="s">
        <v>26</v>
      </c>
      <c r="I1026" s="9" t="s">
        <v>4511</v>
      </c>
      <c r="J1026" s="9" t="s">
        <v>4512</v>
      </c>
      <c r="K1026" s="9" t="s">
        <v>4513</v>
      </c>
      <c r="L1026" s="9" t="s">
        <v>30</v>
      </c>
      <c r="M1026" s="9" t="s">
        <v>31</v>
      </c>
      <c r="N1026" s="9" t="s">
        <v>32</v>
      </c>
      <c r="O1026" s="12" t="s">
        <v>33</v>
      </c>
      <c r="P1026" s="12" t="s">
        <v>34</v>
      </c>
      <c r="Q1026" s="9"/>
      <c r="R1026" s="18"/>
      <c r="S1026" s="18"/>
      <c r="T1026" s="18"/>
      <c r="U1026" s="18"/>
      <c r="V1026" s="18"/>
      <c r="W1026" s="15"/>
      <c r="X1026" s="15"/>
    </row>
    <row r="1027">
      <c r="A1027" s="7">
        <v>1026.0</v>
      </c>
      <c r="B1027" s="8" t="s">
        <v>4514</v>
      </c>
      <c r="C1027" s="9" t="s">
        <v>4515</v>
      </c>
      <c r="D1027" s="10" t="str">
        <f>HYPERLINK("https://facebook.com/367089020688300_427922647938270", "367089020688300_427922647938270")</f>
        <v>367089020688300_427922647938270</v>
      </c>
      <c r="E1027" s="11">
        <v>327.0</v>
      </c>
      <c r="F1027" s="11">
        <v>7.0</v>
      </c>
      <c r="G1027" s="11">
        <v>366.0</v>
      </c>
      <c r="H1027" s="9" t="s">
        <v>26</v>
      </c>
      <c r="I1027" s="9" t="s">
        <v>4516</v>
      </c>
      <c r="J1027" s="9" t="s">
        <v>4517</v>
      </c>
      <c r="K1027" s="9" t="s">
        <v>4518</v>
      </c>
      <c r="L1027" s="9" t="s">
        <v>30</v>
      </c>
      <c r="M1027" s="9" t="s">
        <v>31</v>
      </c>
      <c r="N1027" s="9" t="s">
        <v>32</v>
      </c>
      <c r="O1027" s="12" t="s">
        <v>33</v>
      </c>
      <c r="P1027" s="12" t="s">
        <v>34</v>
      </c>
      <c r="Q1027" s="9"/>
      <c r="R1027" s="18"/>
      <c r="S1027" s="18"/>
      <c r="T1027" s="18"/>
      <c r="U1027" s="18"/>
      <c r="V1027" s="18"/>
      <c r="W1027" s="15"/>
      <c r="X1027" s="15"/>
    </row>
    <row r="1028">
      <c r="A1028" s="7">
        <v>1027.0</v>
      </c>
      <c r="B1028" s="8" t="s">
        <v>4519</v>
      </c>
      <c r="C1028" s="9" t="s">
        <v>4520</v>
      </c>
      <c r="D1028" s="10" t="str">
        <f>HYPERLINK("https://facebook.com/367089020688300_560542004676333", "367089020688300_560542004676333")</f>
        <v>367089020688300_560542004676333</v>
      </c>
      <c r="E1028" s="11">
        <v>581.0</v>
      </c>
      <c r="F1028" s="11">
        <v>35.0</v>
      </c>
      <c r="G1028" s="11">
        <v>533.0</v>
      </c>
      <c r="H1028" s="9" t="s">
        <v>26</v>
      </c>
      <c r="I1028" s="9" t="s">
        <v>4521</v>
      </c>
      <c r="J1028" s="16" t="s">
        <v>4522</v>
      </c>
      <c r="K1028" s="9"/>
      <c r="L1028" s="9" t="s">
        <v>30</v>
      </c>
      <c r="M1028" s="9" t="s">
        <v>31</v>
      </c>
      <c r="N1028" s="9" t="s">
        <v>32</v>
      </c>
      <c r="O1028" s="12" t="s">
        <v>33</v>
      </c>
      <c r="P1028" s="12" t="s">
        <v>34</v>
      </c>
      <c r="Q1028" s="9"/>
      <c r="R1028" s="18"/>
      <c r="S1028" s="18"/>
      <c r="T1028" s="18"/>
      <c r="U1028" s="18"/>
      <c r="V1028" s="18"/>
      <c r="W1028" s="15"/>
      <c r="X1028" s="15"/>
    </row>
    <row r="1029">
      <c r="A1029" s="7">
        <v>1028.0</v>
      </c>
      <c r="B1029" s="8" t="s">
        <v>4523</v>
      </c>
      <c r="C1029" s="9" t="s">
        <v>4524</v>
      </c>
      <c r="D1029" s="10" t="str">
        <f>HYPERLINK("https://facebook.com/367089020688300_367766187287250", "367089020688300_367766187287250")</f>
        <v>367089020688300_367766187287250</v>
      </c>
      <c r="E1029" s="11">
        <v>388.0</v>
      </c>
      <c r="F1029" s="11">
        <v>10.0</v>
      </c>
      <c r="G1029" s="11">
        <v>547.0</v>
      </c>
      <c r="H1029" s="9" t="s">
        <v>26</v>
      </c>
      <c r="I1029" s="9" t="s">
        <v>4525</v>
      </c>
      <c r="J1029" s="9" t="s">
        <v>4526</v>
      </c>
      <c r="K1029" s="9" t="s">
        <v>4527</v>
      </c>
      <c r="L1029" s="9" t="s">
        <v>30</v>
      </c>
      <c r="M1029" s="9" t="s">
        <v>31</v>
      </c>
      <c r="N1029" s="9" t="s">
        <v>32</v>
      </c>
      <c r="O1029" s="12" t="s">
        <v>33</v>
      </c>
      <c r="P1029" s="12" t="s">
        <v>34</v>
      </c>
      <c r="Q1029" s="9"/>
      <c r="R1029" s="18"/>
      <c r="S1029" s="18"/>
      <c r="T1029" s="18"/>
      <c r="U1029" s="18"/>
      <c r="V1029" s="18"/>
      <c r="W1029" s="15"/>
      <c r="X1029" s="15"/>
    </row>
    <row r="1030">
      <c r="A1030" s="7">
        <v>1029.0</v>
      </c>
      <c r="B1030" s="8" t="s">
        <v>4528</v>
      </c>
      <c r="C1030" s="9" t="s">
        <v>4529</v>
      </c>
      <c r="D1030" s="10" t="str">
        <f>HYPERLINK("https://facebook.com/367089020688300_547970225933511", "367089020688300_547970225933511")</f>
        <v>367089020688300_547970225933511</v>
      </c>
      <c r="E1030" s="11">
        <v>90.0</v>
      </c>
      <c r="F1030" s="11">
        <v>2.0</v>
      </c>
      <c r="G1030" s="11">
        <v>71.0</v>
      </c>
      <c r="H1030" s="9" t="s">
        <v>26</v>
      </c>
      <c r="I1030" s="9" t="s">
        <v>4530</v>
      </c>
      <c r="J1030" s="16" t="s">
        <v>4531</v>
      </c>
      <c r="K1030" s="9"/>
      <c r="L1030" s="9" t="s">
        <v>30</v>
      </c>
      <c r="M1030" s="9" t="s">
        <v>31</v>
      </c>
      <c r="N1030" s="9" t="s">
        <v>32</v>
      </c>
      <c r="O1030" s="12" t="s">
        <v>33</v>
      </c>
      <c r="P1030" s="12" t="s">
        <v>34</v>
      </c>
      <c r="Q1030" s="9"/>
      <c r="R1030" s="18"/>
      <c r="S1030" s="18"/>
      <c r="T1030" s="18"/>
      <c r="U1030" s="18"/>
      <c r="V1030" s="18"/>
      <c r="W1030" s="15"/>
      <c r="X1030" s="15"/>
    </row>
    <row r="1031">
      <c r="A1031" s="7">
        <v>1030.0</v>
      </c>
      <c r="B1031" s="8" t="s">
        <v>4532</v>
      </c>
      <c r="C1031" s="9" t="s">
        <v>4533</v>
      </c>
      <c r="D1031" s="10" t="str">
        <f>HYPERLINK("https://facebook.com/367089020688300_540990623298138", "367089020688300_540990623298138")</f>
        <v>367089020688300_540990623298138</v>
      </c>
      <c r="E1031" s="11">
        <v>71.0</v>
      </c>
      <c r="F1031" s="11">
        <v>0.0</v>
      </c>
      <c r="G1031" s="11">
        <v>104.0</v>
      </c>
      <c r="H1031" s="9" t="s">
        <v>26</v>
      </c>
      <c r="I1031" s="9" t="s">
        <v>4534</v>
      </c>
      <c r="J1031" s="16" t="s">
        <v>4535</v>
      </c>
      <c r="K1031" s="9"/>
      <c r="L1031" s="9" t="s">
        <v>30</v>
      </c>
      <c r="M1031" s="9" t="s">
        <v>31</v>
      </c>
      <c r="N1031" s="9" t="s">
        <v>32</v>
      </c>
      <c r="O1031" s="12" t="s">
        <v>33</v>
      </c>
      <c r="P1031" s="12" t="s">
        <v>34</v>
      </c>
      <c r="Q1031" s="9"/>
      <c r="R1031" s="18"/>
      <c r="S1031" s="18"/>
      <c r="T1031" s="18"/>
      <c r="U1031" s="18"/>
      <c r="V1031" s="18"/>
      <c r="W1031" s="15"/>
      <c r="X1031" s="15"/>
    </row>
    <row r="1032">
      <c r="A1032" s="7">
        <v>1031.0</v>
      </c>
      <c r="B1032" s="8" t="s">
        <v>4536</v>
      </c>
      <c r="C1032" s="9" t="s">
        <v>4537</v>
      </c>
      <c r="D1032" s="10" t="str">
        <f>HYPERLINK("https://facebook.com/367089020688300_415488695848332", "367089020688300_415488695848332")</f>
        <v>367089020688300_415488695848332</v>
      </c>
      <c r="E1032" s="11">
        <v>137.0</v>
      </c>
      <c r="F1032" s="11">
        <v>7.0</v>
      </c>
      <c r="G1032" s="11">
        <v>252.0</v>
      </c>
      <c r="H1032" s="9" t="s">
        <v>26</v>
      </c>
      <c r="I1032" s="9" t="s">
        <v>4538</v>
      </c>
      <c r="J1032" s="9" t="s">
        <v>4539</v>
      </c>
      <c r="K1032" s="9" t="s">
        <v>4540</v>
      </c>
      <c r="L1032" s="9" t="s">
        <v>30</v>
      </c>
      <c r="M1032" s="9" t="s">
        <v>31</v>
      </c>
      <c r="N1032" s="9" t="s">
        <v>32</v>
      </c>
      <c r="O1032" s="12" t="s">
        <v>33</v>
      </c>
      <c r="P1032" s="12" t="s">
        <v>34</v>
      </c>
      <c r="Q1032" s="9"/>
      <c r="R1032" s="18"/>
      <c r="S1032" s="18"/>
      <c r="T1032" s="18"/>
      <c r="U1032" s="18"/>
      <c r="V1032" s="18"/>
      <c r="W1032" s="15"/>
      <c r="X1032" s="15"/>
    </row>
    <row r="1033">
      <c r="A1033" s="7">
        <v>1032.0</v>
      </c>
      <c r="B1033" s="8" t="s">
        <v>4541</v>
      </c>
      <c r="C1033" s="9" t="s">
        <v>4542</v>
      </c>
      <c r="D1033" s="10" t="str">
        <f>HYPERLINK("https://facebook.com/367089020688300_513788006018400", "367089020688300_513788006018400")</f>
        <v>367089020688300_513788006018400</v>
      </c>
      <c r="E1033" s="11">
        <v>25.0</v>
      </c>
      <c r="F1033" s="11">
        <v>0.0</v>
      </c>
      <c r="G1033" s="11">
        <v>73.0</v>
      </c>
      <c r="H1033" s="9" t="s">
        <v>26</v>
      </c>
      <c r="I1033" s="9" t="s">
        <v>4543</v>
      </c>
      <c r="J1033" s="9" t="s">
        <v>4544</v>
      </c>
      <c r="K1033" s="9" t="s">
        <v>249</v>
      </c>
      <c r="L1033" s="9" t="s">
        <v>30</v>
      </c>
      <c r="M1033" s="9" t="s">
        <v>31</v>
      </c>
      <c r="N1033" s="9" t="s">
        <v>32</v>
      </c>
      <c r="O1033" s="12" t="s">
        <v>33</v>
      </c>
      <c r="P1033" s="12" t="s">
        <v>34</v>
      </c>
      <c r="Q1033" s="9"/>
      <c r="R1033" s="18"/>
      <c r="S1033" s="18"/>
      <c r="T1033" s="18"/>
      <c r="U1033" s="18"/>
      <c r="V1033" s="18"/>
      <c r="W1033" s="15"/>
      <c r="X1033" s="15"/>
    </row>
    <row r="1034">
      <c r="A1034" s="7">
        <v>1033.0</v>
      </c>
      <c r="B1034" s="8" t="s">
        <v>4545</v>
      </c>
      <c r="C1034" s="9" t="s">
        <v>4546</v>
      </c>
      <c r="D1034" s="10" t="str">
        <f>HYPERLINK("https://facebook.com/367089020688300_562922857771581", "367089020688300_562922857771581")</f>
        <v>367089020688300_562922857771581</v>
      </c>
      <c r="E1034" s="11">
        <v>76.0</v>
      </c>
      <c r="F1034" s="11">
        <v>0.0</v>
      </c>
      <c r="G1034" s="11">
        <v>14.0</v>
      </c>
      <c r="H1034" s="9" t="s">
        <v>26</v>
      </c>
      <c r="I1034" s="9" t="s">
        <v>3417</v>
      </c>
      <c r="J1034" s="9" t="s">
        <v>4547</v>
      </c>
      <c r="K1034" s="9" t="s">
        <v>219</v>
      </c>
      <c r="L1034" s="9" t="s">
        <v>30</v>
      </c>
      <c r="M1034" s="9" t="s">
        <v>31</v>
      </c>
      <c r="N1034" s="9" t="s">
        <v>32</v>
      </c>
      <c r="O1034" s="12" t="s">
        <v>33</v>
      </c>
      <c r="P1034" s="12" t="s">
        <v>34</v>
      </c>
      <c r="Q1034" s="9"/>
      <c r="R1034" s="18"/>
      <c r="S1034" s="18"/>
      <c r="T1034" s="18"/>
      <c r="U1034" s="18"/>
      <c r="V1034" s="18"/>
      <c r="W1034" s="15"/>
      <c r="X1034" s="15"/>
    </row>
    <row r="1035">
      <c r="A1035" s="7">
        <v>1034.0</v>
      </c>
      <c r="B1035" s="8" t="s">
        <v>4548</v>
      </c>
      <c r="C1035" s="9" t="s">
        <v>4549</v>
      </c>
      <c r="D1035" s="10" t="str">
        <f>HYPERLINK("https://facebook.com/367089020688300_562727517791115", "367089020688300_562727517791115")</f>
        <v>367089020688300_562727517791115</v>
      </c>
      <c r="E1035" s="11">
        <v>209.0</v>
      </c>
      <c r="F1035" s="11">
        <v>3.0</v>
      </c>
      <c r="G1035" s="11">
        <v>149.0</v>
      </c>
      <c r="H1035" s="9" t="s">
        <v>26</v>
      </c>
      <c r="I1035" s="9" t="s">
        <v>4550</v>
      </c>
      <c r="J1035" s="9" t="s">
        <v>4551</v>
      </c>
      <c r="K1035" s="9" t="s">
        <v>4552</v>
      </c>
      <c r="L1035" s="9" t="s">
        <v>30</v>
      </c>
      <c r="M1035" s="9" t="s">
        <v>31</v>
      </c>
      <c r="N1035" s="9" t="s">
        <v>32</v>
      </c>
      <c r="O1035" s="12" t="s">
        <v>33</v>
      </c>
      <c r="P1035" s="12" t="s">
        <v>34</v>
      </c>
      <c r="Q1035" s="9"/>
      <c r="R1035" s="18"/>
      <c r="S1035" s="18"/>
      <c r="T1035" s="18"/>
      <c r="U1035" s="18"/>
      <c r="V1035" s="18"/>
      <c r="W1035" s="15"/>
      <c r="X1035" s="15"/>
    </row>
    <row r="1036">
      <c r="A1036" s="7">
        <v>1035.0</v>
      </c>
      <c r="B1036" s="8" t="s">
        <v>4553</v>
      </c>
      <c r="C1036" s="9" t="s">
        <v>4554</v>
      </c>
      <c r="D1036" s="10" t="str">
        <f>HYPERLINK("https://facebook.com/367089020688300_545255849538282", "367089020688300_545255849538282")</f>
        <v>367089020688300_545255849538282</v>
      </c>
      <c r="E1036" s="11">
        <v>73.0</v>
      </c>
      <c r="F1036" s="11">
        <v>0.0</v>
      </c>
      <c r="G1036" s="11">
        <v>61.0</v>
      </c>
      <c r="H1036" s="9" t="s">
        <v>26</v>
      </c>
      <c r="I1036" s="9" t="s">
        <v>4555</v>
      </c>
      <c r="J1036" s="16" t="s">
        <v>4556</v>
      </c>
      <c r="K1036" s="9"/>
      <c r="L1036" s="9" t="s">
        <v>30</v>
      </c>
      <c r="M1036" s="9" t="s">
        <v>31</v>
      </c>
      <c r="N1036" s="9" t="s">
        <v>32</v>
      </c>
      <c r="O1036" s="12" t="s">
        <v>33</v>
      </c>
      <c r="P1036" s="12" t="s">
        <v>34</v>
      </c>
      <c r="Q1036" s="9"/>
      <c r="R1036" s="18"/>
      <c r="S1036" s="18"/>
      <c r="T1036" s="18"/>
      <c r="U1036" s="18"/>
      <c r="V1036" s="18"/>
      <c r="W1036" s="15"/>
      <c r="X1036" s="15"/>
    </row>
    <row r="1037">
      <c r="A1037" s="7">
        <v>1036.0</v>
      </c>
      <c r="B1037" s="8" t="s">
        <v>4557</v>
      </c>
      <c r="C1037" s="9" t="s">
        <v>4558</v>
      </c>
      <c r="D1037" s="10" t="str">
        <f>HYPERLINK("https://facebook.com/367089020688300_530322111031656", "367089020688300_530322111031656")</f>
        <v>367089020688300_530322111031656</v>
      </c>
      <c r="E1037" s="11">
        <v>103.0</v>
      </c>
      <c r="F1037" s="11">
        <v>3.0</v>
      </c>
      <c r="G1037" s="11">
        <v>83.0</v>
      </c>
      <c r="H1037" s="9" t="s">
        <v>26</v>
      </c>
      <c r="I1037" s="9" t="s">
        <v>4559</v>
      </c>
      <c r="J1037" s="9" t="s">
        <v>4560</v>
      </c>
      <c r="K1037" s="9" t="s">
        <v>4561</v>
      </c>
      <c r="L1037" s="9" t="s">
        <v>30</v>
      </c>
      <c r="M1037" s="9" t="s">
        <v>31</v>
      </c>
      <c r="N1037" s="9" t="s">
        <v>32</v>
      </c>
      <c r="O1037" s="12" t="s">
        <v>33</v>
      </c>
      <c r="P1037" s="12" t="s">
        <v>34</v>
      </c>
      <c r="Q1037" s="9"/>
      <c r="R1037" s="18"/>
      <c r="S1037" s="18"/>
      <c r="T1037" s="18"/>
      <c r="U1037" s="18"/>
      <c r="V1037" s="18"/>
      <c r="W1037" s="15"/>
      <c r="X1037" s="15"/>
    </row>
    <row r="1038">
      <c r="A1038" s="7">
        <v>1037.0</v>
      </c>
      <c r="B1038" s="8" t="s">
        <v>4562</v>
      </c>
      <c r="C1038" s="9" t="s">
        <v>4563</v>
      </c>
      <c r="D1038" s="10" t="str">
        <f>HYPERLINK("https://facebook.com/367089020688300_546205509443316", "367089020688300_546205509443316")</f>
        <v>367089020688300_546205509443316</v>
      </c>
      <c r="E1038" s="11">
        <v>145.0</v>
      </c>
      <c r="F1038" s="11">
        <v>0.0</v>
      </c>
      <c r="G1038" s="11">
        <v>118.0</v>
      </c>
      <c r="H1038" s="9" t="s">
        <v>26</v>
      </c>
      <c r="I1038" s="9" t="s">
        <v>863</v>
      </c>
      <c r="J1038" s="9" t="s">
        <v>4564</v>
      </c>
      <c r="K1038" s="9" t="s">
        <v>4565</v>
      </c>
      <c r="L1038" s="9" t="s">
        <v>30</v>
      </c>
      <c r="M1038" s="9" t="s">
        <v>31</v>
      </c>
      <c r="N1038" s="9" t="s">
        <v>32</v>
      </c>
      <c r="O1038" s="12" t="s">
        <v>33</v>
      </c>
      <c r="P1038" s="12" t="s">
        <v>34</v>
      </c>
      <c r="Q1038" s="9"/>
      <c r="R1038" s="18"/>
      <c r="S1038" s="18"/>
      <c r="T1038" s="18"/>
      <c r="U1038" s="18"/>
      <c r="V1038" s="18"/>
      <c r="W1038" s="15"/>
      <c r="X1038" s="15"/>
    </row>
    <row r="1039">
      <c r="A1039" s="7">
        <v>1038.0</v>
      </c>
      <c r="B1039" s="8" t="s">
        <v>4566</v>
      </c>
      <c r="C1039" s="9" t="s">
        <v>4567</v>
      </c>
      <c r="D1039" s="10" t="str">
        <f>HYPERLINK("https://facebook.com/367089020688300_562978797765987", "367089020688300_562978797765987")</f>
        <v>367089020688300_562978797765987</v>
      </c>
      <c r="E1039" s="11">
        <v>21.0</v>
      </c>
      <c r="F1039" s="11">
        <v>0.0</v>
      </c>
      <c r="G1039" s="11">
        <v>9.0</v>
      </c>
      <c r="H1039" s="9" t="s">
        <v>26</v>
      </c>
      <c r="I1039" s="9" t="s">
        <v>4568</v>
      </c>
      <c r="J1039" s="9" t="s">
        <v>4569</v>
      </c>
      <c r="K1039" s="9" t="s">
        <v>3003</v>
      </c>
      <c r="L1039" s="9" t="s">
        <v>30</v>
      </c>
      <c r="M1039" s="9" t="s">
        <v>31</v>
      </c>
      <c r="N1039" s="9" t="s">
        <v>32</v>
      </c>
      <c r="O1039" s="12" t="s">
        <v>33</v>
      </c>
      <c r="P1039" s="12" t="s">
        <v>34</v>
      </c>
      <c r="Q1039" s="9"/>
      <c r="R1039" s="18"/>
      <c r="S1039" s="18"/>
      <c r="T1039" s="18"/>
      <c r="U1039" s="18"/>
      <c r="V1039" s="18"/>
      <c r="W1039" s="15"/>
      <c r="X1039" s="15"/>
    </row>
    <row r="1040">
      <c r="A1040" s="7">
        <v>1039.0</v>
      </c>
      <c r="B1040" s="8" t="s">
        <v>4570</v>
      </c>
      <c r="C1040" s="9" t="s">
        <v>4571</v>
      </c>
      <c r="D1040" s="10" t="str">
        <f>HYPERLINK("https://facebook.com/367089020688300_537322406998293", "367089020688300_537322406998293")</f>
        <v>367089020688300_537322406998293</v>
      </c>
      <c r="E1040" s="11">
        <v>220.0</v>
      </c>
      <c r="F1040" s="11">
        <v>0.0</v>
      </c>
      <c r="G1040" s="11">
        <v>368.0</v>
      </c>
      <c r="H1040" s="9" t="s">
        <v>26</v>
      </c>
      <c r="I1040" s="9" t="s">
        <v>1173</v>
      </c>
      <c r="J1040" s="16" t="s">
        <v>4572</v>
      </c>
      <c r="K1040" s="9"/>
      <c r="L1040" s="9" t="s">
        <v>30</v>
      </c>
      <c r="M1040" s="9" t="s">
        <v>31</v>
      </c>
      <c r="N1040" s="9" t="s">
        <v>32</v>
      </c>
      <c r="O1040" s="12" t="s">
        <v>33</v>
      </c>
      <c r="P1040" s="12" t="s">
        <v>34</v>
      </c>
      <c r="Q1040" s="9"/>
      <c r="R1040" s="18"/>
      <c r="S1040" s="18"/>
      <c r="T1040" s="18"/>
      <c r="U1040" s="18"/>
      <c r="V1040" s="18"/>
      <c r="W1040" s="15"/>
      <c r="X1040" s="15"/>
    </row>
    <row r="1041">
      <c r="A1041" s="7">
        <v>1040.0</v>
      </c>
      <c r="B1041" s="8" t="s">
        <v>4573</v>
      </c>
      <c r="C1041" s="9" t="s">
        <v>4574</v>
      </c>
      <c r="D1041" s="10" t="str">
        <f>HYPERLINK("https://facebook.com/367089020688300_523904658340068", "367089020688300_523904658340068")</f>
        <v>367089020688300_523904658340068</v>
      </c>
      <c r="E1041" s="11">
        <v>139.0</v>
      </c>
      <c r="F1041" s="11">
        <v>0.0</v>
      </c>
      <c r="G1041" s="11">
        <v>154.0</v>
      </c>
      <c r="H1041" s="9" t="s">
        <v>26</v>
      </c>
      <c r="I1041" s="9" t="s">
        <v>4575</v>
      </c>
      <c r="J1041" s="16" t="s">
        <v>4576</v>
      </c>
      <c r="K1041" s="9"/>
      <c r="L1041" s="9" t="s">
        <v>30</v>
      </c>
      <c r="M1041" s="9" t="s">
        <v>31</v>
      </c>
      <c r="N1041" s="9" t="s">
        <v>32</v>
      </c>
      <c r="O1041" s="12" t="s">
        <v>33</v>
      </c>
      <c r="P1041" s="12" t="s">
        <v>34</v>
      </c>
      <c r="Q1041" s="9"/>
      <c r="R1041" s="18"/>
      <c r="S1041" s="18"/>
      <c r="T1041" s="18"/>
      <c r="U1041" s="18"/>
      <c r="V1041" s="18"/>
      <c r="W1041" s="15"/>
      <c r="X1041" s="15"/>
    </row>
    <row r="1042">
      <c r="A1042" s="7">
        <v>1041.0</v>
      </c>
      <c r="B1042" s="8" t="s">
        <v>4577</v>
      </c>
      <c r="C1042" s="9" t="s">
        <v>4578</v>
      </c>
      <c r="D1042" s="10" t="str">
        <f>HYPERLINK("https://facebook.com/367089020688300_499087897488411", "367089020688300_499087897488411")</f>
        <v>367089020688300_499087897488411</v>
      </c>
      <c r="E1042" s="11">
        <v>512.0</v>
      </c>
      <c r="F1042" s="11">
        <v>78.0</v>
      </c>
      <c r="G1042" s="11">
        <v>756.0</v>
      </c>
      <c r="H1042" s="9" t="s">
        <v>26</v>
      </c>
      <c r="I1042" s="9" t="s">
        <v>4579</v>
      </c>
      <c r="J1042" s="9" t="s">
        <v>4580</v>
      </c>
      <c r="K1042" s="9" t="s">
        <v>4581</v>
      </c>
      <c r="L1042" s="9" t="s">
        <v>30</v>
      </c>
      <c r="M1042" s="9" t="s">
        <v>31</v>
      </c>
      <c r="N1042" s="9" t="s">
        <v>32</v>
      </c>
      <c r="O1042" s="12" t="s">
        <v>33</v>
      </c>
      <c r="P1042" s="12" t="s">
        <v>34</v>
      </c>
      <c r="Q1042" s="9"/>
      <c r="R1042" s="18"/>
      <c r="S1042" s="18"/>
      <c r="T1042" s="18"/>
      <c r="U1042" s="18"/>
      <c r="V1042" s="18"/>
      <c r="W1042" s="15"/>
      <c r="X1042" s="15"/>
    </row>
    <row r="1043">
      <c r="A1043" s="7">
        <v>1042.0</v>
      </c>
      <c r="B1043" s="8" t="s">
        <v>4582</v>
      </c>
      <c r="C1043" s="9" t="s">
        <v>4583</v>
      </c>
      <c r="D1043" s="10" t="str">
        <f>HYPERLINK("https://facebook.com/367089020688300_542831926447341", "367089020688300_542831926447341")</f>
        <v>367089020688300_542831926447341</v>
      </c>
      <c r="E1043" s="11">
        <v>385.0</v>
      </c>
      <c r="F1043" s="11">
        <v>1.0</v>
      </c>
      <c r="G1043" s="11">
        <v>163.0</v>
      </c>
      <c r="H1043" s="9" t="s">
        <v>26</v>
      </c>
      <c r="I1043" s="9" t="s">
        <v>469</v>
      </c>
      <c r="J1043" s="16" t="s">
        <v>4284</v>
      </c>
      <c r="K1043" s="9"/>
      <c r="L1043" s="9" t="s">
        <v>30</v>
      </c>
      <c r="M1043" s="9" t="s">
        <v>31</v>
      </c>
      <c r="N1043" s="9" t="s">
        <v>32</v>
      </c>
      <c r="O1043" s="12" t="s">
        <v>33</v>
      </c>
      <c r="P1043" s="12" t="s">
        <v>34</v>
      </c>
      <c r="Q1043" s="9"/>
      <c r="R1043" s="18"/>
      <c r="S1043" s="18"/>
      <c r="T1043" s="18"/>
      <c r="U1043" s="18"/>
      <c r="V1043" s="18"/>
      <c r="W1043" s="15"/>
      <c r="X1043" s="15"/>
    </row>
    <row r="1044">
      <c r="A1044" s="7">
        <v>1043.0</v>
      </c>
      <c r="B1044" s="8" t="s">
        <v>4584</v>
      </c>
      <c r="C1044" s="9" t="s">
        <v>4585</v>
      </c>
      <c r="D1044" s="10" t="str">
        <f>HYPERLINK("https://facebook.com/367089020688300_477369426326925", "367089020688300_477369426326925")</f>
        <v>367089020688300_477369426326925</v>
      </c>
      <c r="E1044" s="11">
        <v>95.0</v>
      </c>
      <c r="F1044" s="11">
        <v>2.0</v>
      </c>
      <c r="G1044" s="11">
        <v>167.0</v>
      </c>
      <c r="H1044" s="9" t="s">
        <v>26</v>
      </c>
      <c r="I1044" s="9" t="s">
        <v>1431</v>
      </c>
      <c r="J1044" s="9" t="s">
        <v>1432</v>
      </c>
      <c r="K1044" s="9" t="s">
        <v>4586</v>
      </c>
      <c r="L1044" s="9" t="s">
        <v>30</v>
      </c>
      <c r="M1044" s="9" t="s">
        <v>31</v>
      </c>
      <c r="N1044" s="9" t="s">
        <v>32</v>
      </c>
      <c r="O1044" s="12" t="s">
        <v>33</v>
      </c>
      <c r="P1044" s="12" t="s">
        <v>34</v>
      </c>
      <c r="Q1044" s="9"/>
      <c r="R1044" s="18"/>
      <c r="S1044" s="18"/>
      <c r="T1044" s="18"/>
      <c r="U1044" s="18"/>
      <c r="V1044" s="18"/>
      <c r="W1044" s="15"/>
      <c r="X1044" s="15"/>
    </row>
    <row r="1045">
      <c r="A1045" s="7">
        <v>1044.0</v>
      </c>
      <c r="B1045" s="8" t="s">
        <v>4587</v>
      </c>
      <c r="C1045" s="9" t="s">
        <v>4588</v>
      </c>
      <c r="D1045" s="10" t="str">
        <f>HYPERLINK("https://facebook.com/367089020688300_515778922485975", "367089020688300_515778922485975")</f>
        <v>367089020688300_515778922485975</v>
      </c>
      <c r="E1045" s="11">
        <v>777.0</v>
      </c>
      <c r="F1045" s="11">
        <v>33.0</v>
      </c>
      <c r="G1045" s="11">
        <v>425.0</v>
      </c>
      <c r="H1045" s="9" t="s">
        <v>26</v>
      </c>
      <c r="I1045" s="9" t="s">
        <v>4589</v>
      </c>
      <c r="J1045" s="16" t="s">
        <v>4590</v>
      </c>
      <c r="K1045" s="9"/>
      <c r="L1045" s="9" t="s">
        <v>30</v>
      </c>
      <c r="M1045" s="9" t="s">
        <v>31</v>
      </c>
      <c r="N1045" s="9" t="s">
        <v>32</v>
      </c>
      <c r="O1045" s="12" t="s">
        <v>33</v>
      </c>
      <c r="P1045" s="12" t="s">
        <v>34</v>
      </c>
      <c r="Q1045" s="9"/>
      <c r="R1045" s="18"/>
      <c r="S1045" s="18"/>
      <c r="T1045" s="18"/>
      <c r="U1045" s="18"/>
      <c r="V1045" s="18"/>
      <c r="W1045" s="15"/>
      <c r="X1045" s="15"/>
    </row>
    <row r="1046">
      <c r="A1046" s="7">
        <v>1045.0</v>
      </c>
      <c r="B1046" s="8" t="s">
        <v>4591</v>
      </c>
      <c r="C1046" s="9" t="s">
        <v>4592</v>
      </c>
      <c r="D1046" s="10" t="str">
        <f>HYPERLINK("https://facebook.com/367089020688300_559803048083562", "367089020688300_559803048083562")</f>
        <v>367089020688300_559803048083562</v>
      </c>
      <c r="E1046" s="11">
        <v>153.0</v>
      </c>
      <c r="F1046" s="11">
        <v>5.0</v>
      </c>
      <c r="G1046" s="11">
        <v>75.0</v>
      </c>
      <c r="H1046" s="9" t="s">
        <v>26</v>
      </c>
      <c r="I1046" s="9" t="s">
        <v>4593</v>
      </c>
      <c r="J1046" s="9" t="s">
        <v>4594</v>
      </c>
      <c r="K1046" s="9" t="s">
        <v>219</v>
      </c>
      <c r="L1046" s="9" t="s">
        <v>30</v>
      </c>
      <c r="M1046" s="9" t="s">
        <v>31</v>
      </c>
      <c r="N1046" s="9" t="s">
        <v>32</v>
      </c>
      <c r="O1046" s="12" t="s">
        <v>33</v>
      </c>
      <c r="P1046" s="12" t="s">
        <v>34</v>
      </c>
      <c r="Q1046" s="9"/>
      <c r="R1046" s="18"/>
      <c r="S1046" s="18"/>
      <c r="T1046" s="18"/>
      <c r="U1046" s="18"/>
      <c r="V1046" s="18"/>
      <c r="W1046" s="15"/>
      <c r="X1046" s="15"/>
    </row>
    <row r="1047">
      <c r="A1047" s="7">
        <v>1046.0</v>
      </c>
      <c r="B1047" s="8" t="s">
        <v>4595</v>
      </c>
      <c r="C1047" s="9" t="s">
        <v>4596</v>
      </c>
      <c r="D1047" s="10" t="str">
        <f>HYPERLINK("https://facebook.com/367089020688300_547886085941925", "367089020688300_547886085941925")</f>
        <v>367089020688300_547886085941925</v>
      </c>
      <c r="E1047" s="11">
        <v>23.0</v>
      </c>
      <c r="F1047" s="11">
        <v>0.0</v>
      </c>
      <c r="G1047" s="11">
        <v>29.0</v>
      </c>
      <c r="H1047" s="9" t="s">
        <v>26</v>
      </c>
      <c r="I1047" s="9" t="s">
        <v>4597</v>
      </c>
      <c r="J1047" s="16" t="s">
        <v>4598</v>
      </c>
      <c r="K1047" s="9"/>
      <c r="L1047" s="9" t="s">
        <v>30</v>
      </c>
      <c r="M1047" s="9" t="s">
        <v>31</v>
      </c>
      <c r="N1047" s="9" t="s">
        <v>32</v>
      </c>
      <c r="O1047" s="12" t="s">
        <v>33</v>
      </c>
      <c r="P1047" s="12" t="s">
        <v>34</v>
      </c>
      <c r="Q1047" s="9"/>
      <c r="R1047" s="18"/>
      <c r="S1047" s="18"/>
      <c r="T1047" s="18"/>
      <c r="U1047" s="18"/>
      <c r="V1047" s="18"/>
      <c r="W1047" s="15"/>
      <c r="X1047" s="15"/>
    </row>
    <row r="1048">
      <c r="A1048" s="7">
        <v>1047.0</v>
      </c>
      <c r="B1048" s="8" t="s">
        <v>4599</v>
      </c>
      <c r="C1048" s="9" t="s">
        <v>4600</v>
      </c>
      <c r="D1048" s="10" t="str">
        <f>HYPERLINK("https://facebook.com/367089020688300_555804751816725", "367089020688300_555804751816725")</f>
        <v>367089020688300_555804751816725</v>
      </c>
      <c r="E1048" s="11">
        <v>28.0</v>
      </c>
      <c r="F1048" s="11">
        <v>0.0</v>
      </c>
      <c r="G1048" s="11">
        <v>7.0</v>
      </c>
      <c r="H1048" s="9" t="s">
        <v>26</v>
      </c>
      <c r="I1048" s="9" t="s">
        <v>4601</v>
      </c>
      <c r="J1048" s="9" t="s">
        <v>4602</v>
      </c>
      <c r="K1048" s="9" t="s">
        <v>4603</v>
      </c>
      <c r="L1048" s="9" t="s">
        <v>30</v>
      </c>
      <c r="M1048" s="9" t="s">
        <v>31</v>
      </c>
      <c r="N1048" s="9" t="s">
        <v>32</v>
      </c>
      <c r="O1048" s="12" t="s">
        <v>33</v>
      </c>
      <c r="P1048" s="12" t="s">
        <v>34</v>
      </c>
      <c r="Q1048" s="9"/>
      <c r="R1048" s="18"/>
      <c r="S1048" s="18"/>
      <c r="T1048" s="18"/>
      <c r="U1048" s="18"/>
      <c r="V1048" s="18"/>
      <c r="W1048" s="15"/>
      <c r="X1048" s="15"/>
    </row>
    <row r="1049">
      <c r="A1049" s="7">
        <v>1048.0</v>
      </c>
      <c r="B1049" s="8" t="s">
        <v>4604</v>
      </c>
      <c r="C1049" s="9" t="s">
        <v>4605</v>
      </c>
      <c r="D1049" s="10" t="str">
        <f>HYPERLINK("https://facebook.com/367089020688300_562366631160537", "367089020688300_562366631160537")</f>
        <v>367089020688300_562366631160537</v>
      </c>
      <c r="E1049" s="11">
        <v>9.0</v>
      </c>
      <c r="F1049" s="11">
        <v>0.0</v>
      </c>
      <c r="G1049" s="11">
        <v>0.0</v>
      </c>
      <c r="H1049" s="9" t="s">
        <v>26</v>
      </c>
      <c r="I1049" s="9" t="s">
        <v>4606</v>
      </c>
      <c r="J1049" s="9" t="s">
        <v>4607</v>
      </c>
      <c r="K1049" s="9" t="s">
        <v>363</v>
      </c>
      <c r="L1049" s="9" t="s">
        <v>30</v>
      </c>
      <c r="M1049" s="9" t="s">
        <v>31</v>
      </c>
      <c r="N1049" s="9" t="s">
        <v>32</v>
      </c>
      <c r="O1049" s="12" t="s">
        <v>33</v>
      </c>
      <c r="P1049" s="12" t="s">
        <v>34</v>
      </c>
      <c r="Q1049" s="9"/>
      <c r="R1049" s="18"/>
      <c r="S1049" s="18"/>
      <c r="T1049" s="18"/>
      <c r="U1049" s="18"/>
      <c r="V1049" s="18"/>
      <c r="W1049" s="15"/>
      <c r="X1049" s="15"/>
    </row>
    <row r="1050">
      <c r="A1050" s="7">
        <v>1049.0</v>
      </c>
      <c r="B1050" s="8" t="s">
        <v>4608</v>
      </c>
      <c r="C1050" s="9" t="s">
        <v>4609</v>
      </c>
      <c r="D1050" s="10" t="str">
        <f>HYPERLINK("https://facebook.com/367089020688300_528579544539246", "367089020688300_528579544539246")</f>
        <v>367089020688300_528579544539246</v>
      </c>
      <c r="E1050" s="11">
        <v>58.0</v>
      </c>
      <c r="F1050" s="11">
        <v>1.0</v>
      </c>
      <c r="G1050" s="11">
        <v>32.0</v>
      </c>
      <c r="H1050" s="9" t="s">
        <v>26</v>
      </c>
      <c r="I1050" s="9" t="s">
        <v>4610</v>
      </c>
      <c r="J1050" s="16" t="s">
        <v>4611</v>
      </c>
      <c r="K1050" s="9"/>
      <c r="L1050" s="9" t="s">
        <v>30</v>
      </c>
      <c r="M1050" s="9" t="s">
        <v>31</v>
      </c>
      <c r="N1050" s="9" t="s">
        <v>32</v>
      </c>
      <c r="O1050" s="12" t="s">
        <v>33</v>
      </c>
      <c r="P1050" s="12" t="s">
        <v>34</v>
      </c>
      <c r="Q1050" s="9"/>
      <c r="R1050" s="18"/>
      <c r="S1050" s="18"/>
      <c r="T1050" s="18"/>
      <c r="U1050" s="18"/>
      <c r="V1050" s="18"/>
      <c r="W1050" s="15"/>
      <c r="X1050" s="15"/>
    </row>
    <row r="1051">
      <c r="A1051" s="7">
        <v>1050.0</v>
      </c>
      <c r="B1051" s="8" t="s">
        <v>4612</v>
      </c>
      <c r="C1051" s="9" t="s">
        <v>4613</v>
      </c>
      <c r="D1051" s="10" t="str">
        <f>HYPERLINK("https://facebook.com/367089020688300_562526484477885", "367089020688300_562526484477885")</f>
        <v>367089020688300_562526484477885</v>
      </c>
      <c r="E1051" s="11">
        <v>2.0</v>
      </c>
      <c r="F1051" s="11">
        <v>0.0</v>
      </c>
      <c r="G1051" s="11">
        <v>0.0</v>
      </c>
      <c r="H1051" s="9" t="s">
        <v>26</v>
      </c>
      <c r="I1051" s="9" t="s">
        <v>4614</v>
      </c>
      <c r="J1051" s="16" t="s">
        <v>4615</v>
      </c>
      <c r="K1051" s="9"/>
      <c r="L1051" s="9" t="s">
        <v>30</v>
      </c>
      <c r="M1051" s="9" t="s">
        <v>31</v>
      </c>
      <c r="N1051" s="9" t="s">
        <v>32</v>
      </c>
      <c r="O1051" s="12" t="s">
        <v>33</v>
      </c>
      <c r="P1051" s="12" t="s">
        <v>34</v>
      </c>
      <c r="Q1051" s="9"/>
      <c r="R1051" s="18"/>
      <c r="S1051" s="18"/>
      <c r="T1051" s="18"/>
      <c r="U1051" s="18"/>
      <c r="V1051" s="18"/>
      <c r="W1051" s="15"/>
      <c r="X1051" s="15"/>
    </row>
    <row r="1052">
      <c r="A1052" s="7">
        <v>1051.0</v>
      </c>
      <c r="B1052" s="8" t="s">
        <v>4616</v>
      </c>
      <c r="C1052" s="9" t="s">
        <v>4617</v>
      </c>
      <c r="D1052" s="10" t="str">
        <f>HYPERLINK("https://facebook.com/367089020688300_506254976771703", "367089020688300_506254976771703")</f>
        <v>367089020688300_506254976771703</v>
      </c>
      <c r="E1052" s="11">
        <v>259.0</v>
      </c>
      <c r="F1052" s="11">
        <v>0.0</v>
      </c>
      <c r="G1052" s="11">
        <v>93.0</v>
      </c>
      <c r="H1052" s="9" t="s">
        <v>26</v>
      </c>
      <c r="I1052" s="9" t="s">
        <v>3150</v>
      </c>
      <c r="J1052" s="16" t="s">
        <v>3151</v>
      </c>
      <c r="K1052" s="9"/>
      <c r="L1052" s="9" t="s">
        <v>30</v>
      </c>
      <c r="M1052" s="9" t="s">
        <v>31</v>
      </c>
      <c r="N1052" s="9" t="s">
        <v>32</v>
      </c>
      <c r="O1052" s="12" t="s">
        <v>33</v>
      </c>
      <c r="P1052" s="12" t="s">
        <v>34</v>
      </c>
      <c r="Q1052" s="9"/>
      <c r="R1052" s="18"/>
      <c r="S1052" s="18"/>
      <c r="T1052" s="18"/>
      <c r="U1052" s="18"/>
      <c r="V1052" s="18"/>
      <c r="W1052" s="15"/>
      <c r="X1052" s="15"/>
    </row>
    <row r="1053">
      <c r="A1053" s="7">
        <v>1052.0</v>
      </c>
      <c r="B1053" s="8" t="s">
        <v>4618</v>
      </c>
      <c r="C1053" s="9" t="s">
        <v>4619</v>
      </c>
      <c r="D1053" s="10" t="str">
        <f>HYPERLINK("https://facebook.com/367089020688300_540417396688794", "367089020688300_540417396688794")</f>
        <v>367089020688300_540417396688794</v>
      </c>
      <c r="E1053" s="11">
        <v>100.0</v>
      </c>
      <c r="F1053" s="11">
        <v>1.0</v>
      </c>
      <c r="G1053" s="11">
        <v>113.0</v>
      </c>
      <c r="H1053" s="9" t="s">
        <v>26</v>
      </c>
      <c r="I1053" s="9" t="s">
        <v>4620</v>
      </c>
      <c r="J1053" s="16" t="s">
        <v>4621</v>
      </c>
      <c r="K1053" s="9"/>
      <c r="L1053" s="9" t="s">
        <v>30</v>
      </c>
      <c r="M1053" s="9" t="s">
        <v>31</v>
      </c>
      <c r="N1053" s="9" t="s">
        <v>32</v>
      </c>
      <c r="O1053" s="12" t="s">
        <v>33</v>
      </c>
      <c r="P1053" s="12" t="s">
        <v>34</v>
      </c>
      <c r="Q1053" s="9"/>
      <c r="R1053" s="18"/>
      <c r="S1053" s="18"/>
      <c r="T1053" s="18"/>
      <c r="U1053" s="18"/>
      <c r="V1053" s="18"/>
      <c r="W1053" s="15"/>
      <c r="X1053" s="15"/>
    </row>
    <row r="1054">
      <c r="A1054" s="7">
        <v>1053.0</v>
      </c>
      <c r="B1054" s="8" t="s">
        <v>4622</v>
      </c>
      <c r="C1054" s="9" t="s">
        <v>4623</v>
      </c>
      <c r="D1054" s="10" t="str">
        <f>HYPERLINK("https://facebook.com/367089020688300_553023062094894", "367089020688300_553023062094894")</f>
        <v>367089020688300_553023062094894</v>
      </c>
      <c r="E1054" s="11">
        <v>46.0</v>
      </c>
      <c r="F1054" s="11">
        <v>0.0</v>
      </c>
      <c r="G1054" s="11">
        <v>22.0</v>
      </c>
      <c r="H1054" s="9" t="s">
        <v>26</v>
      </c>
      <c r="I1054" s="9" t="s">
        <v>3853</v>
      </c>
      <c r="J1054" s="16" t="s">
        <v>4624</v>
      </c>
      <c r="K1054" s="9"/>
      <c r="L1054" s="9" t="s">
        <v>30</v>
      </c>
      <c r="M1054" s="9" t="s">
        <v>31</v>
      </c>
      <c r="N1054" s="9" t="s">
        <v>32</v>
      </c>
      <c r="O1054" s="12" t="s">
        <v>33</v>
      </c>
      <c r="P1054" s="12" t="s">
        <v>34</v>
      </c>
      <c r="Q1054" s="9"/>
      <c r="R1054" s="18"/>
      <c r="S1054" s="18"/>
      <c r="T1054" s="18"/>
      <c r="U1054" s="18"/>
      <c r="V1054" s="18"/>
      <c r="W1054" s="15"/>
      <c r="X1054" s="15"/>
    </row>
    <row r="1055">
      <c r="A1055" s="7">
        <v>1054.0</v>
      </c>
      <c r="B1055" s="8" t="s">
        <v>4625</v>
      </c>
      <c r="C1055" s="9" t="s">
        <v>4626</v>
      </c>
      <c r="D1055" s="10" t="str">
        <f>HYPERLINK("https://facebook.com/367089020688300_528258831237984", "367089020688300_528258831237984")</f>
        <v>367089020688300_528258831237984</v>
      </c>
      <c r="E1055" s="11">
        <v>305.0</v>
      </c>
      <c r="F1055" s="11">
        <v>10.0</v>
      </c>
      <c r="G1055" s="11">
        <v>249.0</v>
      </c>
      <c r="H1055" s="9" t="s">
        <v>26</v>
      </c>
      <c r="I1055" s="9" t="s">
        <v>4627</v>
      </c>
      <c r="J1055" s="9" t="s">
        <v>4628</v>
      </c>
      <c r="K1055" s="9" t="s">
        <v>249</v>
      </c>
      <c r="L1055" s="9" t="s">
        <v>30</v>
      </c>
      <c r="M1055" s="9" t="s">
        <v>31</v>
      </c>
      <c r="N1055" s="9" t="s">
        <v>32</v>
      </c>
      <c r="O1055" s="12" t="s">
        <v>33</v>
      </c>
      <c r="P1055" s="12" t="s">
        <v>34</v>
      </c>
      <c r="Q1055" s="9"/>
      <c r="R1055" s="18"/>
      <c r="S1055" s="18"/>
      <c r="T1055" s="18"/>
      <c r="U1055" s="18"/>
      <c r="V1055" s="18"/>
      <c r="W1055" s="15"/>
      <c r="X1055" s="15"/>
    </row>
    <row r="1056">
      <c r="A1056" s="7">
        <v>1055.0</v>
      </c>
      <c r="B1056" s="8" t="s">
        <v>4629</v>
      </c>
      <c r="C1056" s="9" t="s">
        <v>4630</v>
      </c>
      <c r="D1056" s="10" t="str">
        <f>HYPERLINK("https://facebook.com/367089020688300_535242570539610", "367089020688300_535242570539610")</f>
        <v>367089020688300_535242570539610</v>
      </c>
      <c r="E1056" s="11">
        <v>199.0</v>
      </c>
      <c r="F1056" s="11">
        <v>1.0</v>
      </c>
      <c r="G1056" s="11">
        <v>465.0</v>
      </c>
      <c r="H1056" s="9" t="s">
        <v>26</v>
      </c>
      <c r="I1056" s="9" t="s">
        <v>408</v>
      </c>
      <c r="J1056" s="16" t="s">
        <v>4631</v>
      </c>
      <c r="K1056" s="9"/>
      <c r="L1056" s="9" t="s">
        <v>30</v>
      </c>
      <c r="M1056" s="9" t="s">
        <v>31</v>
      </c>
      <c r="N1056" s="9" t="s">
        <v>32</v>
      </c>
      <c r="O1056" s="12" t="s">
        <v>33</v>
      </c>
      <c r="P1056" s="12" t="s">
        <v>34</v>
      </c>
      <c r="Q1056" s="9"/>
      <c r="R1056" s="18"/>
      <c r="S1056" s="18"/>
      <c r="T1056" s="18"/>
      <c r="U1056" s="18"/>
      <c r="V1056" s="18"/>
      <c r="W1056" s="15"/>
      <c r="X1056" s="15"/>
    </row>
    <row r="1057">
      <c r="A1057" s="7">
        <v>1056.0</v>
      </c>
      <c r="B1057" s="8" t="s">
        <v>4632</v>
      </c>
      <c r="C1057" s="9" t="s">
        <v>4633</v>
      </c>
      <c r="D1057" s="10" t="str">
        <f>HYPERLINK("https://facebook.com/367089020688300_552587948805072", "367089020688300_552587948805072")</f>
        <v>367089020688300_552587948805072</v>
      </c>
      <c r="E1057" s="11">
        <v>10.0</v>
      </c>
      <c r="F1057" s="11">
        <v>0.0</v>
      </c>
      <c r="G1057" s="11">
        <v>4.0</v>
      </c>
      <c r="H1057" s="9" t="s">
        <v>26</v>
      </c>
      <c r="I1057" s="9" t="s">
        <v>4634</v>
      </c>
      <c r="J1057" s="16" t="s">
        <v>4635</v>
      </c>
      <c r="K1057" s="9"/>
      <c r="L1057" s="9" t="s">
        <v>30</v>
      </c>
      <c r="M1057" s="9" t="s">
        <v>31</v>
      </c>
      <c r="N1057" s="9" t="s">
        <v>32</v>
      </c>
      <c r="O1057" s="12" t="s">
        <v>33</v>
      </c>
      <c r="P1057" s="12" t="s">
        <v>34</v>
      </c>
      <c r="Q1057" s="9"/>
      <c r="R1057" s="18"/>
      <c r="S1057" s="18"/>
      <c r="T1057" s="18"/>
      <c r="U1057" s="18"/>
      <c r="V1057" s="18"/>
      <c r="W1057" s="15"/>
      <c r="X1057" s="15"/>
    </row>
    <row r="1058">
      <c r="A1058" s="7">
        <v>1057.0</v>
      </c>
      <c r="B1058" s="8" t="s">
        <v>4636</v>
      </c>
      <c r="C1058" s="9" t="s">
        <v>4637</v>
      </c>
      <c r="D1058" s="10" t="str">
        <f>HYPERLINK("https://facebook.com/367089020688300_552459082151292", "367089020688300_552459082151292")</f>
        <v>367089020688300_552459082151292</v>
      </c>
      <c r="E1058" s="11">
        <v>13.0</v>
      </c>
      <c r="F1058" s="11">
        <v>1.0</v>
      </c>
      <c r="G1058" s="11">
        <v>0.0</v>
      </c>
      <c r="H1058" s="9" t="s">
        <v>26</v>
      </c>
      <c r="I1058" s="9" t="s">
        <v>98</v>
      </c>
      <c r="J1058" s="16" t="s">
        <v>99</v>
      </c>
      <c r="K1058" s="9"/>
      <c r="L1058" s="9" t="s">
        <v>30</v>
      </c>
      <c r="M1058" s="9" t="s">
        <v>31</v>
      </c>
      <c r="N1058" s="9" t="s">
        <v>32</v>
      </c>
      <c r="O1058" s="12" t="s">
        <v>33</v>
      </c>
      <c r="P1058" s="12" t="s">
        <v>34</v>
      </c>
      <c r="Q1058" s="9"/>
      <c r="R1058" s="18"/>
      <c r="S1058" s="18"/>
      <c r="T1058" s="18"/>
      <c r="U1058" s="18"/>
      <c r="V1058" s="18"/>
      <c r="W1058" s="15"/>
      <c r="X1058" s="15"/>
    </row>
    <row r="1059">
      <c r="A1059" s="7">
        <v>1058.0</v>
      </c>
      <c r="B1059" s="8" t="s">
        <v>4638</v>
      </c>
      <c r="C1059" s="9" t="s">
        <v>4639</v>
      </c>
      <c r="D1059" s="10" t="str">
        <f>HYPERLINK("https://facebook.com/367089020688300_499561524107715", "367089020688300_499561524107715")</f>
        <v>367089020688300_499561524107715</v>
      </c>
      <c r="E1059" s="11">
        <v>119.0</v>
      </c>
      <c r="F1059" s="11">
        <v>12.0</v>
      </c>
      <c r="G1059" s="11">
        <v>158.0</v>
      </c>
      <c r="H1059" s="9" t="s">
        <v>26</v>
      </c>
      <c r="I1059" s="9" t="s">
        <v>2901</v>
      </c>
      <c r="J1059" s="9" t="s">
        <v>2902</v>
      </c>
      <c r="K1059" s="9" t="s">
        <v>249</v>
      </c>
      <c r="L1059" s="9" t="s">
        <v>30</v>
      </c>
      <c r="M1059" s="9" t="s">
        <v>31</v>
      </c>
      <c r="N1059" s="9" t="s">
        <v>32</v>
      </c>
      <c r="O1059" s="12" t="s">
        <v>33</v>
      </c>
      <c r="P1059" s="12" t="s">
        <v>34</v>
      </c>
      <c r="Q1059" s="9"/>
      <c r="R1059" s="18"/>
      <c r="S1059" s="18"/>
      <c r="T1059" s="18"/>
      <c r="U1059" s="18"/>
      <c r="V1059" s="18"/>
      <c r="W1059" s="15"/>
      <c r="X1059" s="15"/>
    </row>
    <row r="1060">
      <c r="A1060" s="7">
        <v>1059.0</v>
      </c>
      <c r="B1060" s="8" t="s">
        <v>4640</v>
      </c>
      <c r="C1060" s="9" t="s">
        <v>4641</v>
      </c>
      <c r="D1060" s="10" t="str">
        <f>HYPERLINK("https://facebook.com/367089020688300_563164317747435", "367089020688300_563164317747435")</f>
        <v>367089020688300_563164317747435</v>
      </c>
      <c r="E1060" s="11">
        <v>19.0</v>
      </c>
      <c r="F1060" s="11">
        <v>0.0</v>
      </c>
      <c r="G1060" s="11">
        <v>4.0</v>
      </c>
      <c r="H1060" s="9" t="s">
        <v>26</v>
      </c>
      <c r="I1060" s="9" t="s">
        <v>4642</v>
      </c>
      <c r="J1060" s="9" t="s">
        <v>4643</v>
      </c>
      <c r="K1060" s="9" t="s">
        <v>249</v>
      </c>
      <c r="L1060" s="9" t="s">
        <v>30</v>
      </c>
      <c r="M1060" s="9" t="s">
        <v>31</v>
      </c>
      <c r="N1060" s="9" t="s">
        <v>32</v>
      </c>
      <c r="O1060" s="12" t="s">
        <v>33</v>
      </c>
      <c r="P1060" s="12" t="s">
        <v>34</v>
      </c>
      <c r="Q1060" s="9"/>
      <c r="R1060" s="18"/>
      <c r="S1060" s="18"/>
      <c r="T1060" s="18"/>
      <c r="U1060" s="18"/>
      <c r="V1060" s="18"/>
      <c r="W1060" s="15"/>
      <c r="X1060" s="15"/>
    </row>
    <row r="1061">
      <c r="A1061" s="7">
        <v>1060.0</v>
      </c>
      <c r="B1061" s="8" t="s">
        <v>4644</v>
      </c>
      <c r="C1061" s="9" t="s">
        <v>4645</v>
      </c>
      <c r="D1061" s="10" t="str">
        <f>HYPERLINK("https://facebook.com/367089020688300_548988462498354", "367089020688300_548988462498354")</f>
        <v>367089020688300_548988462498354</v>
      </c>
      <c r="E1061" s="11">
        <v>505.0</v>
      </c>
      <c r="F1061" s="11">
        <v>6.0</v>
      </c>
      <c r="G1061" s="11">
        <v>330.0</v>
      </c>
      <c r="H1061" s="9" t="s">
        <v>26</v>
      </c>
      <c r="I1061" s="9" t="s">
        <v>4646</v>
      </c>
      <c r="J1061" s="16" t="s">
        <v>4647</v>
      </c>
      <c r="K1061" s="9"/>
      <c r="L1061" s="9" t="s">
        <v>30</v>
      </c>
      <c r="M1061" s="9" t="s">
        <v>31</v>
      </c>
      <c r="N1061" s="9" t="s">
        <v>32</v>
      </c>
      <c r="O1061" s="12" t="s">
        <v>33</v>
      </c>
      <c r="P1061" s="12" t="s">
        <v>34</v>
      </c>
      <c r="Q1061" s="9"/>
      <c r="R1061" s="18"/>
      <c r="S1061" s="18"/>
      <c r="T1061" s="18"/>
      <c r="U1061" s="18"/>
      <c r="V1061" s="18"/>
      <c r="W1061" s="15"/>
      <c r="X1061" s="15"/>
    </row>
    <row r="1062">
      <c r="A1062" s="7">
        <v>1061.0</v>
      </c>
      <c r="B1062" s="8" t="s">
        <v>4648</v>
      </c>
      <c r="C1062" s="9" t="s">
        <v>4649</v>
      </c>
      <c r="D1062" s="10" t="str">
        <f>HYPERLINK("https://facebook.com/367089020688300_545849456145588", "367089020688300_545849456145588")</f>
        <v>367089020688300_545849456145588</v>
      </c>
      <c r="E1062" s="11">
        <v>14.0</v>
      </c>
      <c r="F1062" s="11">
        <v>0.0</v>
      </c>
      <c r="G1062" s="11">
        <v>5.0</v>
      </c>
      <c r="H1062" s="9" t="s">
        <v>26</v>
      </c>
      <c r="I1062" s="9" t="s">
        <v>4650</v>
      </c>
      <c r="J1062" s="9" t="s">
        <v>4651</v>
      </c>
      <c r="K1062" s="9" t="s">
        <v>4652</v>
      </c>
      <c r="L1062" s="9" t="s">
        <v>30</v>
      </c>
      <c r="M1062" s="9" t="s">
        <v>31</v>
      </c>
      <c r="N1062" s="9" t="s">
        <v>32</v>
      </c>
      <c r="O1062" s="12" t="s">
        <v>33</v>
      </c>
      <c r="P1062" s="12" t="s">
        <v>34</v>
      </c>
      <c r="Q1062" s="9"/>
      <c r="R1062" s="18"/>
      <c r="S1062" s="18"/>
      <c r="T1062" s="18"/>
      <c r="U1062" s="18"/>
      <c r="V1062" s="18"/>
      <c r="W1062" s="15"/>
      <c r="X1062" s="15"/>
    </row>
    <row r="1063">
      <c r="A1063" s="7">
        <v>1062.0</v>
      </c>
      <c r="B1063" s="8" t="s">
        <v>4653</v>
      </c>
      <c r="C1063" s="9" t="s">
        <v>4654</v>
      </c>
      <c r="D1063" s="10" t="str">
        <f>HYPERLINK("https://facebook.com/367089020688300_546842109379656", "367089020688300_546842109379656")</f>
        <v>367089020688300_546842109379656</v>
      </c>
      <c r="E1063" s="11">
        <v>39.0</v>
      </c>
      <c r="F1063" s="11">
        <v>0.0</v>
      </c>
      <c r="G1063" s="11">
        <v>6.0</v>
      </c>
      <c r="H1063" s="9" t="s">
        <v>26</v>
      </c>
      <c r="I1063" s="9" t="s">
        <v>4589</v>
      </c>
      <c r="J1063" s="9" t="s">
        <v>4655</v>
      </c>
      <c r="K1063" s="9" t="s">
        <v>920</v>
      </c>
      <c r="L1063" s="9" t="s">
        <v>30</v>
      </c>
      <c r="M1063" s="9" t="s">
        <v>31</v>
      </c>
      <c r="N1063" s="9" t="s">
        <v>32</v>
      </c>
      <c r="O1063" s="12" t="s">
        <v>33</v>
      </c>
      <c r="P1063" s="12" t="s">
        <v>34</v>
      </c>
      <c r="Q1063" s="9"/>
      <c r="R1063" s="18"/>
      <c r="S1063" s="18"/>
      <c r="T1063" s="18"/>
      <c r="U1063" s="18"/>
      <c r="V1063" s="18"/>
      <c r="W1063" s="15"/>
      <c r="X1063" s="15"/>
    </row>
    <row r="1064">
      <c r="A1064" s="7">
        <v>1063.0</v>
      </c>
      <c r="B1064" s="8" t="s">
        <v>4656</v>
      </c>
      <c r="C1064" s="9" t="s">
        <v>4657</v>
      </c>
      <c r="D1064" s="10" t="str">
        <f>HYPERLINK("https://facebook.com/367089020688300_556507881746412", "367089020688300_556507881746412")</f>
        <v>367089020688300_556507881746412</v>
      </c>
      <c r="E1064" s="11">
        <v>84.0</v>
      </c>
      <c r="F1064" s="11">
        <v>1.0</v>
      </c>
      <c r="G1064" s="11">
        <v>33.0</v>
      </c>
      <c r="H1064" s="9" t="s">
        <v>26</v>
      </c>
      <c r="I1064" s="9" t="s">
        <v>4658</v>
      </c>
      <c r="J1064" s="16" t="s">
        <v>4659</v>
      </c>
      <c r="K1064" s="9"/>
      <c r="L1064" s="9" t="s">
        <v>30</v>
      </c>
      <c r="M1064" s="9" t="s">
        <v>31</v>
      </c>
      <c r="N1064" s="9" t="s">
        <v>32</v>
      </c>
      <c r="O1064" s="12" t="s">
        <v>33</v>
      </c>
      <c r="P1064" s="12" t="s">
        <v>34</v>
      </c>
      <c r="Q1064" s="9"/>
      <c r="R1064" s="18"/>
      <c r="S1064" s="18"/>
      <c r="T1064" s="18"/>
      <c r="U1064" s="18"/>
      <c r="V1064" s="18"/>
      <c r="W1064" s="15"/>
      <c r="X1064" s="15"/>
    </row>
    <row r="1065">
      <c r="A1065" s="7">
        <v>1064.0</v>
      </c>
      <c r="B1065" s="8" t="s">
        <v>4660</v>
      </c>
      <c r="C1065" s="9" t="s">
        <v>4661</v>
      </c>
      <c r="D1065" s="10" t="str">
        <f>HYPERLINK("https://facebook.com/367089020688300_517251059005428", "367089020688300_517251059005428")</f>
        <v>367089020688300_517251059005428</v>
      </c>
      <c r="E1065" s="11">
        <v>47.0</v>
      </c>
      <c r="F1065" s="11">
        <v>0.0</v>
      </c>
      <c r="G1065" s="11">
        <v>52.0</v>
      </c>
      <c r="H1065" s="9" t="s">
        <v>26</v>
      </c>
      <c r="I1065" s="9" t="s">
        <v>4662</v>
      </c>
      <c r="J1065" s="9" t="s">
        <v>4663</v>
      </c>
      <c r="K1065" s="9" t="s">
        <v>4664</v>
      </c>
      <c r="L1065" s="9" t="s">
        <v>30</v>
      </c>
      <c r="M1065" s="9" t="s">
        <v>31</v>
      </c>
      <c r="N1065" s="9" t="s">
        <v>32</v>
      </c>
      <c r="O1065" s="12" t="s">
        <v>33</v>
      </c>
      <c r="P1065" s="12" t="s">
        <v>34</v>
      </c>
      <c r="Q1065" s="9"/>
      <c r="R1065" s="18"/>
      <c r="S1065" s="18"/>
      <c r="T1065" s="18"/>
      <c r="U1065" s="18"/>
      <c r="V1065" s="18"/>
      <c r="W1065" s="15"/>
      <c r="X1065" s="15"/>
    </row>
    <row r="1066">
      <c r="A1066" s="7">
        <v>1065.0</v>
      </c>
      <c r="B1066" s="8" t="s">
        <v>4665</v>
      </c>
      <c r="C1066" s="9" t="s">
        <v>4666</v>
      </c>
      <c r="D1066" s="10" t="str">
        <f>HYPERLINK("https://facebook.com/367089020688300_557639338299933", "367089020688300_557639338299933")</f>
        <v>367089020688300_557639338299933</v>
      </c>
      <c r="E1066" s="11">
        <v>86.0</v>
      </c>
      <c r="F1066" s="11">
        <v>0.0</v>
      </c>
      <c r="G1066" s="11">
        <v>43.0</v>
      </c>
      <c r="H1066" s="9" t="s">
        <v>26</v>
      </c>
      <c r="I1066" s="9" t="s">
        <v>4667</v>
      </c>
      <c r="J1066" s="9" t="s">
        <v>4668</v>
      </c>
      <c r="K1066" s="9" t="s">
        <v>493</v>
      </c>
      <c r="L1066" s="9" t="s">
        <v>30</v>
      </c>
      <c r="M1066" s="9" t="s">
        <v>31</v>
      </c>
      <c r="N1066" s="9" t="s">
        <v>32</v>
      </c>
      <c r="O1066" s="12" t="s">
        <v>33</v>
      </c>
      <c r="P1066" s="12" t="s">
        <v>34</v>
      </c>
      <c r="Q1066" s="9"/>
      <c r="R1066" s="18"/>
      <c r="S1066" s="18"/>
      <c r="T1066" s="18"/>
      <c r="U1066" s="18"/>
      <c r="V1066" s="18"/>
      <c r="W1066" s="15"/>
      <c r="X1066" s="15"/>
    </row>
    <row r="1067">
      <c r="A1067" s="7">
        <v>1066.0</v>
      </c>
      <c r="B1067" s="8" t="s">
        <v>4669</v>
      </c>
      <c r="C1067" s="9" t="s">
        <v>4670</v>
      </c>
      <c r="D1067" s="10" t="str">
        <f>HYPERLINK("https://facebook.com/367089020688300_538092590254608", "367089020688300_538092590254608")</f>
        <v>367089020688300_538092590254608</v>
      </c>
      <c r="E1067" s="11">
        <v>414.0</v>
      </c>
      <c r="F1067" s="11">
        <v>0.0</v>
      </c>
      <c r="G1067" s="11">
        <v>189.0</v>
      </c>
      <c r="H1067" s="9" t="s">
        <v>26</v>
      </c>
      <c r="I1067" s="9" t="s">
        <v>4671</v>
      </c>
      <c r="J1067" s="16" t="s">
        <v>4672</v>
      </c>
      <c r="K1067" s="9"/>
      <c r="L1067" s="9" t="s">
        <v>30</v>
      </c>
      <c r="M1067" s="9" t="s">
        <v>31</v>
      </c>
      <c r="N1067" s="9" t="s">
        <v>32</v>
      </c>
      <c r="O1067" s="12" t="s">
        <v>33</v>
      </c>
      <c r="P1067" s="12" t="s">
        <v>34</v>
      </c>
      <c r="Q1067" s="9"/>
      <c r="R1067" s="18"/>
      <c r="S1067" s="18"/>
      <c r="T1067" s="18"/>
      <c r="U1067" s="18"/>
      <c r="V1067" s="18"/>
      <c r="W1067" s="15"/>
      <c r="X1067" s="15"/>
    </row>
    <row r="1068">
      <c r="A1068" s="7">
        <v>1067.0</v>
      </c>
      <c r="B1068" s="8" t="s">
        <v>4673</v>
      </c>
      <c r="C1068" s="9" t="s">
        <v>4674</v>
      </c>
      <c r="D1068" s="10" t="str">
        <f>HYPERLINK("https://facebook.com/367089020688300_537364860327381", "367089020688300_537364860327381")</f>
        <v>367089020688300_537364860327381</v>
      </c>
      <c r="E1068" s="11">
        <v>42.0</v>
      </c>
      <c r="F1068" s="11">
        <v>2.0</v>
      </c>
      <c r="G1068" s="11">
        <v>24.0</v>
      </c>
      <c r="H1068" s="9" t="s">
        <v>26</v>
      </c>
      <c r="I1068" s="9" t="s">
        <v>4675</v>
      </c>
      <c r="J1068" s="9" t="s">
        <v>4676</v>
      </c>
      <c r="K1068" s="9" t="s">
        <v>3003</v>
      </c>
      <c r="L1068" s="9" t="s">
        <v>30</v>
      </c>
      <c r="M1068" s="9" t="s">
        <v>31</v>
      </c>
      <c r="N1068" s="9" t="s">
        <v>32</v>
      </c>
      <c r="O1068" s="12" t="s">
        <v>33</v>
      </c>
      <c r="P1068" s="12" t="s">
        <v>34</v>
      </c>
      <c r="Q1068" s="9"/>
      <c r="R1068" s="18"/>
      <c r="S1068" s="18"/>
      <c r="T1068" s="18"/>
      <c r="U1068" s="18"/>
      <c r="V1068" s="18"/>
      <c r="W1068" s="15"/>
      <c r="X1068" s="15"/>
    </row>
    <row r="1069">
      <c r="A1069" s="7">
        <v>1068.0</v>
      </c>
      <c r="B1069" s="8" t="s">
        <v>4677</v>
      </c>
      <c r="C1069" s="9" t="s">
        <v>4678</v>
      </c>
      <c r="D1069" s="10" t="str">
        <f>HYPERLINK("https://facebook.com/367089020688300_477430512987483", "367089020688300_477430512987483")</f>
        <v>367089020688300_477430512987483</v>
      </c>
      <c r="E1069" s="11">
        <v>298.0</v>
      </c>
      <c r="F1069" s="11">
        <v>9.0</v>
      </c>
      <c r="G1069" s="11">
        <v>451.0</v>
      </c>
      <c r="H1069" s="9" t="s">
        <v>26</v>
      </c>
      <c r="I1069" s="9" t="s">
        <v>4679</v>
      </c>
      <c r="J1069" s="9" t="s">
        <v>4680</v>
      </c>
      <c r="K1069" s="9" t="s">
        <v>4681</v>
      </c>
      <c r="L1069" s="9" t="s">
        <v>30</v>
      </c>
      <c r="M1069" s="9" t="s">
        <v>31</v>
      </c>
      <c r="N1069" s="9" t="s">
        <v>32</v>
      </c>
      <c r="O1069" s="12" t="s">
        <v>33</v>
      </c>
      <c r="P1069" s="12" t="s">
        <v>34</v>
      </c>
      <c r="Q1069" s="9"/>
      <c r="R1069" s="18"/>
      <c r="S1069" s="18"/>
      <c r="T1069" s="18"/>
      <c r="U1069" s="18"/>
      <c r="V1069" s="18"/>
      <c r="W1069" s="15"/>
      <c r="X1069" s="15"/>
    </row>
    <row r="1070">
      <c r="A1070" s="7">
        <v>1069.0</v>
      </c>
      <c r="B1070" s="8" t="s">
        <v>4682</v>
      </c>
      <c r="C1070" s="9" t="s">
        <v>4683</v>
      </c>
      <c r="D1070" s="10" t="str">
        <f>HYPERLINK("https://facebook.com/367089020688300_520384048692129", "367089020688300_520384048692129")</f>
        <v>367089020688300_520384048692129</v>
      </c>
      <c r="E1070" s="11">
        <v>115.0</v>
      </c>
      <c r="F1070" s="11">
        <v>4.0</v>
      </c>
      <c r="G1070" s="11">
        <v>135.0</v>
      </c>
      <c r="H1070" s="9" t="s">
        <v>26</v>
      </c>
      <c r="I1070" s="9" t="s">
        <v>4684</v>
      </c>
      <c r="J1070" s="9" t="s">
        <v>4685</v>
      </c>
      <c r="K1070" s="9" t="s">
        <v>4686</v>
      </c>
      <c r="L1070" s="9" t="s">
        <v>30</v>
      </c>
      <c r="M1070" s="9" t="s">
        <v>31</v>
      </c>
      <c r="N1070" s="9" t="s">
        <v>32</v>
      </c>
      <c r="O1070" s="12" t="s">
        <v>33</v>
      </c>
      <c r="P1070" s="12" t="s">
        <v>34</v>
      </c>
      <c r="Q1070" s="9"/>
      <c r="R1070" s="18"/>
      <c r="S1070" s="18"/>
      <c r="T1070" s="18"/>
      <c r="U1070" s="18"/>
      <c r="V1070" s="18"/>
      <c r="W1070" s="15"/>
      <c r="X1070" s="15"/>
    </row>
    <row r="1071">
      <c r="A1071" s="7">
        <v>1070.0</v>
      </c>
      <c r="B1071" s="8" t="s">
        <v>4687</v>
      </c>
      <c r="C1071" s="9" t="s">
        <v>4688</v>
      </c>
      <c r="D1071" s="10" t="str">
        <f>HYPERLINK("https://facebook.com/367089020688300_526477644749436", "367089020688300_526477644749436")</f>
        <v>367089020688300_526477644749436</v>
      </c>
      <c r="E1071" s="11">
        <v>68.0</v>
      </c>
      <c r="F1071" s="11">
        <v>0.0</v>
      </c>
      <c r="G1071" s="11">
        <v>86.0</v>
      </c>
      <c r="H1071" s="9" t="s">
        <v>26</v>
      </c>
      <c r="I1071" s="9" t="s">
        <v>4689</v>
      </c>
      <c r="J1071" s="16" t="s">
        <v>4690</v>
      </c>
      <c r="K1071" s="9"/>
      <c r="L1071" s="9" t="s">
        <v>30</v>
      </c>
      <c r="M1071" s="9" t="s">
        <v>31</v>
      </c>
      <c r="N1071" s="9" t="s">
        <v>32</v>
      </c>
      <c r="O1071" s="12" t="s">
        <v>33</v>
      </c>
      <c r="P1071" s="12" t="s">
        <v>34</v>
      </c>
      <c r="Q1071" s="9"/>
      <c r="R1071" s="18"/>
      <c r="S1071" s="18"/>
      <c r="T1071" s="18"/>
      <c r="U1071" s="18"/>
      <c r="V1071" s="18"/>
      <c r="W1071" s="15"/>
      <c r="X1071" s="15"/>
    </row>
    <row r="1072">
      <c r="A1072" s="7">
        <v>1071.0</v>
      </c>
      <c r="B1072" s="8" t="s">
        <v>4691</v>
      </c>
      <c r="C1072" s="9" t="s">
        <v>4692</v>
      </c>
      <c r="D1072" s="10" t="str">
        <f>HYPERLINK("https://facebook.com/367089020688300_460727127991155", "367089020688300_460727127991155")</f>
        <v>367089020688300_460727127991155</v>
      </c>
      <c r="E1072" s="11">
        <v>84.0</v>
      </c>
      <c r="F1072" s="11">
        <v>3.0</v>
      </c>
      <c r="G1072" s="11">
        <v>179.0</v>
      </c>
      <c r="H1072" s="9" t="s">
        <v>26</v>
      </c>
      <c r="I1072" s="9" t="s">
        <v>1840</v>
      </c>
      <c r="J1072" s="9" t="s">
        <v>4693</v>
      </c>
      <c r="K1072" s="9" t="s">
        <v>249</v>
      </c>
      <c r="L1072" s="9" t="s">
        <v>30</v>
      </c>
      <c r="M1072" s="9" t="s">
        <v>31</v>
      </c>
      <c r="N1072" s="9" t="s">
        <v>32</v>
      </c>
      <c r="O1072" s="12" t="s">
        <v>33</v>
      </c>
      <c r="P1072" s="12" t="s">
        <v>34</v>
      </c>
      <c r="Q1072" s="9"/>
      <c r="R1072" s="18"/>
      <c r="S1072" s="18"/>
      <c r="T1072" s="18"/>
      <c r="U1072" s="18"/>
      <c r="V1072" s="18"/>
      <c r="W1072" s="15"/>
      <c r="X1072" s="15"/>
    </row>
    <row r="1073">
      <c r="A1073" s="7">
        <v>1072.0</v>
      </c>
      <c r="B1073" s="8" t="s">
        <v>4694</v>
      </c>
      <c r="C1073" s="9" t="s">
        <v>4695</v>
      </c>
      <c r="D1073" s="10" t="str">
        <f>HYPERLINK("https://facebook.com/367089020688300_553298872067313", "367089020688300_553298872067313")</f>
        <v>367089020688300_553298872067313</v>
      </c>
      <c r="E1073" s="11">
        <v>11.0</v>
      </c>
      <c r="F1073" s="11">
        <v>0.0</v>
      </c>
      <c r="G1073" s="11">
        <v>2.0</v>
      </c>
      <c r="H1073" s="9" t="s">
        <v>26</v>
      </c>
      <c r="I1073" s="9" t="s">
        <v>4696</v>
      </c>
      <c r="J1073" s="16" t="s">
        <v>4697</v>
      </c>
      <c r="K1073" s="9"/>
      <c r="L1073" s="9" t="s">
        <v>30</v>
      </c>
      <c r="M1073" s="9" t="s">
        <v>31</v>
      </c>
      <c r="N1073" s="9" t="s">
        <v>32</v>
      </c>
      <c r="O1073" s="12" t="s">
        <v>33</v>
      </c>
      <c r="P1073" s="12" t="s">
        <v>34</v>
      </c>
      <c r="Q1073" s="9"/>
      <c r="R1073" s="18"/>
      <c r="S1073" s="18"/>
      <c r="T1073" s="18"/>
      <c r="U1073" s="18"/>
      <c r="V1073" s="18"/>
      <c r="W1073" s="15"/>
      <c r="X1073" s="15"/>
    </row>
    <row r="1074">
      <c r="A1074" s="7">
        <v>1073.0</v>
      </c>
      <c r="B1074" s="8" t="s">
        <v>4698</v>
      </c>
      <c r="C1074" s="9" t="s">
        <v>4699</v>
      </c>
      <c r="D1074" s="10" t="str">
        <f>HYPERLINK("https://facebook.com/367089020688300_553958982001302", "367089020688300_553958982001302")</f>
        <v>367089020688300_553958982001302</v>
      </c>
      <c r="E1074" s="11">
        <v>96.0</v>
      </c>
      <c r="F1074" s="11">
        <v>8.0</v>
      </c>
      <c r="G1074" s="11">
        <v>52.0</v>
      </c>
      <c r="H1074" s="9" t="s">
        <v>26</v>
      </c>
      <c r="I1074" s="9" t="s">
        <v>4700</v>
      </c>
      <c r="J1074" s="16" t="s">
        <v>4701</v>
      </c>
      <c r="K1074" s="9"/>
      <c r="L1074" s="9" t="s">
        <v>30</v>
      </c>
      <c r="M1074" s="9" t="s">
        <v>31</v>
      </c>
      <c r="N1074" s="9" t="s">
        <v>32</v>
      </c>
      <c r="O1074" s="12" t="s">
        <v>33</v>
      </c>
      <c r="P1074" s="12" t="s">
        <v>34</v>
      </c>
      <c r="Q1074" s="9"/>
      <c r="R1074" s="18"/>
      <c r="S1074" s="18"/>
      <c r="T1074" s="18"/>
      <c r="U1074" s="18"/>
      <c r="V1074" s="18"/>
      <c r="W1074" s="15"/>
      <c r="X1074" s="15"/>
    </row>
    <row r="1075">
      <c r="A1075" s="7">
        <v>1074.0</v>
      </c>
      <c r="B1075" s="8" t="s">
        <v>4702</v>
      </c>
      <c r="C1075" s="9" t="s">
        <v>4703</v>
      </c>
      <c r="D1075" s="10" t="str">
        <f>HYPERLINK("https://facebook.com/367089020688300_538870960176771", "367089020688300_538870960176771")</f>
        <v>367089020688300_538870960176771</v>
      </c>
      <c r="E1075" s="11">
        <v>66.0</v>
      </c>
      <c r="F1075" s="11">
        <v>0.0</v>
      </c>
      <c r="G1075" s="11">
        <v>23.0</v>
      </c>
      <c r="H1075" s="9" t="s">
        <v>26</v>
      </c>
      <c r="I1075" s="9" t="s">
        <v>1003</v>
      </c>
      <c r="J1075" s="16" t="s">
        <v>1004</v>
      </c>
      <c r="K1075" s="9"/>
      <c r="L1075" s="9" t="s">
        <v>30</v>
      </c>
      <c r="M1075" s="9" t="s">
        <v>31</v>
      </c>
      <c r="N1075" s="9" t="s">
        <v>32</v>
      </c>
      <c r="O1075" s="12" t="s">
        <v>33</v>
      </c>
      <c r="P1075" s="12" t="s">
        <v>34</v>
      </c>
      <c r="Q1075" s="9"/>
      <c r="R1075" s="18"/>
      <c r="S1075" s="18"/>
      <c r="T1075" s="18"/>
      <c r="U1075" s="18"/>
      <c r="V1075" s="18"/>
      <c r="W1075" s="15"/>
      <c r="X1075" s="15"/>
    </row>
    <row r="1076">
      <c r="A1076" s="7">
        <v>1075.0</v>
      </c>
      <c r="B1076" s="8" t="s">
        <v>4704</v>
      </c>
      <c r="C1076" s="9" t="s">
        <v>4705</v>
      </c>
      <c r="D1076" s="10" t="str">
        <f>HYPERLINK("https://facebook.com/367089020688300_411168956280306", "367089020688300_411168956280306")</f>
        <v>367089020688300_411168956280306</v>
      </c>
      <c r="E1076" s="11">
        <v>258.0</v>
      </c>
      <c r="F1076" s="11">
        <v>10.0</v>
      </c>
      <c r="G1076" s="11">
        <v>336.0</v>
      </c>
      <c r="H1076" s="9" t="s">
        <v>26</v>
      </c>
      <c r="I1076" s="9" t="s">
        <v>4706</v>
      </c>
      <c r="J1076" s="9" t="s">
        <v>4707</v>
      </c>
      <c r="K1076" s="9" t="s">
        <v>4708</v>
      </c>
      <c r="L1076" s="9" t="s">
        <v>30</v>
      </c>
      <c r="M1076" s="9" t="s">
        <v>31</v>
      </c>
      <c r="N1076" s="9" t="s">
        <v>32</v>
      </c>
      <c r="O1076" s="12" t="s">
        <v>33</v>
      </c>
      <c r="P1076" s="12" t="s">
        <v>34</v>
      </c>
      <c r="Q1076" s="9"/>
      <c r="R1076" s="18"/>
      <c r="S1076" s="18"/>
      <c r="T1076" s="18"/>
      <c r="U1076" s="18"/>
      <c r="V1076" s="18"/>
      <c r="W1076" s="15"/>
      <c r="X1076" s="15"/>
    </row>
    <row r="1077">
      <c r="A1077" s="7">
        <v>1076.0</v>
      </c>
      <c r="B1077" s="8" t="s">
        <v>4709</v>
      </c>
      <c r="C1077" s="9" t="s">
        <v>4710</v>
      </c>
      <c r="D1077" s="10" t="str">
        <f>HYPERLINK("https://facebook.com/367089020688300_524189738311560", "367089020688300_524189738311560")</f>
        <v>367089020688300_524189738311560</v>
      </c>
      <c r="E1077" s="11">
        <v>108.0</v>
      </c>
      <c r="F1077" s="11">
        <v>1.0</v>
      </c>
      <c r="G1077" s="11">
        <v>40.0</v>
      </c>
      <c r="H1077" s="9" t="s">
        <v>26</v>
      </c>
      <c r="I1077" s="9" t="s">
        <v>4711</v>
      </c>
      <c r="J1077" s="16" t="s">
        <v>4712</v>
      </c>
      <c r="K1077" s="9"/>
      <c r="L1077" s="9" t="s">
        <v>30</v>
      </c>
      <c r="M1077" s="9" t="s">
        <v>31</v>
      </c>
      <c r="N1077" s="9" t="s">
        <v>32</v>
      </c>
      <c r="O1077" s="12" t="s">
        <v>33</v>
      </c>
      <c r="P1077" s="12" t="s">
        <v>34</v>
      </c>
      <c r="Q1077" s="9"/>
      <c r="R1077" s="18"/>
      <c r="S1077" s="18"/>
      <c r="T1077" s="18"/>
      <c r="U1077" s="18"/>
      <c r="V1077" s="18"/>
      <c r="W1077" s="15"/>
      <c r="X1077" s="15"/>
    </row>
    <row r="1078">
      <c r="A1078" s="7">
        <v>1077.0</v>
      </c>
      <c r="B1078" s="8" t="s">
        <v>4713</v>
      </c>
      <c r="C1078" s="9" t="s">
        <v>4714</v>
      </c>
      <c r="D1078" s="10" t="str">
        <f>HYPERLINK("https://facebook.com/367089020688300_543386603058540", "367089020688300_543386603058540")</f>
        <v>367089020688300_543386603058540</v>
      </c>
      <c r="E1078" s="11">
        <v>426.0</v>
      </c>
      <c r="F1078" s="11">
        <v>5.0</v>
      </c>
      <c r="G1078" s="11">
        <v>265.0</v>
      </c>
      <c r="H1078" s="9" t="s">
        <v>26</v>
      </c>
      <c r="I1078" s="9" t="s">
        <v>4715</v>
      </c>
      <c r="J1078" s="9" t="s">
        <v>4716</v>
      </c>
      <c r="K1078" s="9" t="s">
        <v>4717</v>
      </c>
      <c r="L1078" s="9" t="s">
        <v>30</v>
      </c>
      <c r="M1078" s="9" t="s">
        <v>31</v>
      </c>
      <c r="N1078" s="9" t="s">
        <v>32</v>
      </c>
      <c r="O1078" s="12" t="s">
        <v>33</v>
      </c>
      <c r="P1078" s="12" t="s">
        <v>34</v>
      </c>
      <c r="Q1078" s="9"/>
      <c r="R1078" s="18"/>
      <c r="S1078" s="18"/>
      <c r="T1078" s="18"/>
      <c r="U1078" s="18"/>
      <c r="V1078" s="18"/>
      <c r="W1078" s="15"/>
      <c r="X1078" s="15"/>
    </row>
    <row r="1079">
      <c r="A1079" s="7">
        <v>1078.0</v>
      </c>
      <c r="B1079" s="8" t="s">
        <v>4718</v>
      </c>
      <c r="C1079" s="9" t="s">
        <v>4719</v>
      </c>
      <c r="D1079" s="10" t="str">
        <f>HYPERLINK("https://facebook.com/367089020688300_547771085953425", "367089020688300_547771085953425")</f>
        <v>367089020688300_547771085953425</v>
      </c>
      <c r="E1079" s="11">
        <v>162.0</v>
      </c>
      <c r="F1079" s="11">
        <v>7.0</v>
      </c>
      <c r="G1079" s="11">
        <v>303.0</v>
      </c>
      <c r="H1079" s="9" t="s">
        <v>26</v>
      </c>
      <c r="I1079" s="9" t="s">
        <v>2004</v>
      </c>
      <c r="J1079" s="16" t="s">
        <v>2005</v>
      </c>
      <c r="K1079" s="9"/>
      <c r="L1079" s="9" t="s">
        <v>30</v>
      </c>
      <c r="M1079" s="9" t="s">
        <v>31</v>
      </c>
      <c r="N1079" s="9" t="s">
        <v>32</v>
      </c>
      <c r="O1079" s="12" t="s">
        <v>33</v>
      </c>
      <c r="P1079" s="12" t="s">
        <v>34</v>
      </c>
      <c r="Q1079" s="9"/>
      <c r="R1079" s="18"/>
      <c r="S1079" s="18"/>
      <c r="T1079" s="18"/>
      <c r="U1079" s="18"/>
      <c r="V1079" s="18"/>
      <c r="W1079" s="15"/>
      <c r="X1079" s="15"/>
    </row>
    <row r="1080">
      <c r="A1080" s="7">
        <v>1079.0</v>
      </c>
      <c r="B1080" s="8" t="s">
        <v>4720</v>
      </c>
      <c r="C1080" s="9" t="s">
        <v>4721</v>
      </c>
      <c r="D1080" s="10" t="str">
        <f>HYPERLINK("https://facebook.com/367089020688300_544069109656956", "367089020688300_544069109656956")</f>
        <v>367089020688300_544069109656956</v>
      </c>
      <c r="E1080" s="11">
        <v>256.0</v>
      </c>
      <c r="F1080" s="11">
        <v>5.0</v>
      </c>
      <c r="G1080" s="11">
        <v>186.0</v>
      </c>
      <c r="H1080" s="9" t="s">
        <v>26</v>
      </c>
      <c r="I1080" s="9" t="s">
        <v>4722</v>
      </c>
      <c r="J1080" s="9" t="s">
        <v>4723</v>
      </c>
      <c r="K1080" s="9" t="s">
        <v>4724</v>
      </c>
      <c r="L1080" s="9" t="s">
        <v>30</v>
      </c>
      <c r="M1080" s="9" t="s">
        <v>31</v>
      </c>
      <c r="N1080" s="9" t="s">
        <v>32</v>
      </c>
      <c r="O1080" s="12" t="s">
        <v>33</v>
      </c>
      <c r="P1080" s="12" t="s">
        <v>34</v>
      </c>
      <c r="Q1080" s="9"/>
      <c r="R1080" s="18"/>
      <c r="S1080" s="18"/>
      <c r="T1080" s="18"/>
      <c r="U1080" s="18"/>
      <c r="V1080" s="18"/>
      <c r="W1080" s="15"/>
      <c r="X1080" s="15"/>
    </row>
    <row r="1081">
      <c r="A1081" s="7">
        <v>1080.0</v>
      </c>
      <c r="B1081" s="8" t="s">
        <v>4725</v>
      </c>
      <c r="C1081" s="9" t="s">
        <v>4726</v>
      </c>
      <c r="D1081" s="10" t="str">
        <f>HYPERLINK("https://facebook.com/367089020688300_508951443168723", "367089020688300_508951443168723")</f>
        <v>367089020688300_508951443168723</v>
      </c>
      <c r="E1081" s="11">
        <v>70.0</v>
      </c>
      <c r="F1081" s="11">
        <v>0.0</v>
      </c>
      <c r="G1081" s="11">
        <v>87.0</v>
      </c>
      <c r="H1081" s="9" t="s">
        <v>26</v>
      </c>
      <c r="I1081" s="9" t="s">
        <v>4727</v>
      </c>
      <c r="J1081" s="9" t="s">
        <v>4728</v>
      </c>
      <c r="K1081" s="9" t="s">
        <v>249</v>
      </c>
      <c r="L1081" s="9" t="s">
        <v>30</v>
      </c>
      <c r="M1081" s="9" t="s">
        <v>31</v>
      </c>
      <c r="N1081" s="9" t="s">
        <v>32</v>
      </c>
      <c r="O1081" s="12" t="s">
        <v>33</v>
      </c>
      <c r="P1081" s="12" t="s">
        <v>34</v>
      </c>
      <c r="Q1081" s="9"/>
      <c r="R1081" s="18"/>
      <c r="S1081" s="18"/>
      <c r="T1081" s="18"/>
      <c r="U1081" s="18"/>
      <c r="V1081" s="18"/>
      <c r="W1081" s="15"/>
      <c r="X1081" s="15"/>
    </row>
    <row r="1082">
      <c r="A1082" s="7">
        <v>1081.0</v>
      </c>
      <c r="B1082" s="8" t="s">
        <v>4729</v>
      </c>
      <c r="C1082" s="9" t="s">
        <v>4730</v>
      </c>
      <c r="D1082" s="10" t="str">
        <f>HYPERLINK("https://facebook.com/367089020688300_524307381633129", "367089020688300_524307381633129")</f>
        <v>367089020688300_524307381633129</v>
      </c>
      <c r="E1082" s="11">
        <v>540.0</v>
      </c>
      <c r="F1082" s="11">
        <v>21.0</v>
      </c>
      <c r="G1082" s="11">
        <v>808.0</v>
      </c>
      <c r="H1082" s="9" t="s">
        <v>26</v>
      </c>
      <c r="I1082" s="9" t="s">
        <v>4731</v>
      </c>
      <c r="J1082" s="9" t="s">
        <v>4732</v>
      </c>
      <c r="K1082" s="9" t="s">
        <v>4733</v>
      </c>
      <c r="L1082" s="9" t="s">
        <v>30</v>
      </c>
      <c r="M1082" s="9" t="s">
        <v>31</v>
      </c>
      <c r="N1082" s="9" t="s">
        <v>32</v>
      </c>
      <c r="O1082" s="12" t="s">
        <v>33</v>
      </c>
      <c r="P1082" s="12" t="s">
        <v>34</v>
      </c>
      <c r="Q1082" s="9"/>
      <c r="R1082" s="18"/>
      <c r="S1082" s="18"/>
      <c r="T1082" s="18"/>
      <c r="U1082" s="18"/>
      <c r="V1082" s="18"/>
      <c r="W1082" s="15"/>
      <c r="X1082" s="15"/>
    </row>
    <row r="1083">
      <c r="A1083" s="7">
        <v>1082.0</v>
      </c>
      <c r="B1083" s="8" t="s">
        <v>4734</v>
      </c>
      <c r="C1083" s="9" t="s">
        <v>4735</v>
      </c>
      <c r="D1083" s="10" t="str">
        <f>HYPERLINK("https://facebook.com/367089020688300_538956736834860", "367089020688300_538956736834860")</f>
        <v>367089020688300_538956736834860</v>
      </c>
      <c r="E1083" s="11">
        <v>2.0</v>
      </c>
      <c r="F1083" s="11">
        <v>0.0</v>
      </c>
      <c r="G1083" s="11">
        <v>0.0</v>
      </c>
      <c r="H1083" s="9" t="s">
        <v>26</v>
      </c>
      <c r="I1083" s="9" t="s">
        <v>4736</v>
      </c>
      <c r="J1083" s="16" t="s">
        <v>4737</v>
      </c>
      <c r="K1083" s="9"/>
      <c r="L1083" s="9" t="s">
        <v>30</v>
      </c>
      <c r="M1083" s="9" t="s">
        <v>31</v>
      </c>
      <c r="N1083" s="9" t="s">
        <v>32</v>
      </c>
      <c r="O1083" s="12" t="s">
        <v>33</v>
      </c>
      <c r="P1083" s="12" t="s">
        <v>34</v>
      </c>
      <c r="Q1083" s="9"/>
      <c r="R1083" s="18"/>
      <c r="S1083" s="18"/>
      <c r="T1083" s="18"/>
      <c r="U1083" s="18"/>
      <c r="V1083" s="18"/>
      <c r="W1083" s="15"/>
      <c r="X1083" s="15"/>
    </row>
    <row r="1084">
      <c r="A1084" s="7">
        <v>1083.0</v>
      </c>
      <c r="B1084" s="8" t="s">
        <v>4738</v>
      </c>
      <c r="C1084" s="9" t="s">
        <v>4739</v>
      </c>
      <c r="D1084" s="10" t="str">
        <f>HYPERLINK("https://facebook.com/367089020688300_542007289863138", "367089020688300_542007289863138")</f>
        <v>367089020688300_542007289863138</v>
      </c>
      <c r="E1084" s="11">
        <v>15.0</v>
      </c>
      <c r="F1084" s="11">
        <v>0.0</v>
      </c>
      <c r="G1084" s="11">
        <v>2.0</v>
      </c>
      <c r="H1084" s="9" t="s">
        <v>26</v>
      </c>
      <c r="I1084" s="9" t="s">
        <v>4740</v>
      </c>
      <c r="J1084" s="9" t="s">
        <v>4741</v>
      </c>
      <c r="K1084" s="9" t="s">
        <v>249</v>
      </c>
      <c r="L1084" s="9" t="s">
        <v>30</v>
      </c>
      <c r="M1084" s="9" t="s">
        <v>31</v>
      </c>
      <c r="N1084" s="9" t="s">
        <v>32</v>
      </c>
      <c r="O1084" s="12" t="s">
        <v>33</v>
      </c>
      <c r="P1084" s="12" t="s">
        <v>34</v>
      </c>
      <c r="Q1084" s="9"/>
      <c r="R1084" s="18"/>
      <c r="S1084" s="18"/>
      <c r="T1084" s="18"/>
      <c r="U1084" s="18"/>
      <c r="V1084" s="18"/>
      <c r="W1084" s="15"/>
      <c r="X1084" s="15"/>
    </row>
    <row r="1085">
      <c r="A1085" s="7">
        <v>1084.0</v>
      </c>
      <c r="B1085" s="8" t="s">
        <v>4742</v>
      </c>
      <c r="C1085" s="9" t="s">
        <v>4743</v>
      </c>
      <c r="D1085" s="10" t="str">
        <f>HYPERLINK("https://facebook.com/367089020688300_545888009475066", "367089020688300_545888009475066")</f>
        <v>367089020688300_545888009475066</v>
      </c>
      <c r="E1085" s="11">
        <v>80.0</v>
      </c>
      <c r="F1085" s="11">
        <v>0.0</v>
      </c>
      <c r="G1085" s="11">
        <v>28.0</v>
      </c>
      <c r="H1085" s="9" t="s">
        <v>26</v>
      </c>
      <c r="I1085" s="9" t="s">
        <v>4744</v>
      </c>
      <c r="J1085" s="9" t="s">
        <v>4745</v>
      </c>
      <c r="K1085" s="9" t="s">
        <v>4746</v>
      </c>
      <c r="L1085" s="9" t="s">
        <v>30</v>
      </c>
      <c r="M1085" s="9" t="s">
        <v>31</v>
      </c>
      <c r="N1085" s="9" t="s">
        <v>32</v>
      </c>
      <c r="O1085" s="12" t="s">
        <v>33</v>
      </c>
      <c r="P1085" s="12" t="s">
        <v>34</v>
      </c>
      <c r="Q1085" s="9"/>
      <c r="R1085" s="18"/>
      <c r="S1085" s="18"/>
      <c r="T1085" s="18"/>
      <c r="U1085" s="18"/>
      <c r="V1085" s="18"/>
      <c r="W1085" s="15"/>
      <c r="X1085" s="15"/>
    </row>
    <row r="1086">
      <c r="A1086" s="7">
        <v>1085.0</v>
      </c>
      <c r="B1086" s="8" t="s">
        <v>4747</v>
      </c>
      <c r="C1086" s="9" t="s">
        <v>4748</v>
      </c>
      <c r="D1086" s="10" t="str">
        <f>HYPERLINK("https://facebook.com/367089020688300_548686199195247", "367089020688300_548686199195247")</f>
        <v>367089020688300_548686199195247</v>
      </c>
      <c r="E1086" s="11">
        <v>825.0</v>
      </c>
      <c r="F1086" s="11">
        <v>18.0</v>
      </c>
      <c r="G1086" s="11">
        <v>424.0</v>
      </c>
      <c r="H1086" s="9" t="s">
        <v>26</v>
      </c>
      <c r="I1086" s="9" t="s">
        <v>4749</v>
      </c>
      <c r="J1086" s="16" t="s">
        <v>4750</v>
      </c>
      <c r="K1086" s="9"/>
      <c r="L1086" s="9" t="s">
        <v>30</v>
      </c>
      <c r="M1086" s="9" t="s">
        <v>31</v>
      </c>
      <c r="N1086" s="9" t="s">
        <v>32</v>
      </c>
      <c r="O1086" s="12" t="s">
        <v>33</v>
      </c>
      <c r="P1086" s="12" t="s">
        <v>34</v>
      </c>
      <c r="Q1086" s="9"/>
      <c r="R1086" s="18"/>
      <c r="S1086" s="18"/>
      <c r="T1086" s="18"/>
      <c r="U1086" s="18"/>
      <c r="V1086" s="18"/>
      <c r="W1086" s="15"/>
      <c r="X1086" s="15"/>
    </row>
    <row r="1087">
      <c r="A1087" s="7">
        <v>1086.0</v>
      </c>
      <c r="B1087" s="8" t="s">
        <v>4751</v>
      </c>
      <c r="C1087" s="9" t="s">
        <v>4752</v>
      </c>
      <c r="D1087" s="10" t="str">
        <f>HYPERLINK("https://facebook.com/367089020688300_484171235646744", "367089020688300_484171235646744")</f>
        <v>367089020688300_484171235646744</v>
      </c>
      <c r="E1087" s="11">
        <v>1244.0</v>
      </c>
      <c r="F1087" s="11">
        <v>34.0</v>
      </c>
      <c r="G1087" s="11">
        <v>582.0</v>
      </c>
      <c r="H1087" s="9" t="s">
        <v>26</v>
      </c>
      <c r="I1087" s="9" t="s">
        <v>4753</v>
      </c>
      <c r="J1087" s="9" t="s">
        <v>4754</v>
      </c>
      <c r="K1087" s="9" t="s">
        <v>4755</v>
      </c>
      <c r="L1087" s="9" t="s">
        <v>30</v>
      </c>
      <c r="M1087" s="9" t="s">
        <v>31</v>
      </c>
      <c r="N1087" s="9" t="s">
        <v>32</v>
      </c>
      <c r="O1087" s="12" t="s">
        <v>33</v>
      </c>
      <c r="P1087" s="12" t="s">
        <v>34</v>
      </c>
      <c r="Q1087" s="9"/>
      <c r="R1087" s="18"/>
      <c r="S1087" s="18"/>
      <c r="T1087" s="18"/>
      <c r="U1087" s="18"/>
      <c r="V1087" s="18"/>
      <c r="W1087" s="15"/>
      <c r="X1087" s="15"/>
    </row>
    <row r="1088">
      <c r="A1088" s="7">
        <v>1087.0</v>
      </c>
      <c r="B1088" s="8" t="s">
        <v>4756</v>
      </c>
      <c r="C1088" s="9" t="s">
        <v>4757</v>
      </c>
      <c r="D1088" s="10" t="str">
        <f>HYPERLINK("https://facebook.com/367089020688300_540492326681301", "367089020688300_540492326681301")</f>
        <v>367089020688300_540492326681301</v>
      </c>
      <c r="E1088" s="11">
        <v>1079.0</v>
      </c>
      <c r="F1088" s="11">
        <v>12.0</v>
      </c>
      <c r="G1088" s="11">
        <v>969.0</v>
      </c>
      <c r="H1088" s="9" t="s">
        <v>26</v>
      </c>
      <c r="I1088" s="9" t="s">
        <v>4758</v>
      </c>
      <c r="J1088" s="16" t="s">
        <v>4759</v>
      </c>
      <c r="K1088" s="9"/>
      <c r="L1088" s="9" t="s">
        <v>30</v>
      </c>
      <c r="M1088" s="9" t="s">
        <v>31</v>
      </c>
      <c r="N1088" s="9" t="s">
        <v>32</v>
      </c>
      <c r="O1088" s="12" t="s">
        <v>33</v>
      </c>
      <c r="P1088" s="12" t="s">
        <v>34</v>
      </c>
      <c r="Q1088" s="9"/>
      <c r="R1088" s="18"/>
      <c r="S1088" s="18"/>
      <c r="T1088" s="18"/>
      <c r="U1088" s="18"/>
      <c r="V1088" s="18"/>
      <c r="W1088" s="15"/>
      <c r="X1088" s="15"/>
    </row>
    <row r="1089">
      <c r="A1089" s="7">
        <v>1088.0</v>
      </c>
      <c r="B1089" s="8" t="s">
        <v>4760</v>
      </c>
      <c r="C1089" s="9" t="s">
        <v>4761</v>
      </c>
      <c r="D1089" s="10" t="str">
        <f>HYPERLINK("https://facebook.com/367089020688300_517165535680647", "367089020688300_517165535680647")</f>
        <v>367089020688300_517165535680647</v>
      </c>
      <c r="E1089" s="11">
        <v>17.0</v>
      </c>
      <c r="F1089" s="11">
        <v>0.0</v>
      </c>
      <c r="G1089" s="11">
        <v>32.0</v>
      </c>
      <c r="H1089" s="9" t="s">
        <v>26</v>
      </c>
      <c r="I1089" s="9" t="s">
        <v>4762</v>
      </c>
      <c r="J1089" s="9" t="s">
        <v>4763</v>
      </c>
      <c r="K1089" s="9" t="s">
        <v>214</v>
      </c>
      <c r="L1089" s="9" t="s">
        <v>30</v>
      </c>
      <c r="M1089" s="9" t="s">
        <v>31</v>
      </c>
      <c r="N1089" s="9" t="s">
        <v>32</v>
      </c>
      <c r="O1089" s="12" t="s">
        <v>33</v>
      </c>
      <c r="P1089" s="12" t="s">
        <v>34</v>
      </c>
      <c r="Q1089" s="9"/>
      <c r="R1089" s="18"/>
      <c r="S1089" s="18"/>
      <c r="T1089" s="18"/>
      <c r="U1089" s="18"/>
      <c r="V1089" s="18"/>
      <c r="W1089" s="15"/>
      <c r="X1089" s="15"/>
    </row>
    <row r="1090">
      <c r="A1090" s="7">
        <v>1089.0</v>
      </c>
      <c r="B1090" s="8" t="s">
        <v>4764</v>
      </c>
      <c r="C1090" s="9" t="s">
        <v>4765</v>
      </c>
      <c r="D1090" s="10" t="str">
        <f>HYPERLINK("https://facebook.com/367089020688300_539482333448967", "367089020688300_539482333448967")</f>
        <v>367089020688300_539482333448967</v>
      </c>
      <c r="E1090" s="11">
        <v>1197.0</v>
      </c>
      <c r="F1090" s="11">
        <v>60.0</v>
      </c>
      <c r="G1090" s="11">
        <v>835.0</v>
      </c>
      <c r="H1090" s="9" t="s">
        <v>26</v>
      </c>
      <c r="I1090" s="9" t="s">
        <v>4766</v>
      </c>
      <c r="J1090" s="9" t="s">
        <v>4767</v>
      </c>
      <c r="K1090" s="9" t="s">
        <v>920</v>
      </c>
      <c r="L1090" s="9" t="s">
        <v>30</v>
      </c>
      <c r="M1090" s="9" t="s">
        <v>31</v>
      </c>
      <c r="N1090" s="9" t="s">
        <v>32</v>
      </c>
      <c r="O1090" s="12" t="s">
        <v>33</v>
      </c>
      <c r="P1090" s="12" t="s">
        <v>34</v>
      </c>
      <c r="Q1090" s="9"/>
      <c r="R1090" s="18"/>
      <c r="S1090" s="18"/>
      <c r="T1090" s="18"/>
      <c r="U1090" s="18"/>
      <c r="V1090" s="18"/>
      <c r="W1090" s="15"/>
      <c r="X1090" s="15"/>
    </row>
    <row r="1091">
      <c r="A1091" s="7">
        <v>1090.0</v>
      </c>
      <c r="B1091" s="8" t="s">
        <v>4768</v>
      </c>
      <c r="C1091" s="9" t="s">
        <v>4769</v>
      </c>
      <c r="D1091" s="10" t="str">
        <f>HYPERLINK("https://facebook.com/367089020688300_518372512226616", "367089020688300_518372512226616")</f>
        <v>367089020688300_518372512226616</v>
      </c>
      <c r="E1091" s="11">
        <v>131.0</v>
      </c>
      <c r="F1091" s="11">
        <v>2.0</v>
      </c>
      <c r="G1091" s="11">
        <v>112.0</v>
      </c>
      <c r="H1091" s="9" t="s">
        <v>26</v>
      </c>
      <c r="I1091" s="9" t="s">
        <v>4770</v>
      </c>
      <c r="J1091" s="9" t="s">
        <v>4771</v>
      </c>
      <c r="K1091" s="9" t="s">
        <v>4772</v>
      </c>
      <c r="L1091" s="9" t="s">
        <v>30</v>
      </c>
      <c r="M1091" s="9" t="s">
        <v>31</v>
      </c>
      <c r="N1091" s="9" t="s">
        <v>32</v>
      </c>
      <c r="O1091" s="12" t="s">
        <v>33</v>
      </c>
      <c r="P1091" s="12" t="s">
        <v>34</v>
      </c>
      <c r="Q1091" s="9"/>
      <c r="R1091" s="18"/>
      <c r="S1091" s="18"/>
      <c r="T1091" s="18"/>
      <c r="U1091" s="18"/>
      <c r="V1091" s="18"/>
      <c r="W1091" s="15"/>
      <c r="X1091" s="15"/>
    </row>
    <row r="1092">
      <c r="A1092" s="7">
        <v>1091.0</v>
      </c>
      <c r="B1092" s="8" t="s">
        <v>4773</v>
      </c>
      <c r="C1092" s="9" t="s">
        <v>4774</v>
      </c>
      <c r="D1092" s="10" t="str">
        <f>HYPERLINK("https://facebook.com/367089020688300_556893578374509", "367089020688300_556893578374509")</f>
        <v>367089020688300_556893578374509</v>
      </c>
      <c r="E1092" s="11">
        <v>25.0</v>
      </c>
      <c r="F1092" s="11">
        <v>0.0</v>
      </c>
      <c r="G1092" s="11">
        <v>41.0</v>
      </c>
      <c r="H1092" s="9" t="s">
        <v>26</v>
      </c>
      <c r="I1092" s="9" t="s">
        <v>4775</v>
      </c>
      <c r="J1092" s="16" t="s">
        <v>4776</v>
      </c>
      <c r="K1092" s="9"/>
      <c r="L1092" s="9" t="s">
        <v>30</v>
      </c>
      <c r="M1092" s="9" t="s">
        <v>31</v>
      </c>
      <c r="N1092" s="9" t="s">
        <v>32</v>
      </c>
      <c r="O1092" s="12" t="s">
        <v>33</v>
      </c>
      <c r="P1092" s="12" t="s">
        <v>34</v>
      </c>
      <c r="Q1092" s="9"/>
      <c r="R1092" s="18"/>
      <c r="S1092" s="18"/>
      <c r="T1092" s="18"/>
      <c r="U1092" s="18"/>
      <c r="V1092" s="18"/>
      <c r="W1092" s="15"/>
      <c r="X1092" s="15"/>
    </row>
    <row r="1093">
      <c r="A1093" s="7">
        <v>1092.0</v>
      </c>
      <c r="B1093" s="8" t="s">
        <v>4777</v>
      </c>
      <c r="C1093" s="9" t="s">
        <v>4778</v>
      </c>
      <c r="D1093" s="10" t="str">
        <f>HYPERLINK("https://facebook.com/367089020688300_551616858902181", "367089020688300_551616858902181")</f>
        <v>367089020688300_551616858902181</v>
      </c>
      <c r="E1093" s="11">
        <v>195.0</v>
      </c>
      <c r="F1093" s="11">
        <v>1.0</v>
      </c>
      <c r="G1093" s="11">
        <v>290.0</v>
      </c>
      <c r="H1093" s="9" t="s">
        <v>26</v>
      </c>
      <c r="I1093" s="9" t="s">
        <v>4779</v>
      </c>
      <c r="J1093" s="16" t="s">
        <v>4780</v>
      </c>
      <c r="K1093" s="9"/>
      <c r="L1093" s="9" t="s">
        <v>30</v>
      </c>
      <c r="M1093" s="9" t="s">
        <v>31</v>
      </c>
      <c r="N1093" s="9" t="s">
        <v>32</v>
      </c>
      <c r="O1093" s="12" t="s">
        <v>33</v>
      </c>
      <c r="P1093" s="12" t="s">
        <v>34</v>
      </c>
      <c r="Q1093" s="9"/>
      <c r="R1093" s="18"/>
      <c r="S1093" s="18"/>
      <c r="T1093" s="18"/>
      <c r="U1093" s="18"/>
      <c r="V1093" s="18"/>
      <c r="W1093" s="15"/>
      <c r="X1093" s="15"/>
    </row>
    <row r="1094">
      <c r="A1094" s="7">
        <v>1093.0</v>
      </c>
      <c r="B1094" s="8" t="s">
        <v>4781</v>
      </c>
      <c r="C1094" s="9" t="s">
        <v>4782</v>
      </c>
      <c r="D1094" s="10" t="str">
        <f>HYPERLINK("https://facebook.com/367089020688300_562389767824890", "367089020688300_562389767824890")</f>
        <v>367089020688300_562389767824890</v>
      </c>
      <c r="E1094" s="11">
        <v>177.0</v>
      </c>
      <c r="F1094" s="11">
        <v>1.0</v>
      </c>
      <c r="G1094" s="11">
        <v>99.0</v>
      </c>
      <c r="H1094" s="9" t="s">
        <v>26</v>
      </c>
      <c r="I1094" s="9" t="s">
        <v>4783</v>
      </c>
      <c r="J1094" s="16" t="s">
        <v>4784</v>
      </c>
      <c r="K1094" s="9"/>
      <c r="L1094" s="9" t="s">
        <v>30</v>
      </c>
      <c r="M1094" s="9" t="s">
        <v>31</v>
      </c>
      <c r="N1094" s="9" t="s">
        <v>32</v>
      </c>
      <c r="O1094" s="12" t="s">
        <v>33</v>
      </c>
      <c r="P1094" s="12" t="s">
        <v>34</v>
      </c>
      <c r="Q1094" s="9"/>
      <c r="R1094" s="18"/>
      <c r="S1094" s="18"/>
      <c r="T1094" s="18"/>
      <c r="U1094" s="18"/>
      <c r="V1094" s="18"/>
      <c r="W1094" s="15"/>
      <c r="X1094" s="15"/>
    </row>
    <row r="1095">
      <c r="A1095" s="7">
        <v>1094.0</v>
      </c>
      <c r="B1095" s="8" t="s">
        <v>4785</v>
      </c>
      <c r="C1095" s="9" t="s">
        <v>4786</v>
      </c>
      <c r="D1095" s="10" t="str">
        <f>HYPERLINK("https://facebook.com/367089020688300_560662951330905", "367089020688300_560662951330905")</f>
        <v>367089020688300_560662951330905</v>
      </c>
      <c r="E1095" s="11">
        <v>31.0</v>
      </c>
      <c r="F1095" s="11">
        <v>0.0</v>
      </c>
      <c r="G1095" s="11">
        <v>22.0</v>
      </c>
      <c r="H1095" s="9" t="s">
        <v>26</v>
      </c>
      <c r="I1095" s="9" t="s">
        <v>4787</v>
      </c>
      <c r="J1095" s="9" t="s">
        <v>4788</v>
      </c>
      <c r="K1095" s="9" t="s">
        <v>4789</v>
      </c>
      <c r="L1095" s="9" t="s">
        <v>30</v>
      </c>
      <c r="M1095" s="9" t="s">
        <v>31</v>
      </c>
      <c r="N1095" s="9" t="s">
        <v>32</v>
      </c>
      <c r="O1095" s="12" t="s">
        <v>33</v>
      </c>
      <c r="P1095" s="12" t="s">
        <v>34</v>
      </c>
      <c r="Q1095" s="9"/>
      <c r="R1095" s="18"/>
      <c r="S1095" s="18"/>
      <c r="T1095" s="18"/>
      <c r="U1095" s="18"/>
      <c r="V1095" s="18"/>
      <c r="W1095" s="15"/>
      <c r="X1095" s="15"/>
    </row>
    <row r="1096">
      <c r="A1096" s="7">
        <v>1095.0</v>
      </c>
      <c r="B1096" s="8" t="s">
        <v>4790</v>
      </c>
      <c r="C1096" s="9" t="s">
        <v>4791</v>
      </c>
      <c r="D1096" s="10" t="str">
        <f>HYPERLINK("https://facebook.com/367089020688300_502932103770657", "367089020688300_502932103770657")</f>
        <v>367089020688300_502932103770657</v>
      </c>
      <c r="E1096" s="11">
        <v>22.0</v>
      </c>
      <c r="F1096" s="11">
        <v>1.0</v>
      </c>
      <c r="G1096" s="11">
        <v>27.0</v>
      </c>
      <c r="H1096" s="9" t="s">
        <v>26</v>
      </c>
      <c r="I1096" s="9" t="s">
        <v>4792</v>
      </c>
      <c r="J1096" s="9" t="s">
        <v>4793</v>
      </c>
      <c r="K1096" s="9" t="s">
        <v>4794</v>
      </c>
      <c r="L1096" s="9" t="s">
        <v>30</v>
      </c>
      <c r="M1096" s="9" t="s">
        <v>31</v>
      </c>
      <c r="N1096" s="9" t="s">
        <v>32</v>
      </c>
      <c r="O1096" s="12" t="s">
        <v>33</v>
      </c>
      <c r="P1096" s="12" t="s">
        <v>34</v>
      </c>
      <c r="Q1096" s="9"/>
      <c r="R1096" s="18"/>
      <c r="S1096" s="18"/>
      <c r="T1096" s="18"/>
      <c r="U1096" s="18"/>
      <c r="V1096" s="18"/>
      <c r="W1096" s="15"/>
      <c r="X1096" s="15"/>
    </row>
    <row r="1097">
      <c r="A1097" s="7">
        <v>1096.0</v>
      </c>
      <c r="B1097" s="8" t="s">
        <v>4795</v>
      </c>
      <c r="C1097" s="9" t="s">
        <v>4796</v>
      </c>
      <c r="D1097" s="10" t="str">
        <f>HYPERLINK("https://facebook.com/367089020688300_514645872599280", "367089020688300_514645872599280")</f>
        <v>367089020688300_514645872599280</v>
      </c>
      <c r="E1097" s="11">
        <v>260.0</v>
      </c>
      <c r="F1097" s="11">
        <v>6.0</v>
      </c>
      <c r="G1097" s="11">
        <v>276.0</v>
      </c>
      <c r="H1097" s="9" t="s">
        <v>26</v>
      </c>
      <c r="I1097" s="9" t="s">
        <v>4797</v>
      </c>
      <c r="J1097" s="9" t="s">
        <v>4798</v>
      </c>
      <c r="K1097" s="9" t="s">
        <v>4799</v>
      </c>
      <c r="L1097" s="9" t="s">
        <v>30</v>
      </c>
      <c r="M1097" s="9" t="s">
        <v>31</v>
      </c>
      <c r="N1097" s="9" t="s">
        <v>32</v>
      </c>
      <c r="O1097" s="12" t="s">
        <v>33</v>
      </c>
      <c r="P1097" s="12" t="s">
        <v>34</v>
      </c>
      <c r="Q1097" s="9"/>
      <c r="R1097" s="18"/>
      <c r="S1097" s="18"/>
      <c r="T1097" s="18"/>
      <c r="U1097" s="18"/>
      <c r="V1097" s="18"/>
      <c r="W1097" s="15"/>
      <c r="X1097" s="15"/>
    </row>
    <row r="1098">
      <c r="A1098" s="7">
        <v>1097.0</v>
      </c>
      <c r="B1098" s="8" t="s">
        <v>4800</v>
      </c>
      <c r="C1098" s="9" t="s">
        <v>4801</v>
      </c>
      <c r="D1098" s="10" t="str">
        <f>HYPERLINK("https://facebook.com/367089020688300_544436699620197", "367089020688300_544436699620197")</f>
        <v>367089020688300_544436699620197</v>
      </c>
      <c r="E1098" s="11">
        <v>13.0</v>
      </c>
      <c r="F1098" s="11">
        <v>0.0</v>
      </c>
      <c r="G1098" s="11">
        <v>29.0</v>
      </c>
      <c r="H1098" s="9" t="s">
        <v>26</v>
      </c>
      <c r="I1098" s="9" t="s">
        <v>4802</v>
      </c>
      <c r="J1098" s="16" t="s">
        <v>4803</v>
      </c>
      <c r="K1098" s="9"/>
      <c r="L1098" s="9" t="s">
        <v>30</v>
      </c>
      <c r="M1098" s="9" t="s">
        <v>31</v>
      </c>
      <c r="N1098" s="9" t="s">
        <v>32</v>
      </c>
      <c r="O1098" s="12" t="s">
        <v>33</v>
      </c>
      <c r="P1098" s="12" t="s">
        <v>34</v>
      </c>
      <c r="Q1098" s="9"/>
      <c r="R1098" s="18"/>
      <c r="S1098" s="18"/>
      <c r="T1098" s="18"/>
      <c r="U1098" s="18"/>
      <c r="V1098" s="18"/>
      <c r="W1098" s="15"/>
      <c r="X1098" s="15"/>
    </row>
    <row r="1099">
      <c r="A1099" s="7">
        <v>1098.0</v>
      </c>
      <c r="B1099" s="8" t="s">
        <v>4804</v>
      </c>
      <c r="C1099" s="9" t="s">
        <v>4805</v>
      </c>
      <c r="D1099" s="10" t="str">
        <f>HYPERLINK("https://facebook.com/367089020688300_538012133595987", "367089020688300_538012133595987")</f>
        <v>367089020688300_538012133595987</v>
      </c>
      <c r="E1099" s="11">
        <v>261.0</v>
      </c>
      <c r="F1099" s="11">
        <v>9.0</v>
      </c>
      <c r="G1099" s="11">
        <v>398.0</v>
      </c>
      <c r="H1099" s="9" t="s">
        <v>26</v>
      </c>
      <c r="I1099" s="9" t="s">
        <v>4806</v>
      </c>
      <c r="J1099" s="16" t="s">
        <v>4807</v>
      </c>
      <c r="K1099" s="9"/>
      <c r="L1099" s="9" t="s">
        <v>30</v>
      </c>
      <c r="M1099" s="9" t="s">
        <v>31</v>
      </c>
      <c r="N1099" s="9" t="s">
        <v>32</v>
      </c>
      <c r="O1099" s="12" t="s">
        <v>33</v>
      </c>
      <c r="P1099" s="12" t="s">
        <v>34</v>
      </c>
      <c r="Q1099" s="9"/>
      <c r="R1099" s="18"/>
      <c r="S1099" s="18"/>
      <c r="T1099" s="18"/>
      <c r="U1099" s="18"/>
      <c r="V1099" s="18"/>
      <c r="W1099" s="15"/>
      <c r="X1099" s="15"/>
    </row>
    <row r="1100">
      <c r="A1100" s="7">
        <v>1099.0</v>
      </c>
      <c r="B1100" s="8" t="s">
        <v>4808</v>
      </c>
      <c r="C1100" s="9" t="s">
        <v>4809</v>
      </c>
      <c r="D1100" s="10" t="str">
        <f>HYPERLINK("https://facebook.com/367089020688300_506242870106247", "367089020688300_506242870106247")</f>
        <v>367089020688300_506242870106247</v>
      </c>
      <c r="E1100" s="11">
        <v>113.0</v>
      </c>
      <c r="F1100" s="11">
        <v>4.0</v>
      </c>
      <c r="G1100" s="11">
        <v>202.0</v>
      </c>
      <c r="H1100" s="9" t="s">
        <v>26</v>
      </c>
      <c r="I1100" s="9" t="s">
        <v>4810</v>
      </c>
      <c r="J1100" s="9" t="s">
        <v>4811</v>
      </c>
      <c r="K1100" s="9" t="s">
        <v>4812</v>
      </c>
      <c r="L1100" s="9" t="s">
        <v>30</v>
      </c>
      <c r="M1100" s="9" t="s">
        <v>31</v>
      </c>
      <c r="N1100" s="9" t="s">
        <v>32</v>
      </c>
      <c r="O1100" s="12" t="s">
        <v>33</v>
      </c>
      <c r="P1100" s="12" t="s">
        <v>34</v>
      </c>
      <c r="Q1100" s="9"/>
      <c r="R1100" s="18"/>
      <c r="S1100" s="18"/>
      <c r="T1100" s="18"/>
      <c r="U1100" s="18"/>
      <c r="V1100" s="18"/>
      <c r="W1100" s="15"/>
      <c r="X1100" s="15"/>
    </row>
    <row r="1101">
      <c r="A1101" s="7">
        <v>1100.0</v>
      </c>
      <c r="B1101" s="8" t="s">
        <v>4813</v>
      </c>
      <c r="C1101" s="9" t="s">
        <v>4814</v>
      </c>
      <c r="D1101" s="10" t="str">
        <f>HYPERLINK("https://facebook.com/367089020688300_374488999948302", "367089020688300_374488999948302")</f>
        <v>367089020688300_374488999948302</v>
      </c>
      <c r="E1101" s="11">
        <v>110.0</v>
      </c>
      <c r="F1101" s="11">
        <v>0.0</v>
      </c>
      <c r="G1101" s="11">
        <v>171.0</v>
      </c>
      <c r="H1101" s="9" t="s">
        <v>26</v>
      </c>
      <c r="I1101" s="9" t="s">
        <v>4815</v>
      </c>
      <c r="J1101" s="9" t="s">
        <v>4816</v>
      </c>
      <c r="K1101" s="9" t="s">
        <v>4817</v>
      </c>
      <c r="L1101" s="9" t="s">
        <v>30</v>
      </c>
      <c r="M1101" s="9" t="s">
        <v>31</v>
      </c>
      <c r="N1101" s="9" t="s">
        <v>32</v>
      </c>
      <c r="O1101" s="12" t="s">
        <v>33</v>
      </c>
      <c r="P1101" s="12" t="s">
        <v>34</v>
      </c>
      <c r="Q1101" s="9"/>
      <c r="R1101" s="18"/>
      <c r="S1101" s="18"/>
      <c r="T1101" s="18"/>
      <c r="U1101" s="18"/>
      <c r="V1101" s="18"/>
      <c r="W1101" s="15"/>
      <c r="X1101" s="15"/>
    </row>
    <row r="1102">
      <c r="A1102" s="7">
        <v>1101.0</v>
      </c>
      <c r="B1102" s="8" t="s">
        <v>4818</v>
      </c>
      <c r="C1102" s="9" t="s">
        <v>4819</v>
      </c>
      <c r="D1102" s="10" t="str">
        <f>HYPERLINK("https://facebook.com/367089020688300_547575609306306", "367089020688300_547575609306306")</f>
        <v>367089020688300_547575609306306</v>
      </c>
      <c r="E1102" s="11">
        <v>189.0</v>
      </c>
      <c r="F1102" s="11">
        <v>2.0</v>
      </c>
      <c r="G1102" s="11">
        <v>68.0</v>
      </c>
      <c r="H1102" s="9" t="s">
        <v>26</v>
      </c>
      <c r="I1102" s="9" t="s">
        <v>4820</v>
      </c>
      <c r="J1102" s="16" t="s">
        <v>4821</v>
      </c>
      <c r="K1102" s="9"/>
      <c r="L1102" s="9" t="s">
        <v>30</v>
      </c>
      <c r="M1102" s="9" t="s">
        <v>31</v>
      </c>
      <c r="N1102" s="9" t="s">
        <v>32</v>
      </c>
      <c r="O1102" s="12" t="s">
        <v>33</v>
      </c>
      <c r="P1102" s="12" t="s">
        <v>34</v>
      </c>
      <c r="Q1102" s="9"/>
      <c r="R1102" s="18"/>
      <c r="S1102" s="18"/>
      <c r="T1102" s="18"/>
      <c r="U1102" s="18"/>
      <c r="V1102" s="18"/>
      <c r="W1102" s="15"/>
      <c r="X1102" s="15"/>
    </row>
    <row r="1103">
      <c r="A1103" s="7">
        <v>1102.0</v>
      </c>
      <c r="B1103" s="8" t="s">
        <v>4822</v>
      </c>
      <c r="C1103" s="9" t="s">
        <v>4823</v>
      </c>
      <c r="D1103" s="10" t="str">
        <f>HYPERLINK("https://facebook.com/367089020688300_477773312953203", "367089020688300_477773312953203")</f>
        <v>367089020688300_477773312953203</v>
      </c>
      <c r="E1103" s="11">
        <v>1367.0</v>
      </c>
      <c r="F1103" s="11">
        <v>228.0</v>
      </c>
      <c r="G1103" s="11">
        <v>646.0</v>
      </c>
      <c r="H1103" s="9" t="s">
        <v>26</v>
      </c>
      <c r="I1103" s="9" t="s">
        <v>4824</v>
      </c>
      <c r="J1103" s="9" t="s">
        <v>4825</v>
      </c>
      <c r="K1103" s="9" t="s">
        <v>4826</v>
      </c>
      <c r="L1103" s="9" t="s">
        <v>30</v>
      </c>
      <c r="M1103" s="9" t="s">
        <v>31</v>
      </c>
      <c r="N1103" s="9" t="s">
        <v>32</v>
      </c>
      <c r="O1103" s="12" t="s">
        <v>33</v>
      </c>
      <c r="P1103" s="12" t="s">
        <v>34</v>
      </c>
      <c r="Q1103" s="9"/>
      <c r="R1103" s="18"/>
      <c r="S1103" s="18"/>
      <c r="T1103" s="18"/>
      <c r="U1103" s="18"/>
      <c r="V1103" s="18"/>
      <c r="W1103" s="15"/>
      <c r="X1103" s="15"/>
    </row>
    <row r="1104">
      <c r="A1104" s="7">
        <v>1103.0</v>
      </c>
      <c r="B1104" s="8" t="s">
        <v>4827</v>
      </c>
      <c r="C1104" s="9" t="s">
        <v>4828</v>
      </c>
      <c r="D1104" s="10" t="str">
        <f>HYPERLINK("https://facebook.com/367089020688300_498256164238251", "367089020688300_498256164238251")</f>
        <v>367089020688300_498256164238251</v>
      </c>
      <c r="E1104" s="11">
        <v>10.0</v>
      </c>
      <c r="F1104" s="11">
        <v>0.0</v>
      </c>
      <c r="G1104" s="11">
        <v>24.0</v>
      </c>
      <c r="H1104" s="9" t="s">
        <v>26</v>
      </c>
      <c r="I1104" s="9" t="s">
        <v>4829</v>
      </c>
      <c r="J1104" s="9" t="s">
        <v>4830</v>
      </c>
      <c r="K1104" s="9" t="s">
        <v>4831</v>
      </c>
      <c r="L1104" s="9" t="s">
        <v>30</v>
      </c>
      <c r="M1104" s="9" t="s">
        <v>31</v>
      </c>
      <c r="N1104" s="9" t="s">
        <v>32</v>
      </c>
      <c r="O1104" s="12" t="s">
        <v>33</v>
      </c>
      <c r="P1104" s="12" t="s">
        <v>34</v>
      </c>
      <c r="Q1104" s="9"/>
      <c r="R1104" s="18"/>
      <c r="S1104" s="18"/>
      <c r="T1104" s="18"/>
      <c r="U1104" s="18"/>
      <c r="V1104" s="18"/>
      <c r="W1104" s="15"/>
      <c r="X1104" s="15"/>
    </row>
    <row r="1105">
      <c r="A1105" s="7">
        <v>1104.0</v>
      </c>
      <c r="B1105" s="8" t="s">
        <v>4832</v>
      </c>
      <c r="C1105" s="9" t="s">
        <v>4833</v>
      </c>
      <c r="D1105" s="10" t="str">
        <f>HYPERLINK("https://facebook.com/367089020688300_538854440178423", "367089020688300_538854440178423")</f>
        <v>367089020688300_538854440178423</v>
      </c>
      <c r="E1105" s="11">
        <v>277.0</v>
      </c>
      <c r="F1105" s="11">
        <v>25.0</v>
      </c>
      <c r="G1105" s="11">
        <v>153.0</v>
      </c>
      <c r="H1105" s="9" t="s">
        <v>26</v>
      </c>
      <c r="I1105" s="9" t="s">
        <v>4834</v>
      </c>
      <c r="J1105" s="9" t="s">
        <v>4835</v>
      </c>
      <c r="K1105" s="9" t="s">
        <v>4836</v>
      </c>
      <c r="L1105" s="9" t="s">
        <v>30</v>
      </c>
      <c r="M1105" s="9" t="s">
        <v>31</v>
      </c>
      <c r="N1105" s="9" t="s">
        <v>32</v>
      </c>
      <c r="O1105" s="12" t="s">
        <v>33</v>
      </c>
      <c r="P1105" s="12" t="s">
        <v>34</v>
      </c>
      <c r="Q1105" s="9"/>
      <c r="R1105" s="18"/>
      <c r="S1105" s="18"/>
      <c r="T1105" s="18"/>
      <c r="U1105" s="18"/>
      <c r="V1105" s="18"/>
      <c r="W1105" s="15"/>
      <c r="X1105" s="15"/>
    </row>
    <row r="1106">
      <c r="A1106" s="7">
        <v>1105.0</v>
      </c>
      <c r="B1106" s="8" t="s">
        <v>4837</v>
      </c>
      <c r="C1106" s="9" t="s">
        <v>4838</v>
      </c>
      <c r="D1106" s="10" t="str">
        <f>HYPERLINK("https://facebook.com/367089020688300_535236327206901", "367089020688300_535236327206901")</f>
        <v>367089020688300_535236327206901</v>
      </c>
      <c r="E1106" s="11">
        <v>80.0</v>
      </c>
      <c r="F1106" s="11">
        <v>1.0</v>
      </c>
      <c r="G1106" s="11">
        <v>81.0</v>
      </c>
      <c r="H1106" s="9" t="s">
        <v>26</v>
      </c>
      <c r="I1106" s="9" t="s">
        <v>4839</v>
      </c>
      <c r="J1106" s="9" t="s">
        <v>4840</v>
      </c>
      <c r="K1106" s="9" t="s">
        <v>4841</v>
      </c>
      <c r="L1106" s="9" t="s">
        <v>30</v>
      </c>
      <c r="M1106" s="9" t="s">
        <v>31</v>
      </c>
      <c r="N1106" s="9" t="s">
        <v>32</v>
      </c>
      <c r="O1106" s="12" t="s">
        <v>33</v>
      </c>
      <c r="P1106" s="12" t="s">
        <v>34</v>
      </c>
      <c r="Q1106" s="9"/>
      <c r="R1106" s="18"/>
      <c r="S1106" s="18"/>
      <c r="T1106" s="18"/>
      <c r="U1106" s="18"/>
      <c r="V1106" s="18"/>
      <c r="W1106" s="15"/>
      <c r="X1106" s="15"/>
    </row>
    <row r="1107">
      <c r="A1107" s="7">
        <v>1106.0</v>
      </c>
      <c r="B1107" s="8" t="s">
        <v>4842</v>
      </c>
      <c r="C1107" s="9" t="s">
        <v>4843</v>
      </c>
      <c r="D1107" s="10" t="str">
        <f>HYPERLINK("https://facebook.com/367089020688300_409381376459064", "367089020688300_409381376459064")</f>
        <v>367089020688300_409381376459064</v>
      </c>
      <c r="E1107" s="11">
        <v>441.0</v>
      </c>
      <c r="F1107" s="11">
        <v>8.0</v>
      </c>
      <c r="G1107" s="11">
        <v>500.0</v>
      </c>
      <c r="H1107" s="9" t="s">
        <v>26</v>
      </c>
      <c r="I1107" s="9" t="s">
        <v>4844</v>
      </c>
      <c r="J1107" s="9" t="s">
        <v>4845</v>
      </c>
      <c r="K1107" s="9" t="s">
        <v>4846</v>
      </c>
      <c r="L1107" s="9" t="s">
        <v>30</v>
      </c>
      <c r="M1107" s="9" t="s">
        <v>31</v>
      </c>
      <c r="N1107" s="9" t="s">
        <v>32</v>
      </c>
      <c r="O1107" s="12" t="s">
        <v>33</v>
      </c>
      <c r="P1107" s="12" t="s">
        <v>34</v>
      </c>
      <c r="Q1107" s="9"/>
      <c r="R1107" s="18"/>
      <c r="S1107" s="18"/>
      <c r="T1107" s="18"/>
      <c r="U1107" s="18"/>
      <c r="V1107" s="18"/>
      <c r="W1107" s="15"/>
      <c r="X1107" s="15"/>
    </row>
    <row r="1108">
      <c r="A1108" s="7">
        <v>1107.0</v>
      </c>
      <c r="B1108" s="8" t="s">
        <v>4847</v>
      </c>
      <c r="C1108" s="9" t="s">
        <v>4848</v>
      </c>
      <c r="D1108" s="10" t="str">
        <f>HYPERLINK("https://facebook.com/367089020688300_481523705911497", "367089020688300_481523705911497")</f>
        <v>367089020688300_481523705911497</v>
      </c>
      <c r="E1108" s="11">
        <v>455.0</v>
      </c>
      <c r="F1108" s="11">
        <v>20.0</v>
      </c>
      <c r="G1108" s="11">
        <v>626.0</v>
      </c>
      <c r="H1108" s="9" t="s">
        <v>26</v>
      </c>
      <c r="I1108" s="9" t="s">
        <v>4849</v>
      </c>
      <c r="J1108" s="9" t="s">
        <v>4850</v>
      </c>
      <c r="K1108" s="9" t="s">
        <v>4851</v>
      </c>
      <c r="L1108" s="9" t="s">
        <v>30</v>
      </c>
      <c r="M1108" s="9" t="s">
        <v>31</v>
      </c>
      <c r="N1108" s="9" t="s">
        <v>32</v>
      </c>
      <c r="O1108" s="12" t="s">
        <v>34</v>
      </c>
      <c r="P1108" s="12" t="s">
        <v>34</v>
      </c>
      <c r="Q1108" s="9"/>
      <c r="R1108" s="18"/>
      <c r="S1108" s="18"/>
      <c r="T1108" s="18"/>
      <c r="U1108" s="18"/>
      <c r="V1108" s="18"/>
      <c r="W1108" s="15"/>
      <c r="X1108" s="15"/>
    </row>
    <row r="1109">
      <c r="A1109" s="7">
        <v>1108.0</v>
      </c>
      <c r="B1109" s="8" t="s">
        <v>4852</v>
      </c>
      <c r="C1109" s="9" t="s">
        <v>4853</v>
      </c>
      <c r="D1109" s="10" t="str">
        <f>HYPERLINK("https://facebook.com/367089020688300_545795536150980", "367089020688300_545795536150980")</f>
        <v>367089020688300_545795536150980</v>
      </c>
      <c r="E1109" s="11">
        <v>62.0</v>
      </c>
      <c r="F1109" s="11">
        <v>0.0</v>
      </c>
      <c r="G1109" s="11">
        <v>28.0</v>
      </c>
      <c r="H1109" s="9" t="s">
        <v>26</v>
      </c>
      <c r="I1109" s="9" t="s">
        <v>4854</v>
      </c>
      <c r="J1109" s="9" t="s">
        <v>4855</v>
      </c>
      <c r="K1109" s="9" t="s">
        <v>249</v>
      </c>
      <c r="L1109" s="9" t="s">
        <v>30</v>
      </c>
      <c r="M1109" s="9" t="s">
        <v>31</v>
      </c>
      <c r="N1109" s="9" t="s">
        <v>32</v>
      </c>
      <c r="O1109" s="12" t="s">
        <v>33</v>
      </c>
      <c r="P1109" s="12" t="s">
        <v>34</v>
      </c>
      <c r="Q1109" s="9"/>
      <c r="R1109" s="18"/>
      <c r="S1109" s="18"/>
      <c r="T1109" s="18"/>
      <c r="U1109" s="18"/>
      <c r="V1109" s="18"/>
      <c r="W1109" s="15"/>
      <c r="X1109" s="15"/>
    </row>
    <row r="1110">
      <c r="A1110" s="7">
        <v>1109.0</v>
      </c>
      <c r="B1110" s="8" t="s">
        <v>4856</v>
      </c>
      <c r="C1110" s="9" t="s">
        <v>4857</v>
      </c>
      <c r="D1110" s="10" t="str">
        <f>HYPERLINK("https://facebook.com/367089020688300_412217999508735", "367089020688300_412217999508735")</f>
        <v>367089020688300_412217999508735</v>
      </c>
      <c r="E1110" s="11">
        <v>450.0</v>
      </c>
      <c r="F1110" s="11">
        <v>10.0</v>
      </c>
      <c r="G1110" s="11">
        <v>490.0</v>
      </c>
      <c r="H1110" s="9" t="s">
        <v>26</v>
      </c>
      <c r="I1110" s="9" t="s">
        <v>4858</v>
      </c>
      <c r="J1110" s="9" t="s">
        <v>4859</v>
      </c>
      <c r="K1110" s="9" t="s">
        <v>4860</v>
      </c>
      <c r="L1110" s="9" t="s">
        <v>30</v>
      </c>
      <c r="M1110" s="9" t="s">
        <v>31</v>
      </c>
      <c r="N1110" s="9" t="s">
        <v>32</v>
      </c>
      <c r="O1110" s="12" t="s">
        <v>33</v>
      </c>
      <c r="P1110" s="12" t="s">
        <v>34</v>
      </c>
      <c r="Q1110" s="9"/>
      <c r="R1110" s="18"/>
      <c r="S1110" s="18"/>
      <c r="T1110" s="18"/>
      <c r="U1110" s="18"/>
      <c r="V1110" s="18"/>
      <c r="W1110" s="15"/>
      <c r="X1110" s="15"/>
    </row>
    <row r="1111">
      <c r="A1111" s="7">
        <v>1110.0</v>
      </c>
      <c r="B1111" s="8" t="s">
        <v>4861</v>
      </c>
      <c r="C1111" s="9" t="s">
        <v>4862</v>
      </c>
      <c r="D1111" s="10" t="str">
        <f>HYPERLINK("https://facebook.com/367089020688300_513296892734178", "367089020688300_513296892734178")</f>
        <v>367089020688300_513296892734178</v>
      </c>
      <c r="E1111" s="11">
        <v>16.0</v>
      </c>
      <c r="F1111" s="11">
        <v>2.0</v>
      </c>
      <c r="G1111" s="11">
        <v>67.0</v>
      </c>
      <c r="H1111" s="9" t="s">
        <v>26</v>
      </c>
      <c r="I1111" s="9" t="s">
        <v>4863</v>
      </c>
      <c r="J1111" s="9" t="s">
        <v>4864</v>
      </c>
      <c r="K1111" s="9" t="s">
        <v>4865</v>
      </c>
      <c r="L1111" s="9" t="s">
        <v>30</v>
      </c>
      <c r="M1111" s="9" t="s">
        <v>31</v>
      </c>
      <c r="N1111" s="9" t="s">
        <v>32</v>
      </c>
      <c r="O1111" s="12" t="s">
        <v>33</v>
      </c>
      <c r="P1111" s="12" t="s">
        <v>34</v>
      </c>
      <c r="Q1111" s="9"/>
      <c r="R1111" s="18"/>
      <c r="S1111" s="18"/>
      <c r="T1111" s="18"/>
      <c r="U1111" s="18"/>
      <c r="V1111" s="18"/>
      <c r="W1111" s="15"/>
      <c r="X1111" s="15"/>
    </row>
    <row r="1112">
      <c r="A1112" s="7">
        <v>1111.0</v>
      </c>
      <c r="B1112" s="8" t="s">
        <v>4866</v>
      </c>
      <c r="C1112" s="9" t="s">
        <v>4867</v>
      </c>
      <c r="D1112" s="10" t="str">
        <f>HYPERLINK("https://facebook.com/367089020688300_517974805599720", "367089020688300_517974805599720")</f>
        <v>367089020688300_517974805599720</v>
      </c>
      <c r="E1112" s="11">
        <v>151.0</v>
      </c>
      <c r="F1112" s="11">
        <v>5.0</v>
      </c>
      <c r="G1112" s="11">
        <v>146.0</v>
      </c>
      <c r="H1112" s="9" t="s">
        <v>26</v>
      </c>
      <c r="I1112" s="9" t="s">
        <v>4868</v>
      </c>
      <c r="J1112" s="9" t="s">
        <v>4869</v>
      </c>
      <c r="K1112" s="9" t="s">
        <v>4870</v>
      </c>
      <c r="L1112" s="9" t="s">
        <v>30</v>
      </c>
      <c r="M1112" s="9" t="s">
        <v>31</v>
      </c>
      <c r="N1112" s="9" t="s">
        <v>32</v>
      </c>
      <c r="O1112" s="12" t="s">
        <v>33</v>
      </c>
      <c r="P1112" s="12" t="s">
        <v>34</v>
      </c>
      <c r="Q1112" s="9"/>
      <c r="R1112" s="18"/>
      <c r="S1112" s="18"/>
      <c r="T1112" s="18"/>
      <c r="U1112" s="18"/>
      <c r="V1112" s="18"/>
      <c r="W1112" s="15"/>
      <c r="X1112" s="15"/>
    </row>
    <row r="1113">
      <c r="A1113" s="7">
        <v>1112.0</v>
      </c>
      <c r="B1113" s="8" t="s">
        <v>4871</v>
      </c>
      <c r="C1113" s="9" t="s">
        <v>4872</v>
      </c>
      <c r="D1113" s="10" t="str">
        <f>HYPERLINK("https://facebook.com/367089020688300_562060421191158", "367089020688300_562060421191158")</f>
        <v>367089020688300_562060421191158</v>
      </c>
      <c r="E1113" s="11">
        <v>8.0</v>
      </c>
      <c r="F1113" s="11">
        <v>0.0</v>
      </c>
      <c r="G1113" s="11">
        <v>8.0</v>
      </c>
      <c r="H1113" s="9" t="s">
        <v>26</v>
      </c>
      <c r="I1113" s="9" t="s">
        <v>4873</v>
      </c>
      <c r="J1113" s="16" t="s">
        <v>4874</v>
      </c>
      <c r="K1113" s="9"/>
      <c r="L1113" s="9" t="s">
        <v>30</v>
      </c>
      <c r="M1113" s="9" t="s">
        <v>31</v>
      </c>
      <c r="N1113" s="9" t="s">
        <v>32</v>
      </c>
      <c r="O1113" s="12" t="s">
        <v>33</v>
      </c>
      <c r="P1113" s="12" t="s">
        <v>34</v>
      </c>
      <c r="Q1113" s="9"/>
      <c r="R1113" s="18"/>
      <c r="S1113" s="18"/>
      <c r="T1113" s="18"/>
      <c r="U1113" s="18"/>
      <c r="V1113" s="18"/>
      <c r="W1113" s="15"/>
      <c r="X1113" s="15"/>
    </row>
    <row r="1114">
      <c r="A1114" s="7">
        <v>1113.0</v>
      </c>
      <c r="B1114" s="8" t="s">
        <v>4875</v>
      </c>
      <c r="C1114" s="9" t="s">
        <v>4876</v>
      </c>
      <c r="D1114" s="10" t="str">
        <f>HYPERLINK("https://facebook.com/367089020688300_560978027966064", "367089020688300_560978027966064")</f>
        <v>367089020688300_560978027966064</v>
      </c>
      <c r="E1114" s="11">
        <v>29.0</v>
      </c>
      <c r="F1114" s="11">
        <v>0.0</v>
      </c>
      <c r="G1114" s="11">
        <v>9.0</v>
      </c>
      <c r="H1114" s="9" t="s">
        <v>26</v>
      </c>
      <c r="I1114" s="9" t="s">
        <v>4877</v>
      </c>
      <c r="J1114" s="16" t="s">
        <v>4878</v>
      </c>
      <c r="K1114" s="9"/>
      <c r="L1114" s="9" t="s">
        <v>30</v>
      </c>
      <c r="M1114" s="9" t="s">
        <v>31</v>
      </c>
      <c r="N1114" s="9" t="s">
        <v>32</v>
      </c>
      <c r="O1114" s="12" t="s">
        <v>33</v>
      </c>
      <c r="P1114" s="12" t="s">
        <v>34</v>
      </c>
      <c r="Q1114" s="9"/>
      <c r="R1114" s="18"/>
      <c r="S1114" s="18"/>
      <c r="T1114" s="18"/>
      <c r="U1114" s="18"/>
      <c r="V1114" s="18"/>
      <c r="W1114" s="15"/>
      <c r="X1114" s="15"/>
    </row>
    <row r="1115">
      <c r="A1115" s="7">
        <v>1114.0</v>
      </c>
      <c r="B1115" s="8" t="s">
        <v>4879</v>
      </c>
      <c r="C1115" s="9" t="s">
        <v>4880</v>
      </c>
      <c r="D1115" s="10" t="str">
        <f>HYPERLINK("https://facebook.com/367089020688300_557887231608477", "367089020688300_557887231608477")</f>
        <v>367089020688300_557887231608477</v>
      </c>
      <c r="E1115" s="11">
        <v>162.0</v>
      </c>
      <c r="F1115" s="11">
        <v>5.0</v>
      </c>
      <c r="G1115" s="11">
        <v>98.0</v>
      </c>
      <c r="H1115" s="9" t="s">
        <v>26</v>
      </c>
      <c r="I1115" s="9" t="s">
        <v>4881</v>
      </c>
      <c r="J1115" s="9" t="s">
        <v>4882</v>
      </c>
      <c r="K1115" s="9" t="s">
        <v>476</v>
      </c>
      <c r="L1115" s="9" t="s">
        <v>30</v>
      </c>
      <c r="M1115" s="9" t="s">
        <v>31</v>
      </c>
      <c r="N1115" s="9" t="s">
        <v>32</v>
      </c>
      <c r="O1115" s="12" t="s">
        <v>33</v>
      </c>
      <c r="P1115" s="12" t="s">
        <v>34</v>
      </c>
      <c r="Q1115" s="9"/>
      <c r="R1115" s="18"/>
      <c r="S1115" s="18"/>
      <c r="T1115" s="18"/>
      <c r="U1115" s="18"/>
      <c r="V1115" s="18"/>
      <c r="W1115" s="15"/>
      <c r="X1115" s="15"/>
    </row>
    <row r="1116">
      <c r="A1116" s="7">
        <v>1115.0</v>
      </c>
      <c r="B1116" s="8" t="s">
        <v>4883</v>
      </c>
      <c r="C1116" s="9" t="s">
        <v>4884</v>
      </c>
      <c r="D1116" s="10" t="str">
        <f>HYPERLINK("https://facebook.com/367089020688300_560164981380702", "367089020688300_560164981380702")</f>
        <v>367089020688300_560164981380702</v>
      </c>
      <c r="E1116" s="11">
        <v>42.0</v>
      </c>
      <c r="F1116" s="11">
        <v>1.0</v>
      </c>
      <c r="G1116" s="11">
        <v>21.0</v>
      </c>
      <c r="H1116" s="9" t="s">
        <v>26</v>
      </c>
      <c r="I1116" s="9" t="s">
        <v>4885</v>
      </c>
      <c r="J1116" s="9" t="s">
        <v>4886</v>
      </c>
      <c r="K1116" s="9" t="s">
        <v>4887</v>
      </c>
      <c r="L1116" s="9" t="s">
        <v>30</v>
      </c>
      <c r="M1116" s="9" t="s">
        <v>31</v>
      </c>
      <c r="N1116" s="9" t="s">
        <v>32</v>
      </c>
      <c r="O1116" s="12" t="s">
        <v>33</v>
      </c>
      <c r="P1116" s="12" t="s">
        <v>34</v>
      </c>
      <c r="Q1116" s="9"/>
      <c r="R1116" s="18"/>
      <c r="S1116" s="18"/>
      <c r="T1116" s="18"/>
      <c r="U1116" s="18"/>
      <c r="V1116" s="18"/>
      <c r="W1116" s="15"/>
      <c r="X1116" s="15"/>
    </row>
    <row r="1117">
      <c r="A1117" s="7">
        <v>1116.0</v>
      </c>
      <c r="B1117" s="8" t="s">
        <v>4888</v>
      </c>
      <c r="C1117" s="9" t="s">
        <v>4889</v>
      </c>
      <c r="D1117" s="10" t="str">
        <f>HYPERLINK("https://facebook.com/367089020688300_536225617107972", "367089020688300_536225617107972")</f>
        <v>367089020688300_536225617107972</v>
      </c>
      <c r="E1117" s="11">
        <v>330.0</v>
      </c>
      <c r="F1117" s="11">
        <v>3.0</v>
      </c>
      <c r="G1117" s="11">
        <v>171.0</v>
      </c>
      <c r="H1117" s="9" t="s">
        <v>26</v>
      </c>
      <c r="I1117" s="9" t="s">
        <v>4890</v>
      </c>
      <c r="J1117" s="9" t="s">
        <v>4891</v>
      </c>
      <c r="K1117" s="9" t="s">
        <v>4892</v>
      </c>
      <c r="L1117" s="9" t="s">
        <v>30</v>
      </c>
      <c r="M1117" s="9" t="s">
        <v>31</v>
      </c>
      <c r="N1117" s="9" t="s">
        <v>32</v>
      </c>
      <c r="O1117" s="12" t="s">
        <v>33</v>
      </c>
      <c r="P1117" s="12" t="s">
        <v>34</v>
      </c>
      <c r="Q1117" s="9"/>
      <c r="R1117" s="18"/>
      <c r="S1117" s="18"/>
      <c r="T1117" s="18"/>
      <c r="U1117" s="18"/>
      <c r="V1117" s="18"/>
      <c r="W1117" s="15"/>
      <c r="X1117" s="15"/>
    </row>
    <row r="1118">
      <c r="A1118" s="7">
        <v>1117.0</v>
      </c>
      <c r="B1118" s="8" t="s">
        <v>4893</v>
      </c>
      <c r="C1118" s="9" t="s">
        <v>4894</v>
      </c>
      <c r="D1118" s="10" t="str">
        <f>HYPERLINK("https://facebook.com/367089020688300_552589228804944", "367089020688300_552589228804944")</f>
        <v>367089020688300_552589228804944</v>
      </c>
      <c r="E1118" s="11">
        <v>4.0</v>
      </c>
      <c r="F1118" s="11">
        <v>0.0</v>
      </c>
      <c r="G1118" s="11">
        <v>0.0</v>
      </c>
      <c r="H1118" s="9" t="s">
        <v>26</v>
      </c>
      <c r="I1118" s="9" t="s">
        <v>132</v>
      </c>
      <c r="J1118" s="16" t="s">
        <v>4895</v>
      </c>
      <c r="K1118" s="9"/>
      <c r="L1118" s="9" t="s">
        <v>30</v>
      </c>
      <c r="M1118" s="9" t="s">
        <v>31</v>
      </c>
      <c r="N1118" s="9" t="s">
        <v>32</v>
      </c>
      <c r="O1118" s="12" t="s">
        <v>33</v>
      </c>
      <c r="P1118" s="12" t="s">
        <v>34</v>
      </c>
      <c r="Q1118" s="9"/>
      <c r="R1118" s="18"/>
      <c r="S1118" s="18"/>
      <c r="T1118" s="18"/>
      <c r="U1118" s="18"/>
      <c r="V1118" s="18"/>
      <c r="W1118" s="15"/>
      <c r="X1118" s="15"/>
    </row>
    <row r="1119">
      <c r="A1119" s="7">
        <v>1118.0</v>
      </c>
      <c r="B1119" s="8" t="s">
        <v>4896</v>
      </c>
      <c r="C1119" s="9" t="s">
        <v>4897</v>
      </c>
      <c r="D1119" s="10" t="str">
        <f>HYPERLINK("https://facebook.com/367089020688300_499663114097556", "367089020688300_499663114097556")</f>
        <v>367089020688300_499663114097556</v>
      </c>
      <c r="E1119" s="11">
        <v>210.0</v>
      </c>
      <c r="F1119" s="11">
        <v>8.0</v>
      </c>
      <c r="G1119" s="11">
        <v>146.0</v>
      </c>
      <c r="H1119" s="9" t="s">
        <v>26</v>
      </c>
      <c r="I1119" s="9" t="s">
        <v>4898</v>
      </c>
      <c r="J1119" s="9" t="s">
        <v>4899</v>
      </c>
      <c r="K1119" s="9" t="s">
        <v>4900</v>
      </c>
      <c r="L1119" s="9" t="s">
        <v>30</v>
      </c>
      <c r="M1119" s="9" t="s">
        <v>31</v>
      </c>
      <c r="N1119" s="9" t="s">
        <v>32</v>
      </c>
      <c r="O1119" s="12" t="s">
        <v>33</v>
      </c>
      <c r="P1119" s="12" t="s">
        <v>34</v>
      </c>
      <c r="Q1119" s="9"/>
      <c r="R1119" s="18"/>
      <c r="S1119" s="18"/>
      <c r="T1119" s="18"/>
      <c r="U1119" s="18"/>
      <c r="V1119" s="18"/>
      <c r="W1119" s="15"/>
      <c r="X1119" s="15"/>
    </row>
    <row r="1120">
      <c r="A1120" s="7">
        <v>1119.0</v>
      </c>
      <c r="B1120" s="8" t="s">
        <v>4901</v>
      </c>
      <c r="C1120" s="9" t="s">
        <v>4902</v>
      </c>
      <c r="D1120" s="10" t="str">
        <f>HYPERLINK("https://facebook.com/367089020688300_529033657827168", "367089020688300_529033657827168")</f>
        <v>367089020688300_529033657827168</v>
      </c>
      <c r="E1120" s="11">
        <v>112.0</v>
      </c>
      <c r="F1120" s="11">
        <v>0.0</v>
      </c>
      <c r="G1120" s="11">
        <v>69.0</v>
      </c>
      <c r="H1120" s="9" t="s">
        <v>26</v>
      </c>
      <c r="I1120" s="9" t="s">
        <v>4903</v>
      </c>
      <c r="J1120" s="16" t="s">
        <v>4904</v>
      </c>
      <c r="K1120" s="9"/>
      <c r="L1120" s="9" t="s">
        <v>30</v>
      </c>
      <c r="M1120" s="9" t="s">
        <v>31</v>
      </c>
      <c r="N1120" s="9" t="s">
        <v>32</v>
      </c>
      <c r="O1120" s="12" t="s">
        <v>33</v>
      </c>
      <c r="P1120" s="12" t="s">
        <v>34</v>
      </c>
      <c r="Q1120" s="9"/>
      <c r="R1120" s="18"/>
      <c r="S1120" s="18"/>
      <c r="T1120" s="18"/>
      <c r="U1120" s="18"/>
      <c r="V1120" s="18"/>
      <c r="W1120" s="15"/>
      <c r="X1120" s="15"/>
    </row>
    <row r="1121">
      <c r="A1121" s="7">
        <v>1120.0</v>
      </c>
      <c r="B1121" s="8" t="s">
        <v>4905</v>
      </c>
      <c r="C1121" s="9" t="s">
        <v>4906</v>
      </c>
      <c r="D1121" s="10" t="str">
        <f>HYPERLINK("https://facebook.com/367089020688300_527670621296805", "367089020688300_527670621296805")</f>
        <v>367089020688300_527670621296805</v>
      </c>
      <c r="E1121" s="11">
        <v>104.0</v>
      </c>
      <c r="F1121" s="11">
        <v>1.0</v>
      </c>
      <c r="G1121" s="11">
        <v>51.0</v>
      </c>
      <c r="H1121" s="9" t="s">
        <v>26</v>
      </c>
      <c r="I1121" s="9" t="s">
        <v>4907</v>
      </c>
      <c r="J1121" s="9" t="s">
        <v>4908</v>
      </c>
      <c r="K1121" s="9" t="s">
        <v>4909</v>
      </c>
      <c r="L1121" s="9" t="s">
        <v>30</v>
      </c>
      <c r="M1121" s="9" t="s">
        <v>31</v>
      </c>
      <c r="N1121" s="9" t="s">
        <v>32</v>
      </c>
      <c r="O1121" s="12" t="s">
        <v>33</v>
      </c>
      <c r="P1121" s="12" t="s">
        <v>34</v>
      </c>
      <c r="Q1121" s="9"/>
      <c r="R1121" s="18"/>
      <c r="S1121" s="18"/>
      <c r="T1121" s="18"/>
      <c r="U1121" s="18"/>
      <c r="V1121" s="18"/>
      <c r="W1121" s="15"/>
      <c r="X1121" s="15"/>
    </row>
    <row r="1122">
      <c r="A1122" s="7">
        <v>1121.0</v>
      </c>
      <c r="B1122" s="8" t="s">
        <v>4910</v>
      </c>
      <c r="C1122" s="9" t="s">
        <v>4911</v>
      </c>
      <c r="D1122" s="10" t="str">
        <f>HYPERLINK("https://facebook.com/367089020688300_561372947926572", "367089020688300_561372947926572")</f>
        <v>367089020688300_561372947926572</v>
      </c>
      <c r="E1122" s="11">
        <v>26.0</v>
      </c>
      <c r="F1122" s="11">
        <v>0.0</v>
      </c>
      <c r="G1122" s="11">
        <v>15.0</v>
      </c>
      <c r="H1122" s="9" t="s">
        <v>26</v>
      </c>
      <c r="I1122" s="9" t="s">
        <v>4912</v>
      </c>
      <c r="J1122" s="9" t="s">
        <v>4913</v>
      </c>
      <c r="K1122" s="9" t="s">
        <v>4914</v>
      </c>
      <c r="L1122" s="9" t="s">
        <v>30</v>
      </c>
      <c r="M1122" s="9" t="s">
        <v>31</v>
      </c>
      <c r="N1122" s="9" t="s">
        <v>32</v>
      </c>
      <c r="O1122" s="12" t="s">
        <v>33</v>
      </c>
      <c r="P1122" s="12" t="s">
        <v>34</v>
      </c>
      <c r="Q1122" s="9"/>
      <c r="R1122" s="18"/>
      <c r="S1122" s="18"/>
      <c r="T1122" s="18"/>
      <c r="U1122" s="18"/>
      <c r="V1122" s="18"/>
      <c r="W1122" s="15"/>
      <c r="X1122" s="15"/>
    </row>
    <row r="1123">
      <c r="A1123" s="7">
        <v>1122.0</v>
      </c>
      <c r="B1123" s="8" t="s">
        <v>4915</v>
      </c>
      <c r="C1123" s="9" t="s">
        <v>4916</v>
      </c>
      <c r="D1123" s="10" t="str">
        <f>HYPERLINK("https://facebook.com/367089020688300_541755266555007", "367089020688300_541755266555007")</f>
        <v>367089020688300_541755266555007</v>
      </c>
      <c r="E1123" s="11">
        <v>338.0</v>
      </c>
      <c r="F1123" s="11">
        <v>16.0</v>
      </c>
      <c r="G1123" s="11">
        <v>261.0</v>
      </c>
      <c r="H1123" s="9" t="s">
        <v>26</v>
      </c>
      <c r="I1123" s="9" t="s">
        <v>3538</v>
      </c>
      <c r="J1123" s="9" t="s">
        <v>3539</v>
      </c>
      <c r="K1123" s="9" t="s">
        <v>4917</v>
      </c>
      <c r="L1123" s="9" t="s">
        <v>30</v>
      </c>
      <c r="M1123" s="9" t="s">
        <v>31</v>
      </c>
      <c r="N1123" s="9" t="s">
        <v>32</v>
      </c>
      <c r="O1123" s="12" t="s">
        <v>33</v>
      </c>
      <c r="P1123" s="12" t="s">
        <v>34</v>
      </c>
      <c r="Q1123" s="9"/>
      <c r="R1123" s="18"/>
      <c r="S1123" s="18"/>
      <c r="T1123" s="18"/>
      <c r="U1123" s="18"/>
      <c r="V1123" s="18"/>
      <c r="W1123" s="15"/>
      <c r="X1123" s="15"/>
    </row>
    <row r="1124">
      <c r="A1124" s="7">
        <v>1123.0</v>
      </c>
      <c r="B1124" s="8" t="s">
        <v>4918</v>
      </c>
      <c r="C1124" s="9" t="s">
        <v>4919</v>
      </c>
      <c r="D1124" s="10" t="str">
        <f>HYPERLINK("https://facebook.com/367089020688300_561165831280617", "367089020688300_561165831280617")</f>
        <v>367089020688300_561165831280617</v>
      </c>
      <c r="E1124" s="11">
        <v>295.0</v>
      </c>
      <c r="F1124" s="11">
        <v>0.0</v>
      </c>
      <c r="G1124" s="11">
        <v>220.0</v>
      </c>
      <c r="H1124" s="9" t="s">
        <v>26</v>
      </c>
      <c r="I1124" s="9" t="s">
        <v>4920</v>
      </c>
      <c r="J1124" s="16" t="s">
        <v>4921</v>
      </c>
      <c r="K1124" s="9"/>
      <c r="L1124" s="9" t="s">
        <v>30</v>
      </c>
      <c r="M1124" s="9" t="s">
        <v>31</v>
      </c>
      <c r="N1124" s="9" t="s">
        <v>32</v>
      </c>
      <c r="O1124" s="12" t="s">
        <v>33</v>
      </c>
      <c r="P1124" s="12" t="s">
        <v>34</v>
      </c>
      <c r="Q1124" s="9"/>
      <c r="R1124" s="18"/>
      <c r="S1124" s="18"/>
      <c r="T1124" s="18"/>
      <c r="U1124" s="18"/>
      <c r="V1124" s="18"/>
      <c r="W1124" s="15"/>
      <c r="X1124" s="15"/>
    </row>
    <row r="1125">
      <c r="A1125" s="7">
        <v>1124.0</v>
      </c>
      <c r="B1125" s="8" t="s">
        <v>4922</v>
      </c>
      <c r="C1125" s="9" t="s">
        <v>4923</v>
      </c>
      <c r="D1125" s="10" t="str">
        <f>HYPERLINK("https://facebook.com/367089020688300_480946642635870", "367089020688300_480946642635870")</f>
        <v>367089020688300_480946642635870</v>
      </c>
      <c r="E1125" s="11">
        <v>980.0</v>
      </c>
      <c r="F1125" s="11">
        <v>9.0</v>
      </c>
      <c r="G1125" s="11">
        <v>776.0</v>
      </c>
      <c r="H1125" s="9" t="s">
        <v>26</v>
      </c>
      <c r="I1125" s="9" t="s">
        <v>4924</v>
      </c>
      <c r="J1125" s="9" t="s">
        <v>4925</v>
      </c>
      <c r="K1125" s="9" t="s">
        <v>4926</v>
      </c>
      <c r="L1125" s="9" t="s">
        <v>30</v>
      </c>
      <c r="M1125" s="9" t="s">
        <v>31</v>
      </c>
      <c r="N1125" s="9" t="s">
        <v>32</v>
      </c>
      <c r="O1125" s="12" t="s">
        <v>33</v>
      </c>
      <c r="P1125" s="12" t="s">
        <v>34</v>
      </c>
      <c r="Q1125" s="9"/>
      <c r="R1125" s="18"/>
      <c r="S1125" s="18"/>
      <c r="T1125" s="18"/>
      <c r="U1125" s="18"/>
      <c r="V1125" s="18"/>
      <c r="W1125" s="15"/>
      <c r="X1125" s="15"/>
    </row>
    <row r="1126">
      <c r="A1126" s="7">
        <v>1125.0</v>
      </c>
      <c r="B1126" s="8" t="s">
        <v>4927</v>
      </c>
      <c r="C1126" s="9" t="s">
        <v>4928</v>
      </c>
      <c r="D1126" s="10" t="str">
        <f>HYPERLINK("https://facebook.com/367089020688300_545863979477469", "367089020688300_545863979477469")</f>
        <v>367089020688300_545863979477469</v>
      </c>
      <c r="E1126" s="11">
        <v>32.0</v>
      </c>
      <c r="F1126" s="11">
        <v>0.0</v>
      </c>
      <c r="G1126" s="11">
        <v>37.0</v>
      </c>
      <c r="H1126" s="9" t="s">
        <v>26</v>
      </c>
      <c r="I1126" s="9" t="s">
        <v>4929</v>
      </c>
      <c r="J1126" s="16" t="s">
        <v>4930</v>
      </c>
      <c r="K1126" s="9"/>
      <c r="L1126" s="9" t="s">
        <v>30</v>
      </c>
      <c r="M1126" s="9" t="s">
        <v>31</v>
      </c>
      <c r="N1126" s="9" t="s">
        <v>32</v>
      </c>
      <c r="O1126" s="12" t="s">
        <v>33</v>
      </c>
      <c r="P1126" s="12" t="s">
        <v>34</v>
      </c>
      <c r="Q1126" s="9"/>
      <c r="R1126" s="18"/>
      <c r="S1126" s="18"/>
      <c r="T1126" s="18"/>
      <c r="U1126" s="18"/>
      <c r="V1126" s="18"/>
      <c r="W1126" s="15"/>
      <c r="X1126" s="15"/>
    </row>
    <row r="1127">
      <c r="A1127" s="7">
        <v>1126.0</v>
      </c>
      <c r="B1127" s="8" t="s">
        <v>4931</v>
      </c>
      <c r="C1127" s="9" t="s">
        <v>4932</v>
      </c>
      <c r="D1127" s="10" t="str">
        <f>HYPERLINK("https://facebook.com/367089020688300_532672844129916", "367089020688300_532672844129916")</f>
        <v>367089020688300_532672844129916</v>
      </c>
      <c r="E1127" s="11">
        <v>387.0</v>
      </c>
      <c r="F1127" s="11">
        <v>6.0</v>
      </c>
      <c r="G1127" s="11">
        <v>431.0</v>
      </c>
      <c r="H1127" s="9" t="s">
        <v>26</v>
      </c>
      <c r="I1127" s="9" t="s">
        <v>4933</v>
      </c>
      <c r="J1127" s="9" t="s">
        <v>4934</v>
      </c>
      <c r="K1127" s="9" t="s">
        <v>4935</v>
      </c>
      <c r="L1127" s="9" t="s">
        <v>30</v>
      </c>
      <c r="M1127" s="9" t="s">
        <v>31</v>
      </c>
      <c r="N1127" s="9" t="s">
        <v>32</v>
      </c>
      <c r="O1127" s="12" t="s">
        <v>33</v>
      </c>
      <c r="P1127" s="12" t="s">
        <v>34</v>
      </c>
      <c r="Q1127" s="9"/>
      <c r="R1127" s="18"/>
      <c r="S1127" s="18"/>
      <c r="T1127" s="18"/>
      <c r="U1127" s="18"/>
      <c r="V1127" s="18"/>
      <c r="W1127" s="15"/>
      <c r="X1127" s="15"/>
    </row>
    <row r="1128">
      <c r="A1128" s="7">
        <v>1127.0</v>
      </c>
      <c r="B1128" s="8" t="s">
        <v>4936</v>
      </c>
      <c r="C1128" s="9" t="s">
        <v>4937</v>
      </c>
      <c r="D1128" s="10" t="str">
        <f>HYPERLINK("https://facebook.com/367089020688300_472720453458489", "367089020688300_472720453458489")</f>
        <v>367089020688300_472720453458489</v>
      </c>
      <c r="E1128" s="11">
        <v>209.0</v>
      </c>
      <c r="F1128" s="11">
        <v>10.0</v>
      </c>
      <c r="G1128" s="11">
        <v>262.0</v>
      </c>
      <c r="H1128" s="9" t="s">
        <v>26</v>
      </c>
      <c r="I1128" s="9" t="s">
        <v>4938</v>
      </c>
      <c r="J1128" s="9" t="s">
        <v>4939</v>
      </c>
      <c r="K1128" s="9" t="s">
        <v>219</v>
      </c>
      <c r="L1128" s="9" t="s">
        <v>30</v>
      </c>
      <c r="M1128" s="9" t="s">
        <v>31</v>
      </c>
      <c r="N1128" s="9" t="s">
        <v>32</v>
      </c>
      <c r="O1128" s="12" t="s">
        <v>33</v>
      </c>
      <c r="P1128" s="12" t="s">
        <v>34</v>
      </c>
      <c r="Q1128" s="9"/>
      <c r="R1128" s="18"/>
      <c r="S1128" s="18"/>
      <c r="T1128" s="18"/>
      <c r="U1128" s="18"/>
      <c r="V1128" s="18"/>
      <c r="W1128" s="15"/>
      <c r="X1128" s="15"/>
    </row>
    <row r="1129">
      <c r="A1129" s="7">
        <v>1128.0</v>
      </c>
      <c r="B1129" s="8" t="s">
        <v>4940</v>
      </c>
      <c r="C1129" s="9" t="s">
        <v>4941</v>
      </c>
      <c r="D1129" s="10" t="str">
        <f>HYPERLINK("https://facebook.com/367089020688300_494635091267025", "367089020688300_494635091267025")</f>
        <v>367089020688300_494635091267025</v>
      </c>
      <c r="E1129" s="11">
        <v>2747.0</v>
      </c>
      <c r="F1129" s="11">
        <v>171.0</v>
      </c>
      <c r="G1129" s="11">
        <v>1159.0</v>
      </c>
      <c r="H1129" s="9" t="s">
        <v>26</v>
      </c>
      <c r="I1129" s="9" t="s">
        <v>4942</v>
      </c>
      <c r="J1129" s="9" t="s">
        <v>4943</v>
      </c>
      <c r="K1129" s="9" t="s">
        <v>4944</v>
      </c>
      <c r="L1129" s="9" t="s">
        <v>30</v>
      </c>
      <c r="M1129" s="9" t="s">
        <v>31</v>
      </c>
      <c r="N1129" s="9" t="s">
        <v>32</v>
      </c>
      <c r="O1129" s="12" t="s">
        <v>33</v>
      </c>
      <c r="P1129" s="12" t="s">
        <v>34</v>
      </c>
      <c r="Q1129" s="9"/>
      <c r="R1129" s="18"/>
      <c r="S1129" s="18"/>
      <c r="T1129" s="18"/>
      <c r="U1129" s="18"/>
      <c r="V1129" s="18"/>
      <c r="W1129" s="15"/>
      <c r="X1129" s="15"/>
    </row>
    <row r="1130">
      <c r="A1130" s="7">
        <v>1129.0</v>
      </c>
      <c r="B1130" s="8" t="s">
        <v>4945</v>
      </c>
      <c r="C1130" s="9" t="s">
        <v>4946</v>
      </c>
      <c r="D1130" s="10" t="str">
        <f>HYPERLINK("https://facebook.com/367089020688300_406153946781807", "367089020688300_406153946781807")</f>
        <v>367089020688300_406153946781807</v>
      </c>
      <c r="E1130" s="11">
        <v>1341.0</v>
      </c>
      <c r="F1130" s="11">
        <v>37.0</v>
      </c>
      <c r="G1130" s="11">
        <v>784.0</v>
      </c>
      <c r="H1130" s="9" t="s">
        <v>26</v>
      </c>
      <c r="I1130" s="9" t="s">
        <v>4947</v>
      </c>
      <c r="J1130" s="9" t="s">
        <v>4948</v>
      </c>
      <c r="K1130" s="9" t="s">
        <v>4949</v>
      </c>
      <c r="L1130" s="9" t="s">
        <v>30</v>
      </c>
      <c r="M1130" s="9" t="s">
        <v>31</v>
      </c>
      <c r="N1130" s="9" t="s">
        <v>32</v>
      </c>
      <c r="O1130" s="12" t="s">
        <v>33</v>
      </c>
      <c r="P1130" s="12" t="s">
        <v>34</v>
      </c>
      <c r="Q1130" s="9"/>
      <c r="R1130" s="18"/>
      <c r="S1130" s="18"/>
      <c r="T1130" s="18"/>
      <c r="U1130" s="18"/>
      <c r="V1130" s="18"/>
      <c r="W1130" s="15"/>
      <c r="X1130" s="15"/>
    </row>
    <row r="1131">
      <c r="A1131" s="7">
        <v>1130.0</v>
      </c>
      <c r="B1131" s="8" t="s">
        <v>4950</v>
      </c>
      <c r="C1131" s="9" t="s">
        <v>4951</v>
      </c>
      <c r="D1131" s="10" t="str">
        <f>HYPERLINK("https://facebook.com/367089020688300_539110710152796", "367089020688300_539110710152796")</f>
        <v>367089020688300_539110710152796</v>
      </c>
      <c r="E1131" s="11">
        <v>65.0</v>
      </c>
      <c r="F1131" s="11">
        <v>2.0</v>
      </c>
      <c r="G1131" s="11">
        <v>33.0</v>
      </c>
      <c r="H1131" s="9" t="s">
        <v>26</v>
      </c>
      <c r="I1131" s="9" t="s">
        <v>4952</v>
      </c>
      <c r="J1131" s="16" t="s">
        <v>4953</v>
      </c>
      <c r="K1131" s="9"/>
      <c r="L1131" s="9" t="s">
        <v>30</v>
      </c>
      <c r="M1131" s="9" t="s">
        <v>31</v>
      </c>
      <c r="N1131" s="9" t="s">
        <v>32</v>
      </c>
      <c r="O1131" s="12" t="s">
        <v>33</v>
      </c>
      <c r="P1131" s="12" t="s">
        <v>34</v>
      </c>
      <c r="Q1131" s="9"/>
      <c r="R1131" s="18"/>
      <c r="S1131" s="18"/>
      <c r="T1131" s="18"/>
      <c r="U1131" s="18"/>
      <c r="V1131" s="18"/>
      <c r="W1131" s="15"/>
      <c r="X1131" s="15"/>
    </row>
    <row r="1132">
      <c r="A1132" s="7">
        <v>1131.0</v>
      </c>
      <c r="B1132" s="8" t="s">
        <v>4954</v>
      </c>
      <c r="C1132" s="9" t="s">
        <v>4955</v>
      </c>
      <c r="D1132" s="10" t="str">
        <f>HYPERLINK("https://facebook.com/367089020688300_540437226686811", "367089020688300_540437226686811")</f>
        <v>367089020688300_540437226686811</v>
      </c>
      <c r="E1132" s="11">
        <v>54.0</v>
      </c>
      <c r="F1132" s="11">
        <v>0.0</v>
      </c>
      <c r="G1132" s="11">
        <v>67.0</v>
      </c>
      <c r="H1132" s="9" t="s">
        <v>26</v>
      </c>
      <c r="I1132" s="9" t="s">
        <v>4956</v>
      </c>
      <c r="J1132" s="9" t="s">
        <v>4957</v>
      </c>
      <c r="K1132" s="9" t="s">
        <v>1409</v>
      </c>
      <c r="L1132" s="9" t="s">
        <v>30</v>
      </c>
      <c r="M1132" s="9" t="s">
        <v>31</v>
      </c>
      <c r="N1132" s="9" t="s">
        <v>32</v>
      </c>
      <c r="O1132" s="12" t="s">
        <v>33</v>
      </c>
      <c r="P1132" s="12" t="s">
        <v>34</v>
      </c>
      <c r="Q1132" s="9"/>
      <c r="R1132" s="18"/>
      <c r="S1132" s="18"/>
      <c r="T1132" s="18"/>
      <c r="U1132" s="18"/>
      <c r="V1132" s="18"/>
      <c r="W1132" s="15"/>
      <c r="X1132" s="15"/>
    </row>
    <row r="1133">
      <c r="A1133" s="7">
        <v>1132.0</v>
      </c>
      <c r="B1133" s="8" t="s">
        <v>4958</v>
      </c>
      <c r="C1133" s="9" t="s">
        <v>4959</v>
      </c>
      <c r="D1133" s="10" t="str">
        <f>HYPERLINK("https://facebook.com/367089020688300_421887058541829", "367089020688300_421887058541829")</f>
        <v>367089020688300_421887058541829</v>
      </c>
      <c r="E1133" s="11">
        <v>950.0</v>
      </c>
      <c r="F1133" s="11">
        <v>164.0</v>
      </c>
      <c r="G1133" s="11">
        <v>1618.0</v>
      </c>
      <c r="H1133" s="9" t="s">
        <v>26</v>
      </c>
      <c r="I1133" s="9" t="s">
        <v>4960</v>
      </c>
      <c r="J1133" s="9" t="s">
        <v>4961</v>
      </c>
      <c r="K1133" s="9" t="s">
        <v>4962</v>
      </c>
      <c r="L1133" s="9" t="s">
        <v>30</v>
      </c>
      <c r="M1133" s="9" t="s">
        <v>31</v>
      </c>
      <c r="N1133" s="9" t="s">
        <v>32</v>
      </c>
      <c r="O1133" s="12" t="s">
        <v>33</v>
      </c>
      <c r="P1133" s="12" t="s">
        <v>34</v>
      </c>
      <c r="Q1133" s="9"/>
      <c r="R1133" s="18"/>
      <c r="S1133" s="18"/>
      <c r="T1133" s="18"/>
      <c r="U1133" s="18"/>
      <c r="V1133" s="18"/>
      <c r="W1133" s="15"/>
      <c r="X1133" s="15"/>
    </row>
    <row r="1134">
      <c r="A1134" s="7">
        <v>1133.0</v>
      </c>
      <c r="B1134" s="8" t="s">
        <v>4963</v>
      </c>
      <c r="C1134" s="9" t="s">
        <v>4964</v>
      </c>
      <c r="D1134" s="10" t="str">
        <f>HYPERLINK("https://facebook.com/367089020688300_506196840110850", "367089020688300_506196840110850")</f>
        <v>367089020688300_506196840110850</v>
      </c>
      <c r="E1134" s="11">
        <v>31.0</v>
      </c>
      <c r="F1134" s="11">
        <v>0.0</v>
      </c>
      <c r="G1134" s="11">
        <v>39.0</v>
      </c>
      <c r="H1134" s="9" t="s">
        <v>26</v>
      </c>
      <c r="I1134" s="9" t="s">
        <v>4965</v>
      </c>
      <c r="J1134" s="9" t="s">
        <v>4966</v>
      </c>
      <c r="K1134" s="9" t="s">
        <v>4967</v>
      </c>
      <c r="L1134" s="9" t="s">
        <v>30</v>
      </c>
      <c r="M1134" s="9" t="s">
        <v>31</v>
      </c>
      <c r="N1134" s="9" t="s">
        <v>32</v>
      </c>
      <c r="O1134" s="12" t="s">
        <v>33</v>
      </c>
      <c r="P1134" s="12" t="s">
        <v>34</v>
      </c>
      <c r="Q1134" s="9"/>
      <c r="R1134" s="18"/>
      <c r="S1134" s="18"/>
      <c r="T1134" s="18"/>
      <c r="U1134" s="18"/>
      <c r="V1134" s="18"/>
      <c r="W1134" s="15"/>
      <c r="X1134" s="15"/>
    </row>
    <row r="1135">
      <c r="A1135" s="7">
        <v>1134.0</v>
      </c>
      <c r="B1135" s="8" t="s">
        <v>4968</v>
      </c>
      <c r="C1135" s="9" t="s">
        <v>4969</v>
      </c>
      <c r="D1135" s="10" t="str">
        <f>HYPERLINK("https://facebook.com/367089020688300_402065217190680", "367089020688300_402065217190680")</f>
        <v>367089020688300_402065217190680</v>
      </c>
      <c r="E1135" s="11">
        <v>222.0</v>
      </c>
      <c r="F1135" s="11">
        <v>8.0</v>
      </c>
      <c r="G1135" s="11">
        <v>151.0</v>
      </c>
      <c r="H1135" s="9" t="s">
        <v>26</v>
      </c>
      <c r="I1135" s="9" t="s">
        <v>4970</v>
      </c>
      <c r="J1135" s="9" t="s">
        <v>4971</v>
      </c>
      <c r="K1135" s="9" t="s">
        <v>4972</v>
      </c>
      <c r="L1135" s="9" t="s">
        <v>30</v>
      </c>
      <c r="M1135" s="9" t="s">
        <v>31</v>
      </c>
      <c r="N1135" s="9" t="s">
        <v>32</v>
      </c>
      <c r="O1135" s="12" t="s">
        <v>33</v>
      </c>
      <c r="P1135" s="12" t="s">
        <v>34</v>
      </c>
      <c r="Q1135" s="9"/>
      <c r="R1135" s="18"/>
      <c r="S1135" s="18"/>
      <c r="T1135" s="18"/>
      <c r="U1135" s="18"/>
      <c r="V1135" s="18"/>
      <c r="W1135" s="15"/>
      <c r="X1135" s="15"/>
    </row>
    <row r="1136">
      <c r="A1136" s="7">
        <v>1135.0</v>
      </c>
      <c r="B1136" s="8" t="s">
        <v>4973</v>
      </c>
      <c r="C1136" s="9" t="s">
        <v>4974</v>
      </c>
      <c r="D1136" s="10" t="str">
        <f>HYPERLINK("https://facebook.com/367089020688300_558648978198969", "367089020688300_558648978198969")</f>
        <v>367089020688300_558648978198969</v>
      </c>
      <c r="E1136" s="11">
        <v>755.0</v>
      </c>
      <c r="F1136" s="11">
        <v>50.0</v>
      </c>
      <c r="G1136" s="11">
        <v>695.0</v>
      </c>
      <c r="H1136" s="9" t="s">
        <v>26</v>
      </c>
      <c r="I1136" s="9" t="s">
        <v>4975</v>
      </c>
      <c r="J1136" s="16" t="s">
        <v>4976</v>
      </c>
      <c r="K1136" s="9"/>
      <c r="L1136" s="9" t="s">
        <v>30</v>
      </c>
      <c r="M1136" s="9" t="s">
        <v>31</v>
      </c>
      <c r="N1136" s="9" t="s">
        <v>32</v>
      </c>
      <c r="O1136" s="12" t="s">
        <v>33</v>
      </c>
      <c r="P1136" s="12" t="s">
        <v>34</v>
      </c>
      <c r="Q1136" s="9"/>
      <c r="R1136" s="18"/>
      <c r="S1136" s="18"/>
      <c r="T1136" s="18"/>
      <c r="U1136" s="18"/>
      <c r="V1136" s="18"/>
      <c r="W1136" s="15"/>
      <c r="X1136" s="15"/>
    </row>
    <row r="1137">
      <c r="A1137" s="7">
        <v>1136.0</v>
      </c>
      <c r="B1137" s="8" t="s">
        <v>4977</v>
      </c>
      <c r="C1137" s="9" t="s">
        <v>4978</v>
      </c>
      <c r="D1137" s="10" t="str">
        <f>HYPERLINK("https://facebook.com/367089020688300_546165222780678", "367089020688300_546165222780678")</f>
        <v>367089020688300_546165222780678</v>
      </c>
      <c r="E1137" s="11">
        <v>346.0</v>
      </c>
      <c r="F1137" s="11">
        <v>4.0</v>
      </c>
      <c r="G1137" s="11">
        <v>54.0</v>
      </c>
      <c r="H1137" s="9" t="s">
        <v>26</v>
      </c>
      <c r="I1137" s="9" t="s">
        <v>403</v>
      </c>
      <c r="J1137" s="9" t="s">
        <v>404</v>
      </c>
      <c r="K1137" s="9" t="s">
        <v>4979</v>
      </c>
      <c r="L1137" s="9" t="s">
        <v>30</v>
      </c>
      <c r="M1137" s="9" t="s">
        <v>31</v>
      </c>
      <c r="N1137" s="9" t="s">
        <v>32</v>
      </c>
      <c r="O1137" s="12" t="s">
        <v>33</v>
      </c>
      <c r="P1137" s="12" t="s">
        <v>34</v>
      </c>
      <c r="Q1137" s="9"/>
      <c r="R1137" s="18"/>
      <c r="S1137" s="18"/>
      <c r="T1137" s="18"/>
      <c r="U1137" s="18"/>
      <c r="V1137" s="18"/>
      <c r="W1137" s="15"/>
      <c r="X1137" s="15"/>
    </row>
    <row r="1138">
      <c r="A1138" s="7">
        <v>1137.0</v>
      </c>
      <c r="B1138" s="8" t="s">
        <v>4980</v>
      </c>
      <c r="C1138" s="9" t="s">
        <v>4981</v>
      </c>
      <c r="D1138" s="10" t="str">
        <f>HYPERLINK("https://facebook.com/367089020688300_422569848473550", "367089020688300_422569848473550")</f>
        <v>367089020688300_422569848473550</v>
      </c>
      <c r="E1138" s="11">
        <v>415.0</v>
      </c>
      <c r="F1138" s="11">
        <v>1.0</v>
      </c>
      <c r="G1138" s="11">
        <v>221.0</v>
      </c>
      <c r="H1138" s="9" t="s">
        <v>26</v>
      </c>
      <c r="I1138" s="9" t="s">
        <v>4982</v>
      </c>
      <c r="J1138" s="9" t="s">
        <v>4983</v>
      </c>
      <c r="K1138" s="9" t="s">
        <v>219</v>
      </c>
      <c r="L1138" s="9" t="s">
        <v>30</v>
      </c>
      <c r="M1138" s="9" t="s">
        <v>31</v>
      </c>
      <c r="N1138" s="9" t="s">
        <v>32</v>
      </c>
      <c r="O1138" s="12" t="s">
        <v>33</v>
      </c>
      <c r="P1138" s="12" t="s">
        <v>34</v>
      </c>
      <c r="Q1138" s="9"/>
      <c r="R1138" s="18"/>
      <c r="S1138" s="18"/>
      <c r="T1138" s="18"/>
      <c r="U1138" s="18"/>
      <c r="V1138" s="18"/>
      <c r="W1138" s="15"/>
      <c r="X1138" s="15"/>
    </row>
    <row r="1139">
      <c r="A1139" s="7">
        <v>1138.0</v>
      </c>
      <c r="B1139" s="8" t="s">
        <v>4984</v>
      </c>
      <c r="C1139" s="9" t="s">
        <v>4985</v>
      </c>
      <c r="D1139" s="10" t="str">
        <f>HYPERLINK("https://facebook.com/367089020688300_506767480053786", "367089020688300_506767480053786")</f>
        <v>367089020688300_506767480053786</v>
      </c>
      <c r="E1139" s="11">
        <v>38.0</v>
      </c>
      <c r="F1139" s="11">
        <v>1.0</v>
      </c>
      <c r="G1139" s="11">
        <v>67.0</v>
      </c>
      <c r="H1139" s="9" t="s">
        <v>26</v>
      </c>
      <c r="I1139" s="9" t="s">
        <v>4986</v>
      </c>
      <c r="J1139" s="9" t="s">
        <v>4987</v>
      </c>
      <c r="K1139" s="9" t="s">
        <v>4988</v>
      </c>
      <c r="L1139" s="9" t="s">
        <v>30</v>
      </c>
      <c r="M1139" s="9" t="s">
        <v>31</v>
      </c>
      <c r="N1139" s="9" t="s">
        <v>32</v>
      </c>
      <c r="O1139" s="12" t="s">
        <v>33</v>
      </c>
      <c r="P1139" s="12" t="s">
        <v>34</v>
      </c>
      <c r="Q1139" s="9"/>
      <c r="R1139" s="18"/>
      <c r="S1139" s="18"/>
      <c r="T1139" s="18"/>
      <c r="U1139" s="18"/>
      <c r="V1139" s="18"/>
      <c r="W1139" s="15"/>
      <c r="X1139" s="15"/>
    </row>
    <row r="1140">
      <c r="A1140" s="7">
        <v>1139.0</v>
      </c>
      <c r="B1140" s="8" t="s">
        <v>4989</v>
      </c>
      <c r="C1140" s="9" t="s">
        <v>4990</v>
      </c>
      <c r="D1140" s="10" t="str">
        <f>HYPERLINK("https://facebook.com/367089020688300_457270401670161", "367089020688300_457270401670161")</f>
        <v>367089020688300_457270401670161</v>
      </c>
      <c r="E1140" s="11">
        <v>272.0</v>
      </c>
      <c r="F1140" s="11">
        <v>4.0</v>
      </c>
      <c r="G1140" s="11">
        <v>470.0</v>
      </c>
      <c r="H1140" s="9" t="s">
        <v>26</v>
      </c>
      <c r="I1140" s="9" t="s">
        <v>1510</v>
      </c>
      <c r="J1140" s="9" t="s">
        <v>4991</v>
      </c>
      <c r="K1140" s="9" t="s">
        <v>4992</v>
      </c>
      <c r="L1140" s="9" t="s">
        <v>30</v>
      </c>
      <c r="M1140" s="9" t="s">
        <v>31</v>
      </c>
      <c r="N1140" s="9" t="s">
        <v>32</v>
      </c>
      <c r="O1140" s="12" t="s">
        <v>33</v>
      </c>
      <c r="P1140" s="12" t="s">
        <v>34</v>
      </c>
      <c r="Q1140" s="9"/>
      <c r="R1140" s="18"/>
      <c r="S1140" s="18"/>
      <c r="T1140" s="18"/>
      <c r="U1140" s="18"/>
      <c r="V1140" s="18"/>
      <c r="W1140" s="15"/>
      <c r="X1140" s="15"/>
    </row>
    <row r="1141">
      <c r="A1141" s="7">
        <v>1140.0</v>
      </c>
      <c r="B1141" s="8" t="s">
        <v>4993</v>
      </c>
      <c r="C1141" s="9" t="s">
        <v>4994</v>
      </c>
      <c r="D1141" s="10" t="str">
        <f>HYPERLINK("https://facebook.com/367089020688300_514651565932044", "367089020688300_514651565932044")</f>
        <v>367089020688300_514651565932044</v>
      </c>
      <c r="E1141" s="11">
        <v>861.0</v>
      </c>
      <c r="F1141" s="11">
        <v>29.0</v>
      </c>
      <c r="G1141" s="11">
        <v>511.0</v>
      </c>
      <c r="H1141" s="9" t="s">
        <v>26</v>
      </c>
      <c r="I1141" s="9" t="s">
        <v>4995</v>
      </c>
      <c r="J1141" s="9" t="s">
        <v>4996</v>
      </c>
      <c r="K1141" s="9" t="s">
        <v>214</v>
      </c>
      <c r="L1141" s="9" t="s">
        <v>30</v>
      </c>
      <c r="M1141" s="9" t="s">
        <v>31</v>
      </c>
      <c r="N1141" s="9" t="s">
        <v>32</v>
      </c>
      <c r="O1141" s="12" t="s">
        <v>33</v>
      </c>
      <c r="P1141" s="12" t="s">
        <v>34</v>
      </c>
      <c r="Q1141" s="9"/>
      <c r="R1141" s="18"/>
      <c r="S1141" s="18"/>
      <c r="T1141" s="18"/>
      <c r="U1141" s="18"/>
      <c r="V1141" s="18"/>
      <c r="W1141" s="15"/>
      <c r="X1141" s="15"/>
    </row>
    <row r="1142">
      <c r="A1142" s="7">
        <v>1141.0</v>
      </c>
      <c r="B1142" s="8" t="s">
        <v>4997</v>
      </c>
      <c r="C1142" s="9" t="s">
        <v>4998</v>
      </c>
      <c r="D1142" s="10" t="str">
        <f>HYPERLINK("https://facebook.com/367089020688300_452115545518980", "367089020688300_452115545518980")</f>
        <v>367089020688300_452115545518980</v>
      </c>
      <c r="E1142" s="11">
        <v>150.0</v>
      </c>
      <c r="F1142" s="11">
        <v>1.0</v>
      </c>
      <c r="G1142" s="11">
        <v>104.0</v>
      </c>
      <c r="H1142" s="9" t="s">
        <v>26</v>
      </c>
      <c r="I1142" s="9" t="s">
        <v>4999</v>
      </c>
      <c r="J1142" s="16" t="s">
        <v>5000</v>
      </c>
      <c r="K1142" s="9"/>
      <c r="L1142" s="9" t="s">
        <v>30</v>
      </c>
      <c r="M1142" s="9" t="s">
        <v>31</v>
      </c>
      <c r="N1142" s="9" t="s">
        <v>32</v>
      </c>
      <c r="O1142" s="12" t="s">
        <v>33</v>
      </c>
      <c r="P1142" s="12" t="s">
        <v>34</v>
      </c>
      <c r="Q1142" s="9"/>
      <c r="R1142" s="18"/>
      <c r="S1142" s="18"/>
      <c r="T1142" s="18"/>
      <c r="U1142" s="18"/>
      <c r="V1142" s="18"/>
      <c r="W1142" s="15"/>
      <c r="X1142" s="15"/>
    </row>
    <row r="1143">
      <c r="A1143" s="7">
        <v>1142.0</v>
      </c>
      <c r="B1143" s="8" t="s">
        <v>5001</v>
      </c>
      <c r="C1143" s="9" t="s">
        <v>5002</v>
      </c>
      <c r="D1143" s="10" t="str">
        <f>HYPERLINK("https://facebook.com/367089020688300_543178076412726", "367089020688300_543178076412726")</f>
        <v>367089020688300_543178076412726</v>
      </c>
      <c r="E1143" s="11">
        <v>72.0</v>
      </c>
      <c r="F1143" s="11">
        <v>0.0</v>
      </c>
      <c r="G1143" s="11">
        <v>51.0</v>
      </c>
      <c r="H1143" s="9" t="s">
        <v>26</v>
      </c>
      <c r="I1143" s="9" t="s">
        <v>5003</v>
      </c>
      <c r="J1143" s="16" t="s">
        <v>5004</v>
      </c>
      <c r="K1143" s="9"/>
      <c r="L1143" s="9" t="s">
        <v>30</v>
      </c>
      <c r="M1143" s="9" t="s">
        <v>31</v>
      </c>
      <c r="N1143" s="9" t="s">
        <v>32</v>
      </c>
      <c r="O1143" s="12" t="s">
        <v>33</v>
      </c>
      <c r="P1143" s="12" t="s">
        <v>34</v>
      </c>
      <c r="Q1143" s="9"/>
      <c r="R1143" s="18"/>
      <c r="S1143" s="18"/>
      <c r="T1143" s="18"/>
      <c r="U1143" s="18"/>
      <c r="V1143" s="18"/>
      <c r="W1143" s="15"/>
      <c r="X1143" s="15"/>
    </row>
    <row r="1144">
      <c r="A1144" s="7">
        <v>1143.0</v>
      </c>
      <c r="B1144" s="8" t="s">
        <v>5005</v>
      </c>
      <c r="C1144" s="9" t="s">
        <v>5006</v>
      </c>
      <c r="D1144" s="10" t="str">
        <f>HYPERLINK("https://facebook.com/367089020688300_461979407865927", "367089020688300_461979407865927")</f>
        <v>367089020688300_461979407865927</v>
      </c>
      <c r="E1144" s="11">
        <v>158.0</v>
      </c>
      <c r="F1144" s="11">
        <v>1.0</v>
      </c>
      <c r="G1144" s="11">
        <v>301.0</v>
      </c>
      <c r="H1144" s="9" t="s">
        <v>26</v>
      </c>
      <c r="I1144" s="9" t="s">
        <v>5007</v>
      </c>
      <c r="J1144" s="9" t="s">
        <v>5008</v>
      </c>
      <c r="K1144" s="9" t="s">
        <v>5009</v>
      </c>
      <c r="L1144" s="9" t="s">
        <v>30</v>
      </c>
      <c r="M1144" s="9" t="s">
        <v>31</v>
      </c>
      <c r="N1144" s="9" t="s">
        <v>32</v>
      </c>
      <c r="O1144" s="12" t="s">
        <v>33</v>
      </c>
      <c r="P1144" s="12" t="s">
        <v>34</v>
      </c>
      <c r="Q1144" s="9"/>
      <c r="R1144" s="18"/>
      <c r="S1144" s="18"/>
      <c r="T1144" s="18"/>
      <c r="U1144" s="18"/>
      <c r="V1144" s="18"/>
      <c r="W1144" s="15"/>
      <c r="X1144" s="15"/>
    </row>
    <row r="1145">
      <c r="A1145" s="7">
        <v>1144.0</v>
      </c>
      <c r="B1145" s="8" t="s">
        <v>5010</v>
      </c>
      <c r="C1145" s="9" t="s">
        <v>5011</v>
      </c>
      <c r="D1145" s="10" t="str">
        <f>HYPERLINK("https://facebook.com/367089020688300_395886384475230", "367089020688300_395886384475230")</f>
        <v>367089020688300_395886384475230</v>
      </c>
      <c r="E1145" s="11">
        <v>136.0</v>
      </c>
      <c r="F1145" s="11">
        <v>4.0</v>
      </c>
      <c r="G1145" s="11">
        <v>188.0</v>
      </c>
      <c r="H1145" s="9" t="s">
        <v>26</v>
      </c>
      <c r="I1145" s="9" t="s">
        <v>5012</v>
      </c>
      <c r="J1145" s="16" t="s">
        <v>5013</v>
      </c>
      <c r="K1145" s="9"/>
      <c r="L1145" s="9" t="s">
        <v>30</v>
      </c>
      <c r="M1145" s="9" t="s">
        <v>31</v>
      </c>
      <c r="N1145" s="9" t="s">
        <v>32</v>
      </c>
      <c r="O1145" s="12" t="s">
        <v>33</v>
      </c>
      <c r="P1145" s="12" t="s">
        <v>34</v>
      </c>
      <c r="Q1145" s="9"/>
      <c r="R1145" s="18"/>
      <c r="S1145" s="18"/>
      <c r="T1145" s="18"/>
      <c r="U1145" s="18"/>
      <c r="V1145" s="18"/>
      <c r="W1145" s="15"/>
      <c r="X1145" s="15"/>
    </row>
    <row r="1146">
      <c r="A1146" s="7">
        <v>1145.0</v>
      </c>
      <c r="B1146" s="8" t="s">
        <v>5014</v>
      </c>
      <c r="C1146" s="9" t="s">
        <v>5015</v>
      </c>
      <c r="D1146" s="10" t="str">
        <f>HYPERLINK("https://facebook.com/367089020688300_521580338572500", "367089020688300_521580338572500")</f>
        <v>367089020688300_521580338572500</v>
      </c>
      <c r="E1146" s="11">
        <v>2425.0</v>
      </c>
      <c r="F1146" s="11">
        <v>29.0</v>
      </c>
      <c r="G1146" s="11">
        <v>1632.0</v>
      </c>
      <c r="H1146" s="9" t="s">
        <v>26</v>
      </c>
      <c r="I1146" s="9" t="s">
        <v>5016</v>
      </c>
      <c r="J1146" s="9" t="s">
        <v>5017</v>
      </c>
      <c r="K1146" s="9" t="s">
        <v>5018</v>
      </c>
      <c r="L1146" s="9" t="s">
        <v>30</v>
      </c>
      <c r="M1146" s="9" t="s">
        <v>31</v>
      </c>
      <c r="N1146" s="9" t="s">
        <v>32</v>
      </c>
      <c r="O1146" s="12" t="s">
        <v>33</v>
      </c>
      <c r="P1146" s="12" t="s">
        <v>34</v>
      </c>
      <c r="Q1146" s="9"/>
      <c r="R1146" s="18"/>
      <c r="S1146" s="18"/>
      <c r="T1146" s="18"/>
      <c r="U1146" s="18"/>
      <c r="V1146" s="18"/>
      <c r="W1146" s="15"/>
      <c r="X1146" s="15"/>
    </row>
    <row r="1147">
      <c r="A1147" s="7">
        <v>1146.0</v>
      </c>
      <c r="B1147" s="8" t="s">
        <v>5019</v>
      </c>
      <c r="C1147" s="9" t="s">
        <v>5020</v>
      </c>
      <c r="D1147" s="10" t="str">
        <f>HYPERLINK("https://facebook.com/367089020688300_520425342021333", "367089020688300_520425342021333")</f>
        <v>367089020688300_520425342021333</v>
      </c>
      <c r="E1147" s="11">
        <v>2692.0</v>
      </c>
      <c r="F1147" s="11">
        <v>43.0</v>
      </c>
      <c r="G1147" s="11">
        <v>1285.0</v>
      </c>
      <c r="H1147" s="9" t="s">
        <v>26</v>
      </c>
      <c r="I1147" s="9" t="s">
        <v>5021</v>
      </c>
      <c r="J1147" s="16" t="s">
        <v>5022</v>
      </c>
      <c r="K1147" s="9"/>
      <c r="L1147" s="9" t="s">
        <v>30</v>
      </c>
      <c r="M1147" s="9" t="s">
        <v>31</v>
      </c>
      <c r="N1147" s="9" t="s">
        <v>32</v>
      </c>
      <c r="O1147" s="12" t="s">
        <v>33</v>
      </c>
      <c r="P1147" s="12" t="s">
        <v>34</v>
      </c>
      <c r="Q1147" s="9"/>
      <c r="R1147" s="18"/>
      <c r="S1147" s="18"/>
      <c r="T1147" s="18"/>
      <c r="U1147" s="18"/>
      <c r="V1147" s="18"/>
      <c r="W1147" s="15"/>
      <c r="X1147" s="15"/>
    </row>
    <row r="1148">
      <c r="A1148" s="7">
        <v>1147.0</v>
      </c>
      <c r="B1148" s="8" t="s">
        <v>5023</v>
      </c>
      <c r="C1148" s="9" t="s">
        <v>5024</v>
      </c>
      <c r="D1148" s="10" t="str">
        <f>HYPERLINK("https://facebook.com/367089020688300_520468505350350", "367089020688300_520468505350350")</f>
        <v>367089020688300_520468505350350</v>
      </c>
      <c r="E1148" s="11">
        <v>344.0</v>
      </c>
      <c r="F1148" s="11">
        <v>21.0</v>
      </c>
      <c r="G1148" s="11">
        <v>121.0</v>
      </c>
      <c r="H1148" s="9" t="s">
        <v>26</v>
      </c>
      <c r="I1148" s="9" t="s">
        <v>5025</v>
      </c>
      <c r="J1148" s="16" t="s">
        <v>5026</v>
      </c>
      <c r="K1148" s="9"/>
      <c r="L1148" s="9" t="s">
        <v>30</v>
      </c>
      <c r="M1148" s="9" t="s">
        <v>31</v>
      </c>
      <c r="N1148" s="9" t="s">
        <v>32</v>
      </c>
      <c r="O1148" s="12" t="s">
        <v>33</v>
      </c>
      <c r="P1148" s="12" t="s">
        <v>34</v>
      </c>
      <c r="Q1148" s="9"/>
      <c r="R1148" s="18"/>
      <c r="S1148" s="18"/>
      <c r="T1148" s="18"/>
      <c r="U1148" s="18"/>
      <c r="V1148" s="18"/>
      <c r="W1148" s="15"/>
      <c r="X1148" s="15"/>
    </row>
    <row r="1149">
      <c r="A1149" s="7">
        <v>1148.0</v>
      </c>
      <c r="B1149" s="8" t="s">
        <v>5027</v>
      </c>
      <c r="C1149" s="9" t="s">
        <v>5028</v>
      </c>
      <c r="D1149" s="10" t="str">
        <f>HYPERLINK("https://facebook.com/367089020688300_481939925869875", "367089020688300_481939925869875")</f>
        <v>367089020688300_481939925869875</v>
      </c>
      <c r="E1149" s="11">
        <v>590.0</v>
      </c>
      <c r="F1149" s="11">
        <v>6.0</v>
      </c>
      <c r="G1149" s="11">
        <v>773.0</v>
      </c>
      <c r="H1149" s="9" t="s">
        <v>26</v>
      </c>
      <c r="I1149" s="9" t="s">
        <v>5029</v>
      </c>
      <c r="J1149" s="16" t="s">
        <v>5030</v>
      </c>
      <c r="K1149" s="9"/>
      <c r="L1149" s="9" t="s">
        <v>30</v>
      </c>
      <c r="M1149" s="9" t="s">
        <v>31</v>
      </c>
      <c r="N1149" s="9" t="s">
        <v>32</v>
      </c>
      <c r="O1149" s="12" t="s">
        <v>33</v>
      </c>
      <c r="P1149" s="12" t="s">
        <v>34</v>
      </c>
      <c r="Q1149" s="9"/>
      <c r="R1149" s="18"/>
      <c r="S1149" s="18"/>
      <c r="T1149" s="18"/>
      <c r="U1149" s="18"/>
      <c r="V1149" s="18"/>
      <c r="W1149" s="15"/>
      <c r="X1149" s="15"/>
    </row>
    <row r="1150">
      <c r="A1150" s="7">
        <v>1149.0</v>
      </c>
      <c r="B1150" s="8" t="s">
        <v>5031</v>
      </c>
      <c r="C1150" s="9" t="s">
        <v>5032</v>
      </c>
      <c r="D1150" s="10" t="str">
        <f>HYPERLINK("https://facebook.com/367089020688300_540017183395482", "367089020688300_540017183395482")</f>
        <v>367089020688300_540017183395482</v>
      </c>
      <c r="E1150" s="11">
        <v>1247.0</v>
      </c>
      <c r="F1150" s="11">
        <v>34.0</v>
      </c>
      <c r="G1150" s="11">
        <v>220.0</v>
      </c>
      <c r="H1150" s="9" t="s">
        <v>26</v>
      </c>
      <c r="I1150" s="9" t="s">
        <v>2091</v>
      </c>
      <c r="J1150" s="16" t="s">
        <v>2092</v>
      </c>
      <c r="K1150" s="9"/>
      <c r="L1150" s="9" t="s">
        <v>30</v>
      </c>
      <c r="M1150" s="9" t="s">
        <v>31</v>
      </c>
      <c r="N1150" s="9" t="s">
        <v>32</v>
      </c>
      <c r="O1150" s="12" t="s">
        <v>33</v>
      </c>
      <c r="P1150" s="12" t="s">
        <v>34</v>
      </c>
      <c r="Q1150" s="9"/>
      <c r="R1150" s="18"/>
      <c r="S1150" s="18"/>
      <c r="T1150" s="18"/>
      <c r="U1150" s="18"/>
      <c r="V1150" s="18"/>
      <c r="W1150" s="15"/>
      <c r="X1150" s="15"/>
    </row>
    <row r="1151">
      <c r="A1151" s="7">
        <v>1150.0</v>
      </c>
      <c r="B1151" s="8" t="s">
        <v>5033</v>
      </c>
      <c r="C1151" s="9" t="s">
        <v>5034</v>
      </c>
      <c r="D1151" s="10" t="str">
        <f>HYPERLINK("https://facebook.com/367089020688300_537897613607439", "367089020688300_537897613607439")</f>
        <v>367089020688300_537897613607439</v>
      </c>
      <c r="E1151" s="11">
        <v>38.0</v>
      </c>
      <c r="F1151" s="11">
        <v>0.0</v>
      </c>
      <c r="G1151" s="11">
        <v>33.0</v>
      </c>
      <c r="H1151" s="9" t="s">
        <v>26</v>
      </c>
      <c r="I1151" s="9" t="s">
        <v>5035</v>
      </c>
      <c r="J1151" s="16" t="s">
        <v>5036</v>
      </c>
      <c r="K1151" s="9"/>
      <c r="L1151" s="9" t="s">
        <v>30</v>
      </c>
      <c r="M1151" s="9" t="s">
        <v>31</v>
      </c>
      <c r="N1151" s="9" t="s">
        <v>32</v>
      </c>
      <c r="O1151" s="12" t="s">
        <v>33</v>
      </c>
      <c r="P1151" s="12" t="s">
        <v>34</v>
      </c>
      <c r="Q1151" s="9"/>
      <c r="R1151" s="18"/>
      <c r="S1151" s="18"/>
      <c r="T1151" s="18"/>
      <c r="U1151" s="18"/>
      <c r="V1151" s="18"/>
      <c r="W1151" s="15"/>
      <c r="X1151" s="15"/>
    </row>
    <row r="1152">
      <c r="A1152" s="7">
        <v>1151.0</v>
      </c>
      <c r="B1152" s="8" t="s">
        <v>5037</v>
      </c>
      <c r="C1152" s="9" t="s">
        <v>5038</v>
      </c>
      <c r="D1152" s="10" t="str">
        <f>HYPERLINK("https://facebook.com/367089020688300_525876464809554", "367089020688300_525876464809554")</f>
        <v>367089020688300_525876464809554</v>
      </c>
      <c r="E1152" s="11">
        <v>12.0</v>
      </c>
      <c r="F1152" s="11">
        <v>0.0</v>
      </c>
      <c r="G1152" s="11">
        <v>22.0</v>
      </c>
      <c r="H1152" s="9" t="s">
        <v>26</v>
      </c>
      <c r="I1152" s="9" t="s">
        <v>5039</v>
      </c>
      <c r="J1152" s="16" t="s">
        <v>5040</v>
      </c>
      <c r="K1152" s="9"/>
      <c r="L1152" s="9" t="s">
        <v>30</v>
      </c>
      <c r="M1152" s="9" t="s">
        <v>31</v>
      </c>
      <c r="N1152" s="9" t="s">
        <v>32</v>
      </c>
      <c r="O1152" s="12" t="s">
        <v>33</v>
      </c>
      <c r="P1152" s="12" t="s">
        <v>34</v>
      </c>
      <c r="Q1152" s="9"/>
      <c r="R1152" s="18"/>
      <c r="S1152" s="18"/>
      <c r="T1152" s="18"/>
      <c r="U1152" s="18"/>
      <c r="V1152" s="18"/>
      <c r="W1152" s="15"/>
      <c r="X1152" s="15"/>
    </row>
    <row r="1153">
      <c r="A1153" s="7">
        <v>1152.0</v>
      </c>
      <c r="B1153" s="8" t="s">
        <v>5041</v>
      </c>
      <c r="C1153" s="9" t="s">
        <v>5042</v>
      </c>
      <c r="D1153" s="10" t="str">
        <f>HYPERLINK("https://facebook.com/367089020688300_505075816889619", "367089020688300_505075816889619")</f>
        <v>367089020688300_505075816889619</v>
      </c>
      <c r="E1153" s="11">
        <v>29.0</v>
      </c>
      <c r="F1153" s="11">
        <v>1.0</v>
      </c>
      <c r="G1153" s="11">
        <v>40.0</v>
      </c>
      <c r="H1153" s="9" t="s">
        <v>26</v>
      </c>
      <c r="I1153" s="9" t="s">
        <v>5043</v>
      </c>
      <c r="J1153" s="9" t="s">
        <v>5044</v>
      </c>
      <c r="K1153" s="9" t="s">
        <v>5045</v>
      </c>
      <c r="L1153" s="9" t="s">
        <v>30</v>
      </c>
      <c r="M1153" s="9" t="s">
        <v>31</v>
      </c>
      <c r="N1153" s="9" t="s">
        <v>32</v>
      </c>
      <c r="O1153" s="12" t="s">
        <v>33</v>
      </c>
      <c r="P1153" s="12" t="s">
        <v>34</v>
      </c>
      <c r="Q1153" s="9"/>
      <c r="R1153" s="18"/>
      <c r="S1153" s="18"/>
      <c r="T1153" s="18"/>
      <c r="U1153" s="18"/>
      <c r="V1153" s="18"/>
      <c r="W1153" s="15"/>
      <c r="X1153" s="15"/>
    </row>
    <row r="1154">
      <c r="A1154" s="7">
        <v>1153.0</v>
      </c>
      <c r="B1154" s="8" t="s">
        <v>5046</v>
      </c>
      <c r="C1154" s="9" t="s">
        <v>5047</v>
      </c>
      <c r="D1154" s="10" t="str">
        <f>HYPERLINK("https://facebook.com/367089020688300_530059037724630", "367089020688300_530059037724630")</f>
        <v>367089020688300_530059037724630</v>
      </c>
      <c r="E1154" s="11">
        <v>39.0</v>
      </c>
      <c r="F1154" s="11">
        <v>0.0</v>
      </c>
      <c r="G1154" s="11">
        <v>96.0</v>
      </c>
      <c r="H1154" s="9" t="s">
        <v>26</v>
      </c>
      <c r="I1154" s="9" t="s">
        <v>5048</v>
      </c>
      <c r="J1154" s="9" t="s">
        <v>5049</v>
      </c>
      <c r="K1154" s="9" t="s">
        <v>5050</v>
      </c>
      <c r="L1154" s="9" t="s">
        <v>30</v>
      </c>
      <c r="M1154" s="9" t="s">
        <v>31</v>
      </c>
      <c r="N1154" s="9" t="s">
        <v>32</v>
      </c>
      <c r="O1154" s="12" t="s">
        <v>33</v>
      </c>
      <c r="P1154" s="12" t="s">
        <v>34</v>
      </c>
      <c r="Q1154" s="9"/>
      <c r="R1154" s="18"/>
      <c r="S1154" s="18"/>
      <c r="T1154" s="18"/>
      <c r="U1154" s="18"/>
      <c r="V1154" s="18"/>
      <c r="W1154" s="15"/>
      <c r="X1154" s="15"/>
    </row>
    <row r="1155">
      <c r="A1155" s="7">
        <v>1154.0</v>
      </c>
      <c r="B1155" s="8" t="s">
        <v>5051</v>
      </c>
      <c r="C1155" s="9" t="s">
        <v>5052</v>
      </c>
      <c r="D1155" s="10" t="str">
        <f>HYPERLINK("https://facebook.com/367089020688300_454508055279729", "367089020688300_454508055279729")</f>
        <v>367089020688300_454508055279729</v>
      </c>
      <c r="E1155" s="11">
        <v>214.0</v>
      </c>
      <c r="F1155" s="11">
        <v>3.0</v>
      </c>
      <c r="G1155" s="11">
        <v>436.0</v>
      </c>
      <c r="H1155" s="9" t="s">
        <v>26</v>
      </c>
      <c r="I1155" s="9" t="s">
        <v>5053</v>
      </c>
      <c r="J1155" s="9" t="s">
        <v>5054</v>
      </c>
      <c r="K1155" s="9" t="s">
        <v>5055</v>
      </c>
      <c r="L1155" s="9" t="s">
        <v>30</v>
      </c>
      <c r="M1155" s="9" t="s">
        <v>31</v>
      </c>
      <c r="N1155" s="9" t="s">
        <v>32</v>
      </c>
      <c r="O1155" s="12" t="s">
        <v>33</v>
      </c>
      <c r="P1155" s="12" t="s">
        <v>34</v>
      </c>
      <c r="Q1155" s="9"/>
      <c r="R1155" s="18"/>
      <c r="S1155" s="18"/>
      <c r="T1155" s="18"/>
      <c r="U1155" s="18"/>
      <c r="V1155" s="18"/>
      <c r="W1155" s="15"/>
      <c r="X1155" s="15"/>
    </row>
    <row r="1156">
      <c r="A1156" s="7">
        <v>1155.0</v>
      </c>
      <c r="B1156" s="8" t="s">
        <v>5056</v>
      </c>
      <c r="C1156" s="9" t="s">
        <v>5057</v>
      </c>
      <c r="D1156" s="10" t="str">
        <f>HYPERLINK("https://facebook.com/367089020688300_555925775137956", "367089020688300_555925775137956")</f>
        <v>367089020688300_555925775137956</v>
      </c>
      <c r="E1156" s="11">
        <v>11.0</v>
      </c>
      <c r="F1156" s="11">
        <v>0.0</v>
      </c>
      <c r="G1156" s="11">
        <v>23.0</v>
      </c>
      <c r="H1156" s="9" t="s">
        <v>26</v>
      </c>
      <c r="I1156" s="9" t="s">
        <v>5058</v>
      </c>
      <c r="J1156" s="16" t="s">
        <v>5059</v>
      </c>
      <c r="K1156" s="9"/>
      <c r="L1156" s="9" t="s">
        <v>30</v>
      </c>
      <c r="M1156" s="9" t="s">
        <v>31</v>
      </c>
      <c r="N1156" s="9" t="s">
        <v>32</v>
      </c>
      <c r="O1156" s="12" t="s">
        <v>33</v>
      </c>
      <c r="P1156" s="12" t="s">
        <v>34</v>
      </c>
      <c r="Q1156" s="9"/>
      <c r="R1156" s="18"/>
      <c r="S1156" s="18"/>
      <c r="T1156" s="18"/>
      <c r="U1156" s="18"/>
      <c r="V1156" s="18"/>
      <c r="W1156" s="15"/>
      <c r="X1156" s="15"/>
    </row>
    <row r="1157">
      <c r="A1157" s="7">
        <v>1156.0</v>
      </c>
      <c r="B1157" s="8" t="s">
        <v>5060</v>
      </c>
      <c r="C1157" s="9" t="s">
        <v>5061</v>
      </c>
      <c r="D1157" s="10" t="str">
        <f>HYPERLINK("https://facebook.com/367089020688300_394259291304606", "367089020688300_394259291304606")</f>
        <v>367089020688300_394259291304606</v>
      </c>
      <c r="E1157" s="11">
        <v>1047.0</v>
      </c>
      <c r="F1157" s="11">
        <v>17.0</v>
      </c>
      <c r="G1157" s="11">
        <v>804.0</v>
      </c>
      <c r="H1157" s="9" t="s">
        <v>26</v>
      </c>
      <c r="I1157" s="9" t="s">
        <v>5062</v>
      </c>
      <c r="J1157" s="16" t="s">
        <v>5063</v>
      </c>
      <c r="K1157" s="9"/>
      <c r="L1157" s="9" t="s">
        <v>30</v>
      </c>
      <c r="M1157" s="9" t="s">
        <v>31</v>
      </c>
      <c r="N1157" s="9" t="s">
        <v>32</v>
      </c>
      <c r="O1157" s="12" t="s">
        <v>33</v>
      </c>
      <c r="P1157" s="12" t="s">
        <v>34</v>
      </c>
      <c r="Q1157" s="9"/>
      <c r="R1157" s="18"/>
      <c r="S1157" s="18"/>
      <c r="T1157" s="18"/>
      <c r="U1157" s="18"/>
      <c r="V1157" s="18"/>
      <c r="W1157" s="15"/>
      <c r="X1157" s="15"/>
    </row>
    <row r="1158">
      <c r="A1158" s="7">
        <v>1157.0</v>
      </c>
      <c r="B1158" s="8" t="s">
        <v>5064</v>
      </c>
      <c r="C1158" s="9" t="s">
        <v>5065</v>
      </c>
      <c r="D1158" s="10" t="str">
        <f>HYPERLINK("https://facebook.com/367089020688300_554586698605197", "367089020688300_554586698605197")</f>
        <v>367089020688300_554586698605197</v>
      </c>
      <c r="E1158" s="11">
        <v>213.0</v>
      </c>
      <c r="F1158" s="11">
        <v>4.0</v>
      </c>
      <c r="G1158" s="11">
        <v>187.0</v>
      </c>
      <c r="H1158" s="9" t="s">
        <v>26</v>
      </c>
      <c r="I1158" s="9" t="s">
        <v>5066</v>
      </c>
      <c r="J1158" s="9" t="s">
        <v>5067</v>
      </c>
      <c r="K1158" s="9" t="s">
        <v>5068</v>
      </c>
      <c r="L1158" s="9" t="s">
        <v>30</v>
      </c>
      <c r="M1158" s="9" t="s">
        <v>31</v>
      </c>
      <c r="N1158" s="9" t="s">
        <v>32</v>
      </c>
      <c r="O1158" s="12" t="s">
        <v>33</v>
      </c>
      <c r="P1158" s="12" t="s">
        <v>34</v>
      </c>
      <c r="Q1158" s="9"/>
      <c r="R1158" s="18"/>
      <c r="S1158" s="18"/>
      <c r="T1158" s="18"/>
      <c r="U1158" s="18"/>
      <c r="V1158" s="18"/>
      <c r="W1158" s="15"/>
      <c r="X1158" s="15"/>
    </row>
    <row r="1159">
      <c r="A1159" s="7">
        <v>1158.0</v>
      </c>
      <c r="B1159" s="8" t="s">
        <v>5069</v>
      </c>
      <c r="C1159" s="9" t="s">
        <v>5070</v>
      </c>
      <c r="D1159" s="10" t="str">
        <f>HYPERLINK("https://facebook.com/367089020688300_541390603258140", "367089020688300_541390603258140")</f>
        <v>367089020688300_541390603258140</v>
      </c>
      <c r="E1159" s="11">
        <v>410.0</v>
      </c>
      <c r="F1159" s="11">
        <v>57.0</v>
      </c>
      <c r="G1159" s="11">
        <v>30.0</v>
      </c>
      <c r="H1159" s="9" t="s">
        <v>26</v>
      </c>
      <c r="I1159" s="9" t="s">
        <v>1764</v>
      </c>
      <c r="J1159" s="9" t="s">
        <v>1765</v>
      </c>
      <c r="K1159" s="9" t="s">
        <v>5071</v>
      </c>
      <c r="L1159" s="9" t="s">
        <v>30</v>
      </c>
      <c r="M1159" s="9" t="s">
        <v>31</v>
      </c>
      <c r="N1159" s="9" t="s">
        <v>32</v>
      </c>
      <c r="O1159" s="12" t="s">
        <v>33</v>
      </c>
      <c r="P1159" s="12" t="s">
        <v>34</v>
      </c>
      <c r="Q1159" s="9"/>
      <c r="R1159" s="18"/>
      <c r="S1159" s="18"/>
      <c r="T1159" s="18"/>
      <c r="U1159" s="18"/>
      <c r="V1159" s="18"/>
      <c r="W1159" s="15"/>
      <c r="X1159" s="15"/>
    </row>
    <row r="1160">
      <c r="A1160" s="7">
        <v>1159.0</v>
      </c>
      <c r="B1160" s="8" t="s">
        <v>5072</v>
      </c>
      <c r="C1160" s="9" t="s">
        <v>5073</v>
      </c>
      <c r="D1160" s="10" t="str">
        <f>HYPERLINK("https://facebook.com/367089020688300_502997007097500", "367089020688300_502997007097500")</f>
        <v>367089020688300_502997007097500</v>
      </c>
      <c r="E1160" s="11">
        <v>138.0</v>
      </c>
      <c r="F1160" s="11">
        <v>0.0</v>
      </c>
      <c r="G1160" s="11">
        <v>17.0</v>
      </c>
      <c r="H1160" s="9" t="s">
        <v>26</v>
      </c>
      <c r="I1160" s="9" t="s">
        <v>5074</v>
      </c>
      <c r="J1160" s="16" t="s">
        <v>5075</v>
      </c>
      <c r="K1160" s="9"/>
      <c r="L1160" s="9" t="s">
        <v>30</v>
      </c>
      <c r="M1160" s="9" t="s">
        <v>31</v>
      </c>
      <c r="N1160" s="9" t="s">
        <v>32</v>
      </c>
      <c r="O1160" s="12" t="s">
        <v>33</v>
      </c>
      <c r="P1160" s="12" t="s">
        <v>34</v>
      </c>
      <c r="Q1160" s="9"/>
      <c r="R1160" s="18"/>
      <c r="S1160" s="18"/>
      <c r="T1160" s="18"/>
      <c r="U1160" s="18"/>
      <c r="V1160" s="18"/>
      <c r="W1160" s="15"/>
      <c r="X1160" s="15"/>
    </row>
    <row r="1161">
      <c r="A1161" s="7">
        <v>1160.0</v>
      </c>
      <c r="B1161" s="8" t="s">
        <v>5076</v>
      </c>
      <c r="C1161" s="9" t="s">
        <v>5077</v>
      </c>
      <c r="D1161" s="10" t="str">
        <f>HYPERLINK("https://facebook.com/367089020688300_546803222716878", "367089020688300_546803222716878")</f>
        <v>367089020688300_546803222716878</v>
      </c>
      <c r="E1161" s="11">
        <v>8.0</v>
      </c>
      <c r="F1161" s="11">
        <v>0.0</v>
      </c>
      <c r="G1161" s="11">
        <v>19.0</v>
      </c>
      <c r="H1161" s="9" t="s">
        <v>26</v>
      </c>
      <c r="I1161" s="9" t="s">
        <v>2004</v>
      </c>
      <c r="J1161" s="9" t="s">
        <v>2005</v>
      </c>
      <c r="K1161" s="9" t="s">
        <v>5078</v>
      </c>
      <c r="L1161" s="9" t="s">
        <v>30</v>
      </c>
      <c r="M1161" s="9" t="s">
        <v>31</v>
      </c>
      <c r="N1161" s="9" t="s">
        <v>32</v>
      </c>
      <c r="O1161" s="12" t="s">
        <v>33</v>
      </c>
      <c r="P1161" s="12" t="s">
        <v>34</v>
      </c>
      <c r="Q1161" s="9"/>
      <c r="R1161" s="18"/>
      <c r="S1161" s="18"/>
      <c r="T1161" s="18"/>
      <c r="U1161" s="18"/>
      <c r="V1161" s="18"/>
      <c r="W1161" s="15"/>
      <c r="X1161" s="15"/>
    </row>
    <row r="1162">
      <c r="A1162" s="7">
        <v>1161.0</v>
      </c>
      <c r="B1162" s="8" t="s">
        <v>5079</v>
      </c>
      <c r="C1162" s="9" t="s">
        <v>5080</v>
      </c>
      <c r="D1162" s="10" t="str">
        <f>HYPERLINK("https://facebook.com/367089020688300_410429403020928", "367089020688300_410429403020928")</f>
        <v>367089020688300_410429403020928</v>
      </c>
      <c r="E1162" s="11">
        <v>92.0</v>
      </c>
      <c r="F1162" s="11">
        <v>2.0</v>
      </c>
      <c r="G1162" s="11">
        <v>77.0</v>
      </c>
      <c r="H1162" s="9" t="s">
        <v>26</v>
      </c>
      <c r="I1162" s="9" t="s">
        <v>3667</v>
      </c>
      <c r="J1162" s="9" t="s">
        <v>5081</v>
      </c>
      <c r="K1162" s="9" t="s">
        <v>5082</v>
      </c>
      <c r="L1162" s="9" t="s">
        <v>30</v>
      </c>
      <c r="M1162" s="9" t="s">
        <v>31</v>
      </c>
      <c r="N1162" s="9" t="s">
        <v>32</v>
      </c>
      <c r="O1162" s="12" t="s">
        <v>33</v>
      </c>
      <c r="P1162" s="12" t="s">
        <v>34</v>
      </c>
      <c r="Q1162" s="9"/>
      <c r="R1162" s="18"/>
      <c r="S1162" s="18"/>
      <c r="T1162" s="18"/>
      <c r="U1162" s="18"/>
      <c r="V1162" s="18"/>
      <c r="W1162" s="15"/>
      <c r="X1162" s="15"/>
    </row>
    <row r="1163">
      <c r="A1163" s="7">
        <v>1162.0</v>
      </c>
      <c r="B1163" s="8" t="s">
        <v>5083</v>
      </c>
      <c r="C1163" s="9" t="s">
        <v>5084</v>
      </c>
      <c r="D1163" s="10" t="str">
        <f>HYPERLINK("https://facebook.com/367089020688300_556130891784111", "367089020688300_556130891784111")</f>
        <v>367089020688300_556130891784111</v>
      </c>
      <c r="E1163" s="11">
        <v>92.0</v>
      </c>
      <c r="F1163" s="11">
        <v>0.0</v>
      </c>
      <c r="G1163" s="11">
        <v>165.0</v>
      </c>
      <c r="H1163" s="9" t="s">
        <v>26</v>
      </c>
      <c r="I1163" s="9" t="s">
        <v>5085</v>
      </c>
      <c r="J1163" s="16" t="s">
        <v>5086</v>
      </c>
      <c r="K1163" s="9"/>
      <c r="L1163" s="9" t="s">
        <v>30</v>
      </c>
      <c r="M1163" s="9" t="s">
        <v>31</v>
      </c>
      <c r="N1163" s="9" t="s">
        <v>32</v>
      </c>
      <c r="O1163" s="12" t="s">
        <v>33</v>
      </c>
      <c r="P1163" s="12" t="s">
        <v>34</v>
      </c>
      <c r="Q1163" s="9"/>
      <c r="R1163" s="18"/>
      <c r="S1163" s="18"/>
      <c r="T1163" s="18"/>
      <c r="U1163" s="18"/>
      <c r="V1163" s="18"/>
      <c r="W1163" s="15"/>
      <c r="X1163" s="15"/>
    </row>
    <row r="1164">
      <c r="A1164" s="7">
        <v>1163.0</v>
      </c>
      <c r="B1164" s="8" t="s">
        <v>5087</v>
      </c>
      <c r="C1164" s="9" t="s">
        <v>5088</v>
      </c>
      <c r="D1164" s="10" t="str">
        <f>HYPERLINK("https://facebook.com/367089020688300_533861040677763", "367089020688300_533861040677763")</f>
        <v>367089020688300_533861040677763</v>
      </c>
      <c r="E1164" s="11">
        <v>8.0</v>
      </c>
      <c r="F1164" s="11">
        <v>0.0</v>
      </c>
      <c r="G1164" s="11">
        <v>8.0</v>
      </c>
      <c r="H1164" s="9" t="s">
        <v>26</v>
      </c>
      <c r="I1164" s="9" t="s">
        <v>4903</v>
      </c>
      <c r="J1164" s="9" t="s">
        <v>5089</v>
      </c>
      <c r="K1164" s="9" t="s">
        <v>5090</v>
      </c>
      <c r="L1164" s="9" t="s">
        <v>30</v>
      </c>
      <c r="M1164" s="9" t="s">
        <v>31</v>
      </c>
      <c r="N1164" s="9" t="s">
        <v>32</v>
      </c>
      <c r="O1164" s="12" t="s">
        <v>33</v>
      </c>
      <c r="P1164" s="12" t="s">
        <v>34</v>
      </c>
      <c r="Q1164" s="9"/>
      <c r="R1164" s="18"/>
      <c r="S1164" s="18"/>
      <c r="T1164" s="18"/>
      <c r="U1164" s="18"/>
      <c r="V1164" s="18"/>
      <c r="W1164" s="15"/>
      <c r="X1164" s="15"/>
    </row>
    <row r="1165">
      <c r="A1165" s="7">
        <v>1164.0</v>
      </c>
      <c r="B1165" s="8" t="s">
        <v>5091</v>
      </c>
      <c r="C1165" s="9" t="s">
        <v>5092</v>
      </c>
      <c r="D1165" s="10" t="str">
        <f>HYPERLINK("https://facebook.com/367089020688300_448607815869753", "367089020688300_448607815869753")</f>
        <v>367089020688300_448607815869753</v>
      </c>
      <c r="E1165" s="11">
        <v>28.0</v>
      </c>
      <c r="F1165" s="11">
        <v>0.0</v>
      </c>
      <c r="G1165" s="11">
        <v>58.0</v>
      </c>
      <c r="H1165" s="9" t="s">
        <v>26</v>
      </c>
      <c r="I1165" s="9" t="s">
        <v>2862</v>
      </c>
      <c r="J1165" s="9" t="s">
        <v>5093</v>
      </c>
      <c r="K1165" s="9" t="s">
        <v>5094</v>
      </c>
      <c r="L1165" s="9" t="s">
        <v>30</v>
      </c>
      <c r="M1165" s="9" t="s">
        <v>31</v>
      </c>
      <c r="N1165" s="9" t="s">
        <v>32</v>
      </c>
      <c r="O1165" s="12" t="s">
        <v>33</v>
      </c>
      <c r="P1165" s="12" t="s">
        <v>34</v>
      </c>
      <c r="Q1165" s="9"/>
      <c r="R1165" s="18"/>
      <c r="S1165" s="18"/>
      <c r="T1165" s="18"/>
      <c r="U1165" s="18"/>
      <c r="V1165" s="18"/>
      <c r="W1165" s="15"/>
      <c r="X1165" s="15"/>
    </row>
    <row r="1166">
      <c r="A1166" s="7">
        <v>1165.0</v>
      </c>
      <c r="B1166" s="8" t="s">
        <v>5095</v>
      </c>
      <c r="C1166" s="9" t="s">
        <v>5096</v>
      </c>
      <c r="D1166" s="10" t="str">
        <f>HYPERLINK("https://facebook.com/367089020688300_540949446635589", "367089020688300_540949446635589")</f>
        <v>367089020688300_540949446635589</v>
      </c>
      <c r="E1166" s="11">
        <v>2.0</v>
      </c>
      <c r="F1166" s="11">
        <v>0.0</v>
      </c>
      <c r="G1166" s="11">
        <v>6.0</v>
      </c>
      <c r="H1166" s="9" t="s">
        <v>26</v>
      </c>
      <c r="I1166" s="9" t="s">
        <v>5097</v>
      </c>
      <c r="J1166" s="9" t="s">
        <v>5098</v>
      </c>
      <c r="K1166" s="9" t="s">
        <v>5099</v>
      </c>
      <c r="L1166" s="9" t="s">
        <v>30</v>
      </c>
      <c r="M1166" s="9" t="s">
        <v>31</v>
      </c>
      <c r="N1166" s="9" t="s">
        <v>32</v>
      </c>
      <c r="O1166" s="12" t="s">
        <v>33</v>
      </c>
      <c r="P1166" s="12" t="s">
        <v>34</v>
      </c>
      <c r="Q1166" s="9"/>
      <c r="R1166" s="18"/>
      <c r="S1166" s="18"/>
      <c r="T1166" s="18"/>
      <c r="U1166" s="18"/>
      <c r="V1166" s="18"/>
      <c r="W1166" s="15"/>
      <c r="X1166" s="15"/>
    </row>
    <row r="1167">
      <c r="A1167" s="7">
        <v>1166.0</v>
      </c>
      <c r="B1167" s="8" t="s">
        <v>5100</v>
      </c>
      <c r="C1167" s="9" t="s">
        <v>5101</v>
      </c>
      <c r="D1167" s="10" t="str">
        <f>HYPERLINK("https://facebook.com/367089020688300_455255768538291", "367089020688300_455255768538291")</f>
        <v>367089020688300_455255768538291</v>
      </c>
      <c r="E1167" s="11">
        <v>193.0</v>
      </c>
      <c r="F1167" s="11">
        <v>6.0</v>
      </c>
      <c r="G1167" s="11">
        <v>204.0</v>
      </c>
      <c r="H1167" s="9" t="s">
        <v>26</v>
      </c>
      <c r="I1167" s="9" t="s">
        <v>5102</v>
      </c>
      <c r="J1167" s="9" t="s">
        <v>5103</v>
      </c>
      <c r="K1167" s="9" t="s">
        <v>5104</v>
      </c>
      <c r="L1167" s="9" t="s">
        <v>30</v>
      </c>
      <c r="M1167" s="9" t="s">
        <v>31</v>
      </c>
      <c r="N1167" s="9" t="s">
        <v>32</v>
      </c>
      <c r="O1167" s="12" t="s">
        <v>33</v>
      </c>
      <c r="P1167" s="12" t="s">
        <v>34</v>
      </c>
      <c r="Q1167" s="9"/>
      <c r="R1167" s="18"/>
      <c r="S1167" s="18"/>
      <c r="T1167" s="18"/>
      <c r="U1167" s="18"/>
      <c r="V1167" s="18"/>
      <c r="W1167" s="15"/>
      <c r="X1167" s="15"/>
    </row>
    <row r="1168">
      <c r="A1168" s="7">
        <v>1167.0</v>
      </c>
      <c r="B1168" s="8" t="s">
        <v>5105</v>
      </c>
      <c r="C1168" s="9" t="s">
        <v>5106</v>
      </c>
      <c r="D1168" s="10" t="str">
        <f>HYPERLINK("https://facebook.com/367089020688300_396273757769826", "367089020688300_396273757769826")</f>
        <v>367089020688300_396273757769826</v>
      </c>
      <c r="E1168" s="11">
        <v>1703.0</v>
      </c>
      <c r="F1168" s="11">
        <v>56.0</v>
      </c>
      <c r="G1168" s="11">
        <v>1047.0</v>
      </c>
      <c r="H1168" s="9" t="s">
        <v>26</v>
      </c>
      <c r="I1168" s="9" t="s">
        <v>5107</v>
      </c>
      <c r="J1168" s="16" t="s">
        <v>5108</v>
      </c>
      <c r="K1168" s="9"/>
      <c r="L1168" s="9" t="s">
        <v>30</v>
      </c>
      <c r="M1168" s="9" t="s">
        <v>31</v>
      </c>
      <c r="N1168" s="9" t="s">
        <v>32</v>
      </c>
      <c r="O1168" s="12" t="s">
        <v>33</v>
      </c>
      <c r="P1168" s="12" t="s">
        <v>34</v>
      </c>
      <c r="Q1168" s="9"/>
      <c r="R1168" s="18"/>
      <c r="S1168" s="18"/>
      <c r="T1168" s="18"/>
      <c r="U1168" s="18"/>
      <c r="V1168" s="18"/>
      <c r="W1168" s="15"/>
      <c r="X1168" s="15"/>
    </row>
    <row r="1169">
      <c r="A1169" s="7">
        <v>1168.0</v>
      </c>
      <c r="B1169" s="8" t="s">
        <v>5109</v>
      </c>
      <c r="C1169" s="9" t="s">
        <v>5110</v>
      </c>
      <c r="D1169" s="10" t="str">
        <f>HYPERLINK("https://facebook.com/367089020688300_530806280983239", "367089020688300_530806280983239")</f>
        <v>367089020688300_530806280983239</v>
      </c>
      <c r="E1169" s="11">
        <v>112.0</v>
      </c>
      <c r="F1169" s="11">
        <v>0.0</v>
      </c>
      <c r="G1169" s="11">
        <v>67.0</v>
      </c>
      <c r="H1169" s="9" t="s">
        <v>26</v>
      </c>
      <c r="I1169" s="9" t="s">
        <v>3480</v>
      </c>
      <c r="J1169" s="16" t="s">
        <v>3481</v>
      </c>
      <c r="K1169" s="9"/>
      <c r="L1169" s="9" t="s">
        <v>30</v>
      </c>
      <c r="M1169" s="9" t="s">
        <v>31</v>
      </c>
      <c r="N1169" s="9" t="s">
        <v>32</v>
      </c>
      <c r="O1169" s="12" t="s">
        <v>33</v>
      </c>
      <c r="P1169" s="12" t="s">
        <v>34</v>
      </c>
      <c r="Q1169" s="9"/>
      <c r="R1169" s="18"/>
      <c r="S1169" s="18"/>
      <c r="T1169" s="18"/>
      <c r="U1169" s="18"/>
      <c r="V1169" s="18"/>
      <c r="W1169" s="15"/>
      <c r="X1169" s="15"/>
    </row>
    <row r="1170">
      <c r="A1170" s="7">
        <v>1169.0</v>
      </c>
      <c r="B1170" s="8" t="s">
        <v>5111</v>
      </c>
      <c r="C1170" s="9" t="s">
        <v>5112</v>
      </c>
      <c r="D1170" s="10" t="str">
        <f>HYPERLINK("https://facebook.com/367089020688300_403550673708801", "367089020688300_403550673708801")</f>
        <v>367089020688300_403550673708801</v>
      </c>
      <c r="E1170" s="11">
        <v>480.0</v>
      </c>
      <c r="F1170" s="11">
        <v>28.0</v>
      </c>
      <c r="G1170" s="11">
        <v>165.0</v>
      </c>
      <c r="H1170" s="9" t="s">
        <v>26</v>
      </c>
      <c r="I1170" s="9" t="s">
        <v>5113</v>
      </c>
      <c r="J1170" s="9" t="s">
        <v>5114</v>
      </c>
      <c r="K1170" s="9" t="s">
        <v>5115</v>
      </c>
      <c r="L1170" s="9" t="s">
        <v>30</v>
      </c>
      <c r="M1170" s="9" t="s">
        <v>31</v>
      </c>
      <c r="N1170" s="9" t="s">
        <v>32</v>
      </c>
      <c r="O1170" s="12" t="s">
        <v>33</v>
      </c>
      <c r="P1170" s="12" t="s">
        <v>34</v>
      </c>
      <c r="Q1170" s="9"/>
      <c r="R1170" s="18"/>
      <c r="S1170" s="18"/>
      <c r="T1170" s="18"/>
      <c r="U1170" s="18"/>
      <c r="V1170" s="18"/>
      <c r="W1170" s="15"/>
      <c r="X1170" s="15"/>
    </row>
    <row r="1171">
      <c r="A1171" s="7">
        <v>1170.0</v>
      </c>
      <c r="B1171" s="8" t="s">
        <v>5116</v>
      </c>
      <c r="C1171" s="9" t="s">
        <v>5117</v>
      </c>
      <c r="D1171" s="10" t="str">
        <f>HYPERLINK("https://facebook.com/367089020688300_548701159193751", "367089020688300_548701159193751")</f>
        <v>367089020688300_548701159193751</v>
      </c>
      <c r="E1171" s="11">
        <v>10.0</v>
      </c>
      <c r="F1171" s="11">
        <v>0.0</v>
      </c>
      <c r="G1171" s="11">
        <v>2.0</v>
      </c>
      <c r="H1171" s="9" t="s">
        <v>26</v>
      </c>
      <c r="I1171" s="9" t="s">
        <v>5118</v>
      </c>
      <c r="J1171" s="16" t="s">
        <v>5119</v>
      </c>
      <c r="K1171" s="9"/>
      <c r="L1171" s="9" t="s">
        <v>30</v>
      </c>
      <c r="M1171" s="9" t="s">
        <v>31</v>
      </c>
      <c r="N1171" s="9" t="s">
        <v>32</v>
      </c>
      <c r="O1171" s="12" t="s">
        <v>33</v>
      </c>
      <c r="P1171" s="12" t="s">
        <v>34</v>
      </c>
      <c r="Q1171" s="9"/>
      <c r="R1171" s="18"/>
      <c r="S1171" s="18"/>
      <c r="T1171" s="18"/>
      <c r="U1171" s="18"/>
      <c r="V1171" s="18"/>
      <c r="W1171" s="15"/>
      <c r="X1171" s="15"/>
    </row>
    <row r="1172">
      <c r="A1172" s="7">
        <v>1171.0</v>
      </c>
      <c r="B1172" s="8" t="s">
        <v>5120</v>
      </c>
      <c r="C1172" s="9" t="s">
        <v>5121</v>
      </c>
      <c r="D1172" s="10" t="str">
        <f>HYPERLINK("https://facebook.com/367089020688300_546636912733509", "367089020688300_546636912733509")</f>
        <v>367089020688300_546636912733509</v>
      </c>
      <c r="E1172" s="11">
        <v>731.0</v>
      </c>
      <c r="F1172" s="11">
        <v>8.0</v>
      </c>
      <c r="G1172" s="11">
        <v>156.0</v>
      </c>
      <c r="H1172" s="9" t="s">
        <v>26</v>
      </c>
      <c r="I1172" s="9" t="s">
        <v>5122</v>
      </c>
      <c r="J1172" s="16" t="s">
        <v>5123</v>
      </c>
      <c r="K1172" s="9"/>
      <c r="L1172" s="9" t="s">
        <v>30</v>
      </c>
      <c r="M1172" s="9" t="s">
        <v>31</v>
      </c>
      <c r="N1172" s="9" t="s">
        <v>32</v>
      </c>
      <c r="O1172" s="12" t="s">
        <v>33</v>
      </c>
      <c r="P1172" s="12" t="s">
        <v>34</v>
      </c>
      <c r="Q1172" s="9"/>
      <c r="R1172" s="18"/>
      <c r="S1172" s="18"/>
      <c r="T1172" s="18"/>
      <c r="U1172" s="18"/>
      <c r="V1172" s="18"/>
      <c r="W1172" s="15"/>
      <c r="X1172" s="15"/>
    </row>
    <row r="1173">
      <c r="A1173" s="7">
        <v>1172.0</v>
      </c>
      <c r="B1173" s="8" t="s">
        <v>5124</v>
      </c>
      <c r="C1173" s="9" t="s">
        <v>5125</v>
      </c>
      <c r="D1173" s="10" t="str">
        <f>HYPERLINK("https://facebook.com/367089020688300_509268213137046", "367089020688300_509268213137046")</f>
        <v>367089020688300_509268213137046</v>
      </c>
      <c r="E1173" s="11">
        <v>223.0</v>
      </c>
      <c r="F1173" s="11">
        <v>7.0</v>
      </c>
      <c r="G1173" s="11">
        <v>231.0</v>
      </c>
      <c r="H1173" s="9" t="s">
        <v>26</v>
      </c>
      <c r="I1173" s="9" t="s">
        <v>2264</v>
      </c>
      <c r="J1173" s="9" t="s">
        <v>2265</v>
      </c>
      <c r="K1173" s="9" t="s">
        <v>5126</v>
      </c>
      <c r="L1173" s="9" t="s">
        <v>30</v>
      </c>
      <c r="M1173" s="9" t="s">
        <v>31</v>
      </c>
      <c r="N1173" s="9" t="s">
        <v>32</v>
      </c>
      <c r="O1173" s="12" t="s">
        <v>33</v>
      </c>
      <c r="P1173" s="12" t="s">
        <v>34</v>
      </c>
      <c r="Q1173" s="9"/>
      <c r="R1173" s="18"/>
      <c r="S1173" s="18"/>
      <c r="T1173" s="18"/>
      <c r="U1173" s="18"/>
      <c r="V1173" s="18"/>
      <c r="W1173" s="15"/>
      <c r="X1173" s="15"/>
    </row>
    <row r="1174">
      <c r="A1174" s="7">
        <v>1173.0</v>
      </c>
      <c r="B1174" s="8" t="s">
        <v>5127</v>
      </c>
      <c r="C1174" s="9" t="s">
        <v>5128</v>
      </c>
      <c r="D1174" s="10" t="str">
        <f>HYPERLINK("https://facebook.com/367089020688300_537366473660553", "367089020688300_537366473660553")</f>
        <v>367089020688300_537366473660553</v>
      </c>
      <c r="E1174" s="11">
        <v>8.0</v>
      </c>
      <c r="F1174" s="11">
        <v>0.0</v>
      </c>
      <c r="G1174" s="11">
        <v>6.0</v>
      </c>
      <c r="H1174" s="9" t="s">
        <v>26</v>
      </c>
      <c r="I1174" s="9" t="s">
        <v>5129</v>
      </c>
      <c r="J1174" s="16" t="s">
        <v>5130</v>
      </c>
      <c r="K1174" s="9"/>
      <c r="L1174" s="9" t="s">
        <v>30</v>
      </c>
      <c r="M1174" s="9" t="s">
        <v>31</v>
      </c>
      <c r="N1174" s="9" t="s">
        <v>32</v>
      </c>
      <c r="O1174" s="12" t="s">
        <v>33</v>
      </c>
      <c r="P1174" s="12" t="s">
        <v>34</v>
      </c>
      <c r="Q1174" s="9"/>
      <c r="R1174" s="18"/>
      <c r="S1174" s="18"/>
      <c r="T1174" s="18"/>
      <c r="U1174" s="18"/>
      <c r="V1174" s="18"/>
      <c r="W1174" s="15"/>
      <c r="X1174" s="15"/>
    </row>
    <row r="1175">
      <c r="A1175" s="7">
        <v>1174.0</v>
      </c>
      <c r="B1175" s="8" t="s">
        <v>5131</v>
      </c>
      <c r="C1175" s="9" t="s">
        <v>5132</v>
      </c>
      <c r="D1175" s="10" t="str">
        <f>HYPERLINK("https://facebook.com/367089020688300_560282041368996", "367089020688300_560282041368996")</f>
        <v>367089020688300_560282041368996</v>
      </c>
      <c r="E1175" s="11">
        <v>34.0</v>
      </c>
      <c r="F1175" s="11">
        <v>0.0</v>
      </c>
      <c r="G1175" s="11">
        <v>34.0</v>
      </c>
      <c r="H1175" s="9" t="s">
        <v>26</v>
      </c>
      <c r="I1175" s="9" t="s">
        <v>5133</v>
      </c>
      <c r="J1175" s="16" t="s">
        <v>5134</v>
      </c>
      <c r="K1175" s="9"/>
      <c r="L1175" s="9" t="s">
        <v>30</v>
      </c>
      <c r="M1175" s="9" t="s">
        <v>31</v>
      </c>
      <c r="N1175" s="9" t="s">
        <v>32</v>
      </c>
      <c r="O1175" s="12" t="s">
        <v>33</v>
      </c>
      <c r="P1175" s="12" t="s">
        <v>34</v>
      </c>
      <c r="Q1175" s="9"/>
      <c r="R1175" s="18"/>
      <c r="S1175" s="18"/>
      <c r="T1175" s="18"/>
      <c r="U1175" s="18"/>
      <c r="V1175" s="18"/>
      <c r="W1175" s="15"/>
      <c r="X1175" s="15"/>
    </row>
    <row r="1176">
      <c r="A1176" s="7">
        <v>1175.0</v>
      </c>
      <c r="B1176" s="8" t="s">
        <v>5135</v>
      </c>
      <c r="C1176" s="9" t="s">
        <v>5136</v>
      </c>
      <c r="D1176" s="10" t="str">
        <f>HYPERLINK("https://facebook.com/367089020688300_551722602224940", "367089020688300_551722602224940")</f>
        <v>367089020688300_551722602224940</v>
      </c>
      <c r="E1176" s="11">
        <v>38.0</v>
      </c>
      <c r="F1176" s="11">
        <v>1.0</v>
      </c>
      <c r="G1176" s="11">
        <v>21.0</v>
      </c>
      <c r="H1176" s="9" t="s">
        <v>26</v>
      </c>
      <c r="I1176" s="9" t="s">
        <v>5137</v>
      </c>
      <c r="J1176" s="9" t="s">
        <v>5138</v>
      </c>
      <c r="K1176" s="9" t="s">
        <v>1623</v>
      </c>
      <c r="L1176" s="9" t="s">
        <v>30</v>
      </c>
      <c r="M1176" s="9" t="s">
        <v>31</v>
      </c>
      <c r="N1176" s="9" t="s">
        <v>32</v>
      </c>
      <c r="O1176" s="12" t="s">
        <v>33</v>
      </c>
      <c r="P1176" s="12" t="s">
        <v>34</v>
      </c>
      <c r="Q1176" s="9"/>
      <c r="R1176" s="18"/>
      <c r="S1176" s="18"/>
      <c r="T1176" s="18"/>
      <c r="U1176" s="18"/>
      <c r="V1176" s="18"/>
      <c r="W1176" s="15"/>
      <c r="X1176" s="15"/>
    </row>
    <row r="1177">
      <c r="A1177" s="7">
        <v>1176.0</v>
      </c>
      <c r="B1177" s="8" t="s">
        <v>5139</v>
      </c>
      <c r="C1177" s="9" t="s">
        <v>5140</v>
      </c>
      <c r="D1177" s="10" t="str">
        <f>HYPERLINK("https://facebook.com/367089020688300_541467103250490", "367089020688300_541467103250490")</f>
        <v>367089020688300_541467103250490</v>
      </c>
      <c r="E1177" s="11">
        <v>47.0</v>
      </c>
      <c r="F1177" s="11">
        <v>0.0</v>
      </c>
      <c r="G1177" s="11">
        <v>8.0</v>
      </c>
      <c r="H1177" s="9" t="s">
        <v>26</v>
      </c>
      <c r="I1177" s="9" t="s">
        <v>5141</v>
      </c>
      <c r="J1177" s="9" t="s">
        <v>5142</v>
      </c>
      <c r="K1177" s="9" t="s">
        <v>5143</v>
      </c>
      <c r="L1177" s="9" t="s">
        <v>30</v>
      </c>
      <c r="M1177" s="9" t="s">
        <v>31</v>
      </c>
      <c r="N1177" s="9" t="s">
        <v>32</v>
      </c>
      <c r="O1177" s="12" t="s">
        <v>33</v>
      </c>
      <c r="P1177" s="12" t="s">
        <v>34</v>
      </c>
      <c r="Q1177" s="9"/>
      <c r="R1177" s="18"/>
      <c r="S1177" s="18"/>
      <c r="T1177" s="18"/>
      <c r="U1177" s="18"/>
      <c r="V1177" s="18"/>
      <c r="W1177" s="15"/>
      <c r="X1177" s="15"/>
    </row>
    <row r="1178">
      <c r="A1178" s="7">
        <v>1177.0</v>
      </c>
      <c r="B1178" s="8" t="s">
        <v>5144</v>
      </c>
      <c r="C1178" s="9" t="s">
        <v>5145</v>
      </c>
      <c r="D1178" s="10" t="str">
        <f>HYPERLINK("https://facebook.com/367089020688300_516151475782053", "367089020688300_516151475782053")</f>
        <v>367089020688300_516151475782053</v>
      </c>
      <c r="E1178" s="11">
        <v>202.0</v>
      </c>
      <c r="F1178" s="11">
        <v>7.0</v>
      </c>
      <c r="G1178" s="11">
        <v>204.0</v>
      </c>
      <c r="H1178" s="9" t="s">
        <v>26</v>
      </c>
      <c r="I1178" s="9" t="s">
        <v>5146</v>
      </c>
      <c r="J1178" s="16" t="s">
        <v>5147</v>
      </c>
      <c r="K1178" s="9"/>
      <c r="L1178" s="9" t="s">
        <v>30</v>
      </c>
      <c r="M1178" s="9" t="s">
        <v>31</v>
      </c>
      <c r="N1178" s="9" t="s">
        <v>32</v>
      </c>
      <c r="O1178" s="12" t="s">
        <v>33</v>
      </c>
      <c r="P1178" s="12" t="s">
        <v>34</v>
      </c>
      <c r="Q1178" s="9"/>
      <c r="R1178" s="18"/>
      <c r="S1178" s="18"/>
      <c r="T1178" s="18"/>
      <c r="U1178" s="18"/>
      <c r="V1178" s="18"/>
      <c r="W1178" s="15"/>
      <c r="X1178" s="15"/>
    </row>
    <row r="1179">
      <c r="A1179" s="7">
        <v>1178.0</v>
      </c>
      <c r="B1179" s="8" t="s">
        <v>5148</v>
      </c>
      <c r="C1179" s="9" t="s">
        <v>5149</v>
      </c>
      <c r="D1179" s="10" t="str">
        <f>HYPERLINK("https://facebook.com/367089020688300_523080735089127", "367089020688300_523080735089127")</f>
        <v>367089020688300_523080735089127</v>
      </c>
      <c r="E1179" s="11">
        <v>55.0</v>
      </c>
      <c r="F1179" s="11">
        <v>3.0</v>
      </c>
      <c r="G1179" s="11">
        <v>101.0</v>
      </c>
      <c r="H1179" s="9" t="s">
        <v>26</v>
      </c>
      <c r="I1179" s="9" t="s">
        <v>5150</v>
      </c>
      <c r="J1179" s="16" t="s">
        <v>5151</v>
      </c>
      <c r="K1179" s="9"/>
      <c r="L1179" s="9" t="s">
        <v>30</v>
      </c>
      <c r="M1179" s="9" t="s">
        <v>31</v>
      </c>
      <c r="N1179" s="9" t="s">
        <v>32</v>
      </c>
      <c r="O1179" s="12" t="s">
        <v>33</v>
      </c>
      <c r="P1179" s="12" t="s">
        <v>34</v>
      </c>
      <c r="Q1179" s="9"/>
      <c r="R1179" s="18"/>
      <c r="S1179" s="18"/>
      <c r="T1179" s="18"/>
      <c r="U1179" s="18"/>
      <c r="V1179" s="18"/>
      <c r="W1179" s="15"/>
      <c r="X1179" s="15"/>
    </row>
    <row r="1180">
      <c r="A1180" s="7">
        <v>1179.0</v>
      </c>
      <c r="B1180" s="8" t="s">
        <v>5152</v>
      </c>
      <c r="C1180" s="9" t="s">
        <v>5153</v>
      </c>
      <c r="D1180" s="10" t="str">
        <f>HYPERLINK("https://facebook.com/367089020688300_511840189546515", "367089020688300_511840189546515")</f>
        <v>367089020688300_511840189546515</v>
      </c>
      <c r="E1180" s="11">
        <v>2202.0</v>
      </c>
      <c r="F1180" s="11">
        <v>108.0</v>
      </c>
      <c r="G1180" s="11">
        <v>1439.0</v>
      </c>
      <c r="H1180" s="9" t="s">
        <v>26</v>
      </c>
      <c r="I1180" s="9" t="s">
        <v>1436</v>
      </c>
      <c r="J1180" s="9" t="s">
        <v>1437</v>
      </c>
      <c r="K1180" s="9" t="s">
        <v>5154</v>
      </c>
      <c r="L1180" s="9" t="s">
        <v>30</v>
      </c>
      <c r="M1180" s="9" t="s">
        <v>31</v>
      </c>
      <c r="N1180" s="9" t="s">
        <v>32</v>
      </c>
      <c r="O1180" s="12" t="s">
        <v>33</v>
      </c>
      <c r="P1180" s="12" t="s">
        <v>34</v>
      </c>
      <c r="Q1180" s="9"/>
      <c r="R1180" s="18"/>
      <c r="S1180" s="18"/>
      <c r="T1180" s="18"/>
      <c r="U1180" s="18"/>
      <c r="V1180" s="18"/>
      <c r="W1180" s="15"/>
      <c r="X1180" s="15"/>
    </row>
    <row r="1181">
      <c r="A1181" s="7">
        <v>1180.0</v>
      </c>
      <c r="B1181" s="8" t="s">
        <v>5155</v>
      </c>
      <c r="C1181" s="9" t="s">
        <v>5156</v>
      </c>
      <c r="D1181" s="10" t="str">
        <f>HYPERLINK("https://facebook.com/367089020688300_459414374789097", "367089020688300_459414374789097")</f>
        <v>367089020688300_459414374789097</v>
      </c>
      <c r="E1181" s="11">
        <v>134.0</v>
      </c>
      <c r="F1181" s="11">
        <v>1.0</v>
      </c>
      <c r="G1181" s="11">
        <v>152.0</v>
      </c>
      <c r="H1181" s="9" t="s">
        <v>26</v>
      </c>
      <c r="I1181" s="9" t="s">
        <v>5157</v>
      </c>
      <c r="J1181" s="9" t="s">
        <v>5158</v>
      </c>
      <c r="K1181" s="9" t="s">
        <v>663</v>
      </c>
      <c r="L1181" s="9" t="s">
        <v>30</v>
      </c>
      <c r="M1181" s="9" t="s">
        <v>31</v>
      </c>
      <c r="N1181" s="9" t="s">
        <v>32</v>
      </c>
      <c r="O1181" s="12" t="s">
        <v>33</v>
      </c>
      <c r="P1181" s="12" t="s">
        <v>34</v>
      </c>
      <c r="Q1181" s="9"/>
      <c r="R1181" s="18"/>
      <c r="S1181" s="18"/>
      <c r="T1181" s="18"/>
      <c r="U1181" s="18"/>
      <c r="V1181" s="18"/>
      <c r="W1181" s="15"/>
      <c r="X1181" s="15"/>
    </row>
    <row r="1182">
      <c r="A1182" s="7">
        <v>1181.0</v>
      </c>
      <c r="B1182" s="8" t="s">
        <v>5159</v>
      </c>
      <c r="C1182" s="9" t="s">
        <v>5160</v>
      </c>
      <c r="D1182" s="10" t="str">
        <f>HYPERLINK("https://facebook.com/367089020688300_561061817957685", "367089020688300_561061817957685")</f>
        <v>367089020688300_561061817957685</v>
      </c>
      <c r="E1182" s="11">
        <v>27.0</v>
      </c>
      <c r="F1182" s="11">
        <v>0.0</v>
      </c>
      <c r="G1182" s="11">
        <v>10.0</v>
      </c>
      <c r="H1182" s="9" t="s">
        <v>26</v>
      </c>
      <c r="I1182" s="9" t="s">
        <v>5161</v>
      </c>
      <c r="J1182" s="16" t="s">
        <v>5162</v>
      </c>
      <c r="K1182" s="9"/>
      <c r="L1182" s="9" t="s">
        <v>30</v>
      </c>
      <c r="M1182" s="9" t="s">
        <v>31</v>
      </c>
      <c r="N1182" s="9" t="s">
        <v>32</v>
      </c>
      <c r="O1182" s="12" t="s">
        <v>33</v>
      </c>
      <c r="P1182" s="12" t="s">
        <v>34</v>
      </c>
      <c r="Q1182" s="9"/>
      <c r="R1182" s="18"/>
      <c r="S1182" s="18"/>
      <c r="T1182" s="18"/>
      <c r="U1182" s="18"/>
      <c r="V1182" s="18"/>
      <c r="W1182" s="15"/>
      <c r="X1182" s="15"/>
    </row>
    <row r="1183">
      <c r="A1183" s="7">
        <v>1182.0</v>
      </c>
      <c r="B1183" s="8" t="s">
        <v>5163</v>
      </c>
      <c r="C1183" s="9" t="s">
        <v>5164</v>
      </c>
      <c r="D1183" s="10" t="str">
        <f>HYPERLINK("https://facebook.com/367089020688300_556930205037513", "367089020688300_556930205037513")</f>
        <v>367089020688300_556930205037513</v>
      </c>
      <c r="E1183" s="11">
        <v>57.0</v>
      </c>
      <c r="F1183" s="11">
        <v>0.0</v>
      </c>
      <c r="G1183" s="11">
        <v>65.0</v>
      </c>
      <c r="H1183" s="9" t="s">
        <v>26</v>
      </c>
      <c r="I1183" s="9" t="s">
        <v>5165</v>
      </c>
      <c r="J1183" s="16" t="s">
        <v>5166</v>
      </c>
      <c r="K1183" s="9"/>
      <c r="L1183" s="9" t="s">
        <v>30</v>
      </c>
      <c r="M1183" s="9" t="s">
        <v>31</v>
      </c>
      <c r="N1183" s="9" t="s">
        <v>32</v>
      </c>
      <c r="O1183" s="12" t="s">
        <v>33</v>
      </c>
      <c r="P1183" s="12" t="s">
        <v>34</v>
      </c>
      <c r="Q1183" s="9"/>
      <c r="R1183" s="18"/>
      <c r="S1183" s="18"/>
      <c r="T1183" s="18"/>
      <c r="U1183" s="18"/>
      <c r="V1183" s="18"/>
      <c r="W1183" s="15"/>
      <c r="X1183" s="15"/>
    </row>
    <row r="1184">
      <c r="A1184" s="7">
        <v>1183.0</v>
      </c>
      <c r="B1184" s="8" t="s">
        <v>5167</v>
      </c>
      <c r="C1184" s="9" t="s">
        <v>5168</v>
      </c>
      <c r="D1184" s="10" t="str">
        <f>HYPERLINK("https://facebook.com/367089020688300_486021935461674", "367089020688300_486021935461674")</f>
        <v>367089020688300_486021935461674</v>
      </c>
      <c r="E1184" s="11">
        <v>590.0</v>
      </c>
      <c r="F1184" s="11">
        <v>33.0</v>
      </c>
      <c r="G1184" s="11">
        <v>622.0</v>
      </c>
      <c r="H1184" s="9" t="s">
        <v>26</v>
      </c>
      <c r="I1184" s="9" t="s">
        <v>5169</v>
      </c>
      <c r="J1184" s="9" t="s">
        <v>5170</v>
      </c>
      <c r="K1184" s="9" t="s">
        <v>4681</v>
      </c>
      <c r="L1184" s="9" t="s">
        <v>30</v>
      </c>
      <c r="M1184" s="9" t="s">
        <v>31</v>
      </c>
      <c r="N1184" s="9" t="s">
        <v>32</v>
      </c>
      <c r="O1184" s="12" t="s">
        <v>33</v>
      </c>
      <c r="P1184" s="12" t="s">
        <v>34</v>
      </c>
      <c r="Q1184" s="9"/>
      <c r="R1184" s="18"/>
      <c r="S1184" s="18"/>
      <c r="T1184" s="18"/>
      <c r="U1184" s="18"/>
      <c r="V1184" s="18"/>
      <c r="W1184" s="15"/>
      <c r="X1184" s="15"/>
    </row>
    <row r="1185">
      <c r="A1185" s="7">
        <v>1184.0</v>
      </c>
      <c r="B1185" s="8" t="s">
        <v>5171</v>
      </c>
      <c r="C1185" s="9" t="s">
        <v>5172</v>
      </c>
      <c r="D1185" s="10" t="str">
        <f>HYPERLINK("https://facebook.com/367089020688300_523092858421248", "367089020688300_523092858421248")</f>
        <v>367089020688300_523092858421248</v>
      </c>
      <c r="E1185" s="11">
        <v>69.0</v>
      </c>
      <c r="F1185" s="11">
        <v>2.0</v>
      </c>
      <c r="G1185" s="11">
        <v>72.0</v>
      </c>
      <c r="H1185" s="9" t="s">
        <v>26</v>
      </c>
      <c r="I1185" s="9" t="s">
        <v>5173</v>
      </c>
      <c r="J1185" s="16" t="s">
        <v>5174</v>
      </c>
      <c r="K1185" s="9"/>
      <c r="L1185" s="9" t="s">
        <v>30</v>
      </c>
      <c r="M1185" s="9" t="s">
        <v>31</v>
      </c>
      <c r="N1185" s="9" t="s">
        <v>32</v>
      </c>
      <c r="O1185" s="12" t="s">
        <v>33</v>
      </c>
      <c r="P1185" s="12" t="s">
        <v>34</v>
      </c>
      <c r="Q1185" s="9"/>
      <c r="R1185" s="18"/>
      <c r="S1185" s="18"/>
      <c r="T1185" s="18"/>
      <c r="U1185" s="18"/>
      <c r="V1185" s="18"/>
      <c r="W1185" s="15"/>
      <c r="X1185" s="15"/>
    </row>
    <row r="1186">
      <c r="A1186" s="7">
        <v>1185.0</v>
      </c>
      <c r="B1186" s="8" t="s">
        <v>5175</v>
      </c>
      <c r="C1186" s="9" t="s">
        <v>5176</v>
      </c>
      <c r="D1186" s="10" t="str">
        <f>HYPERLINK("https://facebook.com/367089020688300_555769318486935", "367089020688300_555769318486935")</f>
        <v>367089020688300_555769318486935</v>
      </c>
      <c r="E1186" s="11">
        <v>201.0</v>
      </c>
      <c r="F1186" s="11">
        <v>0.0</v>
      </c>
      <c r="G1186" s="11">
        <v>25.0</v>
      </c>
      <c r="H1186" s="9" t="s">
        <v>26</v>
      </c>
      <c r="I1186" s="9" t="s">
        <v>5177</v>
      </c>
      <c r="J1186" s="16" t="s">
        <v>5178</v>
      </c>
      <c r="K1186" s="9"/>
      <c r="L1186" s="9" t="s">
        <v>30</v>
      </c>
      <c r="M1186" s="9" t="s">
        <v>31</v>
      </c>
      <c r="N1186" s="9" t="s">
        <v>32</v>
      </c>
      <c r="O1186" s="12" t="s">
        <v>33</v>
      </c>
      <c r="P1186" s="12" t="s">
        <v>34</v>
      </c>
      <c r="Q1186" s="9"/>
      <c r="R1186" s="18"/>
      <c r="S1186" s="18"/>
      <c r="T1186" s="18"/>
      <c r="U1186" s="18"/>
      <c r="V1186" s="18"/>
      <c r="W1186" s="15"/>
      <c r="X1186" s="15"/>
    </row>
    <row r="1187">
      <c r="A1187" s="7">
        <v>1186.0</v>
      </c>
      <c r="B1187" s="8" t="s">
        <v>5179</v>
      </c>
      <c r="C1187" s="9" t="s">
        <v>5180</v>
      </c>
      <c r="D1187" s="10" t="str">
        <f>HYPERLINK("https://facebook.com/367089020688300_549007142496486", "367089020688300_549007142496486")</f>
        <v>367089020688300_549007142496486</v>
      </c>
      <c r="E1187" s="11">
        <v>68.0</v>
      </c>
      <c r="F1187" s="11">
        <v>2.0</v>
      </c>
      <c r="G1187" s="11">
        <v>33.0</v>
      </c>
      <c r="H1187" s="9" t="s">
        <v>26</v>
      </c>
      <c r="I1187" s="9" t="s">
        <v>5181</v>
      </c>
      <c r="J1187" s="16" t="s">
        <v>5182</v>
      </c>
      <c r="K1187" s="9"/>
      <c r="L1187" s="9" t="s">
        <v>30</v>
      </c>
      <c r="M1187" s="9" t="s">
        <v>31</v>
      </c>
      <c r="N1187" s="9" t="s">
        <v>32</v>
      </c>
      <c r="O1187" s="12" t="s">
        <v>33</v>
      </c>
      <c r="P1187" s="12" t="s">
        <v>34</v>
      </c>
      <c r="Q1187" s="9"/>
      <c r="R1187" s="18"/>
      <c r="S1187" s="18"/>
      <c r="T1187" s="18"/>
      <c r="U1187" s="18"/>
      <c r="V1187" s="18"/>
      <c r="W1187" s="15"/>
      <c r="X1187" s="15"/>
    </row>
    <row r="1188">
      <c r="A1188" s="7">
        <v>1187.0</v>
      </c>
      <c r="B1188" s="8" t="s">
        <v>5183</v>
      </c>
      <c r="C1188" s="9" t="s">
        <v>5184</v>
      </c>
      <c r="D1188" s="10" t="str">
        <f>HYPERLINK("https://facebook.com/367089020688300_537384506992083", "367089020688300_537384506992083")</f>
        <v>367089020688300_537384506992083</v>
      </c>
      <c r="E1188" s="11">
        <v>309.0</v>
      </c>
      <c r="F1188" s="11">
        <v>4.0</v>
      </c>
      <c r="G1188" s="11">
        <v>136.0</v>
      </c>
      <c r="H1188" s="9" t="s">
        <v>26</v>
      </c>
      <c r="I1188" s="9" t="s">
        <v>5185</v>
      </c>
      <c r="J1188" s="16" t="s">
        <v>5186</v>
      </c>
      <c r="K1188" s="9"/>
      <c r="L1188" s="9" t="s">
        <v>30</v>
      </c>
      <c r="M1188" s="9" t="s">
        <v>31</v>
      </c>
      <c r="N1188" s="9" t="s">
        <v>32</v>
      </c>
      <c r="O1188" s="12" t="s">
        <v>33</v>
      </c>
      <c r="P1188" s="12" t="s">
        <v>34</v>
      </c>
      <c r="Q1188" s="9"/>
      <c r="R1188" s="18"/>
      <c r="S1188" s="18"/>
      <c r="T1188" s="18"/>
      <c r="U1188" s="18"/>
      <c r="V1188" s="18"/>
      <c r="W1188" s="15"/>
      <c r="X1188" s="15"/>
    </row>
    <row r="1189">
      <c r="A1189" s="7">
        <v>1188.0</v>
      </c>
      <c r="B1189" s="8" t="s">
        <v>5187</v>
      </c>
      <c r="C1189" s="9" t="s">
        <v>5188</v>
      </c>
      <c r="D1189" s="10" t="str">
        <f>HYPERLINK("https://facebook.com/367089020688300_539916230072244", "367089020688300_539916230072244")</f>
        <v>367089020688300_539916230072244</v>
      </c>
      <c r="E1189" s="11">
        <v>15.0</v>
      </c>
      <c r="F1189" s="11">
        <v>0.0</v>
      </c>
      <c r="G1189" s="11">
        <v>54.0</v>
      </c>
      <c r="H1189" s="9" t="s">
        <v>26</v>
      </c>
      <c r="I1189" s="9" t="s">
        <v>5189</v>
      </c>
      <c r="J1189" s="9" t="s">
        <v>5190</v>
      </c>
      <c r="K1189" s="9" t="s">
        <v>5191</v>
      </c>
      <c r="L1189" s="9" t="s">
        <v>30</v>
      </c>
      <c r="M1189" s="9" t="s">
        <v>31</v>
      </c>
      <c r="N1189" s="9" t="s">
        <v>32</v>
      </c>
      <c r="O1189" s="12" t="s">
        <v>33</v>
      </c>
      <c r="P1189" s="12" t="s">
        <v>34</v>
      </c>
      <c r="Q1189" s="9"/>
      <c r="R1189" s="18"/>
      <c r="S1189" s="18"/>
      <c r="T1189" s="18"/>
      <c r="U1189" s="18"/>
      <c r="V1189" s="18"/>
      <c r="W1189" s="15"/>
      <c r="X1189" s="15"/>
    </row>
    <row r="1190">
      <c r="A1190" s="7">
        <v>1189.0</v>
      </c>
      <c r="B1190" s="8" t="s">
        <v>5192</v>
      </c>
      <c r="C1190" s="9" t="s">
        <v>5193</v>
      </c>
      <c r="D1190" s="10" t="str">
        <f>HYPERLINK("https://facebook.com/367089020688300_446374262759775", "367089020688300_446374262759775")</f>
        <v>367089020688300_446374262759775</v>
      </c>
      <c r="E1190" s="11">
        <v>508.0</v>
      </c>
      <c r="F1190" s="11">
        <v>7.0</v>
      </c>
      <c r="G1190" s="11">
        <v>548.0</v>
      </c>
      <c r="H1190" s="9" t="s">
        <v>26</v>
      </c>
      <c r="I1190" s="9" t="s">
        <v>5194</v>
      </c>
      <c r="J1190" s="9" t="s">
        <v>5195</v>
      </c>
      <c r="K1190" s="9" t="s">
        <v>5196</v>
      </c>
      <c r="L1190" s="9" t="s">
        <v>30</v>
      </c>
      <c r="M1190" s="9" t="s">
        <v>31</v>
      </c>
      <c r="N1190" s="9" t="s">
        <v>32</v>
      </c>
      <c r="O1190" s="12" t="s">
        <v>33</v>
      </c>
      <c r="P1190" s="12" t="s">
        <v>34</v>
      </c>
      <c r="Q1190" s="9"/>
      <c r="R1190" s="18"/>
      <c r="S1190" s="18"/>
      <c r="T1190" s="18"/>
      <c r="U1190" s="18"/>
      <c r="V1190" s="18"/>
      <c r="W1190" s="15"/>
      <c r="X1190" s="15"/>
    </row>
    <row r="1191">
      <c r="A1191" s="7">
        <v>1190.0</v>
      </c>
      <c r="B1191" s="8" t="s">
        <v>5197</v>
      </c>
      <c r="C1191" s="9" t="s">
        <v>5198</v>
      </c>
      <c r="D1191" s="10" t="str">
        <f>HYPERLINK("https://facebook.com/367089020688300_487216988675502", "367089020688300_487216988675502")</f>
        <v>367089020688300_487216988675502</v>
      </c>
      <c r="E1191" s="11">
        <v>1023.0</v>
      </c>
      <c r="F1191" s="11">
        <v>63.0</v>
      </c>
      <c r="G1191" s="11">
        <v>976.0</v>
      </c>
      <c r="H1191" s="9" t="s">
        <v>26</v>
      </c>
      <c r="I1191" s="9" t="s">
        <v>5199</v>
      </c>
      <c r="J1191" s="9" t="s">
        <v>5200</v>
      </c>
      <c r="K1191" s="9" t="s">
        <v>5201</v>
      </c>
      <c r="L1191" s="9" t="s">
        <v>30</v>
      </c>
      <c r="M1191" s="9" t="s">
        <v>31</v>
      </c>
      <c r="N1191" s="9" t="s">
        <v>32</v>
      </c>
      <c r="O1191" s="12" t="s">
        <v>33</v>
      </c>
      <c r="P1191" s="12" t="s">
        <v>34</v>
      </c>
      <c r="Q1191" s="9"/>
      <c r="R1191" s="18"/>
      <c r="S1191" s="18"/>
      <c r="T1191" s="18"/>
      <c r="U1191" s="18"/>
      <c r="V1191" s="18"/>
      <c r="W1191" s="15"/>
      <c r="X1191" s="15"/>
    </row>
    <row r="1192">
      <c r="A1192" s="7">
        <v>1191.0</v>
      </c>
      <c r="B1192" s="8" t="s">
        <v>5202</v>
      </c>
      <c r="C1192" s="9" t="s">
        <v>5203</v>
      </c>
      <c r="D1192" s="10" t="str">
        <f>HYPERLINK("https://facebook.com/367089020688300_522081531855714", "367089020688300_522081531855714")</f>
        <v>367089020688300_522081531855714</v>
      </c>
      <c r="E1192" s="11">
        <v>173.0</v>
      </c>
      <c r="F1192" s="11">
        <v>6.0</v>
      </c>
      <c r="G1192" s="11">
        <v>202.0</v>
      </c>
      <c r="H1192" s="9" t="s">
        <v>26</v>
      </c>
      <c r="I1192" s="9" t="s">
        <v>5204</v>
      </c>
      <c r="J1192" s="9" t="s">
        <v>5205</v>
      </c>
      <c r="K1192" s="9" t="s">
        <v>5206</v>
      </c>
      <c r="L1192" s="9" t="s">
        <v>30</v>
      </c>
      <c r="M1192" s="9" t="s">
        <v>31</v>
      </c>
      <c r="N1192" s="9" t="s">
        <v>32</v>
      </c>
      <c r="O1192" s="12" t="s">
        <v>33</v>
      </c>
      <c r="P1192" s="12" t="s">
        <v>34</v>
      </c>
      <c r="Q1192" s="9"/>
      <c r="R1192" s="18"/>
      <c r="S1192" s="18"/>
      <c r="T1192" s="18"/>
      <c r="U1192" s="18"/>
      <c r="V1192" s="18"/>
      <c r="W1192" s="15"/>
      <c r="X1192" s="15"/>
    </row>
    <row r="1193">
      <c r="A1193" s="7">
        <v>1192.0</v>
      </c>
      <c r="B1193" s="8" t="s">
        <v>5207</v>
      </c>
      <c r="C1193" s="9" t="s">
        <v>5208</v>
      </c>
      <c r="D1193" s="10" t="str">
        <f>HYPERLINK("https://facebook.com/367089020688300_537344516996082", "367089020688300_537344516996082")</f>
        <v>367089020688300_537344516996082</v>
      </c>
      <c r="E1193" s="11">
        <v>44.0</v>
      </c>
      <c r="F1193" s="11">
        <v>1.0</v>
      </c>
      <c r="G1193" s="11">
        <v>54.0</v>
      </c>
      <c r="H1193" s="9" t="s">
        <v>26</v>
      </c>
      <c r="I1193" s="9" t="s">
        <v>5209</v>
      </c>
      <c r="J1193" s="16" t="s">
        <v>5210</v>
      </c>
      <c r="K1193" s="9"/>
      <c r="L1193" s="9" t="s">
        <v>30</v>
      </c>
      <c r="M1193" s="9" t="s">
        <v>31</v>
      </c>
      <c r="N1193" s="9" t="s">
        <v>32</v>
      </c>
      <c r="O1193" s="12" t="s">
        <v>33</v>
      </c>
      <c r="P1193" s="12" t="s">
        <v>34</v>
      </c>
      <c r="Q1193" s="9"/>
      <c r="R1193" s="18"/>
      <c r="S1193" s="18"/>
      <c r="T1193" s="18"/>
      <c r="U1193" s="18"/>
      <c r="V1193" s="18"/>
      <c r="W1193" s="15"/>
      <c r="X1193" s="15"/>
    </row>
    <row r="1194">
      <c r="A1194" s="7">
        <v>1193.0</v>
      </c>
      <c r="B1194" s="8" t="s">
        <v>5211</v>
      </c>
      <c r="C1194" s="9" t="s">
        <v>5212</v>
      </c>
      <c r="D1194" s="10" t="str">
        <f>HYPERLINK("https://facebook.com/367089020688300_472694376794430", "367089020688300_472694376794430")</f>
        <v>367089020688300_472694376794430</v>
      </c>
      <c r="E1194" s="11">
        <v>301.0</v>
      </c>
      <c r="F1194" s="11">
        <v>3.0</v>
      </c>
      <c r="G1194" s="11">
        <v>389.0</v>
      </c>
      <c r="H1194" s="9" t="s">
        <v>26</v>
      </c>
      <c r="I1194" s="9" t="s">
        <v>5213</v>
      </c>
      <c r="J1194" s="9" t="s">
        <v>5214</v>
      </c>
      <c r="K1194" s="9" t="s">
        <v>5215</v>
      </c>
      <c r="L1194" s="9" t="s">
        <v>30</v>
      </c>
      <c r="M1194" s="9" t="s">
        <v>31</v>
      </c>
      <c r="N1194" s="9" t="s">
        <v>32</v>
      </c>
      <c r="O1194" s="12" t="s">
        <v>33</v>
      </c>
      <c r="P1194" s="12" t="s">
        <v>34</v>
      </c>
      <c r="Q1194" s="9"/>
      <c r="R1194" s="18"/>
      <c r="S1194" s="18"/>
      <c r="T1194" s="18"/>
      <c r="U1194" s="18"/>
      <c r="V1194" s="18"/>
      <c r="W1194" s="15"/>
      <c r="X1194" s="15"/>
    </row>
    <row r="1195">
      <c r="A1195" s="7">
        <v>1194.0</v>
      </c>
      <c r="B1195" s="8" t="s">
        <v>5216</v>
      </c>
      <c r="C1195" s="9" t="s">
        <v>5217</v>
      </c>
      <c r="D1195" s="10" t="str">
        <f>HYPERLINK("https://facebook.com/367089020688300_554214091975791", "367089020688300_554214091975791")</f>
        <v>367089020688300_554214091975791</v>
      </c>
      <c r="E1195" s="11">
        <v>429.0</v>
      </c>
      <c r="F1195" s="11">
        <v>5.0</v>
      </c>
      <c r="G1195" s="11">
        <v>159.0</v>
      </c>
      <c r="H1195" s="9" t="s">
        <v>26</v>
      </c>
      <c r="I1195" s="9" t="s">
        <v>5218</v>
      </c>
      <c r="J1195" s="9" t="s">
        <v>5219</v>
      </c>
      <c r="K1195" s="9" t="s">
        <v>5220</v>
      </c>
      <c r="L1195" s="9" t="s">
        <v>30</v>
      </c>
      <c r="M1195" s="9" t="s">
        <v>31</v>
      </c>
      <c r="N1195" s="9" t="s">
        <v>32</v>
      </c>
      <c r="O1195" s="12" t="s">
        <v>33</v>
      </c>
      <c r="P1195" s="12" t="s">
        <v>34</v>
      </c>
      <c r="Q1195" s="9"/>
      <c r="R1195" s="18"/>
      <c r="S1195" s="18"/>
      <c r="T1195" s="18"/>
      <c r="U1195" s="18"/>
      <c r="V1195" s="18"/>
      <c r="W1195" s="15"/>
      <c r="X1195" s="15"/>
    </row>
    <row r="1196">
      <c r="A1196" s="7">
        <v>1195.0</v>
      </c>
      <c r="B1196" s="8" t="s">
        <v>5221</v>
      </c>
      <c r="C1196" s="9" t="s">
        <v>5222</v>
      </c>
      <c r="D1196" s="10" t="str">
        <f>HYPERLINK("https://facebook.com/367089020688300_560344304696103", "367089020688300_560344304696103")</f>
        <v>367089020688300_560344304696103</v>
      </c>
      <c r="E1196" s="11">
        <v>329.0</v>
      </c>
      <c r="F1196" s="11">
        <v>4.0</v>
      </c>
      <c r="G1196" s="11">
        <v>225.0</v>
      </c>
      <c r="H1196" s="9" t="s">
        <v>26</v>
      </c>
      <c r="I1196" s="9" t="s">
        <v>5223</v>
      </c>
      <c r="J1196" s="16" t="s">
        <v>5224</v>
      </c>
      <c r="K1196" s="9"/>
      <c r="L1196" s="9" t="s">
        <v>30</v>
      </c>
      <c r="M1196" s="9" t="s">
        <v>31</v>
      </c>
      <c r="N1196" s="9" t="s">
        <v>32</v>
      </c>
      <c r="O1196" s="12" t="s">
        <v>33</v>
      </c>
      <c r="P1196" s="12" t="s">
        <v>34</v>
      </c>
      <c r="Q1196" s="9"/>
      <c r="R1196" s="18"/>
      <c r="S1196" s="18"/>
      <c r="T1196" s="18"/>
      <c r="U1196" s="18"/>
      <c r="V1196" s="18"/>
      <c r="W1196" s="15"/>
      <c r="X1196" s="15"/>
    </row>
    <row r="1197">
      <c r="A1197" s="7">
        <v>1196.0</v>
      </c>
      <c r="B1197" s="8" t="s">
        <v>5225</v>
      </c>
      <c r="C1197" s="9" t="s">
        <v>5226</v>
      </c>
      <c r="D1197" s="10" t="str">
        <f>HYPERLINK("https://facebook.com/367089020688300_533905014006699", "367089020688300_533905014006699")</f>
        <v>367089020688300_533905014006699</v>
      </c>
      <c r="E1197" s="11">
        <v>674.0</v>
      </c>
      <c r="F1197" s="11">
        <v>12.0</v>
      </c>
      <c r="G1197" s="11">
        <v>253.0</v>
      </c>
      <c r="H1197" s="9" t="s">
        <v>26</v>
      </c>
      <c r="I1197" s="9" t="s">
        <v>5227</v>
      </c>
      <c r="J1197" s="9" t="s">
        <v>5228</v>
      </c>
      <c r="K1197" s="9" t="s">
        <v>363</v>
      </c>
      <c r="L1197" s="9" t="s">
        <v>30</v>
      </c>
      <c r="M1197" s="9" t="s">
        <v>31</v>
      </c>
      <c r="N1197" s="9" t="s">
        <v>32</v>
      </c>
      <c r="O1197" s="12" t="s">
        <v>33</v>
      </c>
      <c r="P1197" s="12" t="s">
        <v>34</v>
      </c>
      <c r="Q1197" s="9"/>
      <c r="R1197" s="18"/>
      <c r="S1197" s="18"/>
      <c r="T1197" s="18"/>
      <c r="U1197" s="18"/>
      <c r="V1197" s="18"/>
      <c r="W1197" s="15"/>
      <c r="X1197" s="15"/>
    </row>
    <row r="1198">
      <c r="A1198" s="7">
        <v>1197.0</v>
      </c>
      <c r="B1198" s="8" t="s">
        <v>5229</v>
      </c>
      <c r="C1198" s="9" t="s">
        <v>5230</v>
      </c>
      <c r="D1198" s="10" t="str">
        <f>HYPERLINK("https://facebook.com/367089020688300_551219372275263", "367089020688300_551219372275263")</f>
        <v>367089020688300_551219372275263</v>
      </c>
      <c r="E1198" s="11">
        <v>234.0</v>
      </c>
      <c r="F1198" s="11">
        <v>1.0</v>
      </c>
      <c r="G1198" s="11">
        <v>54.0</v>
      </c>
      <c r="H1198" s="9" t="s">
        <v>26</v>
      </c>
      <c r="I1198" s="9" t="s">
        <v>5231</v>
      </c>
      <c r="J1198" s="9" t="s">
        <v>5232</v>
      </c>
      <c r="K1198" s="9" t="s">
        <v>5233</v>
      </c>
      <c r="L1198" s="9" t="s">
        <v>30</v>
      </c>
      <c r="M1198" s="9" t="s">
        <v>31</v>
      </c>
      <c r="N1198" s="9" t="s">
        <v>32</v>
      </c>
      <c r="O1198" s="12" t="s">
        <v>33</v>
      </c>
      <c r="P1198" s="12" t="s">
        <v>34</v>
      </c>
      <c r="Q1198" s="9"/>
      <c r="R1198" s="18"/>
      <c r="S1198" s="18"/>
      <c r="T1198" s="18"/>
      <c r="U1198" s="18"/>
      <c r="V1198" s="18"/>
      <c r="W1198" s="15"/>
      <c r="X1198" s="15"/>
    </row>
    <row r="1199">
      <c r="A1199" s="7">
        <v>1198.0</v>
      </c>
      <c r="B1199" s="8" t="s">
        <v>5234</v>
      </c>
      <c r="C1199" s="9" t="s">
        <v>5235</v>
      </c>
      <c r="D1199" s="10" t="str">
        <f>HYPERLINK("https://facebook.com/367089020688300_502200813843786", "367089020688300_502200813843786")</f>
        <v>367089020688300_502200813843786</v>
      </c>
      <c r="E1199" s="11">
        <v>21.0</v>
      </c>
      <c r="F1199" s="11">
        <v>0.0</v>
      </c>
      <c r="G1199" s="11">
        <v>35.0</v>
      </c>
      <c r="H1199" s="9" t="s">
        <v>26</v>
      </c>
      <c r="I1199" s="9" t="s">
        <v>5236</v>
      </c>
      <c r="J1199" s="9" t="s">
        <v>5237</v>
      </c>
      <c r="K1199" s="9" t="s">
        <v>5238</v>
      </c>
      <c r="L1199" s="9" t="s">
        <v>30</v>
      </c>
      <c r="M1199" s="9" t="s">
        <v>31</v>
      </c>
      <c r="N1199" s="9" t="s">
        <v>32</v>
      </c>
      <c r="O1199" s="12" t="s">
        <v>33</v>
      </c>
      <c r="P1199" s="12" t="s">
        <v>34</v>
      </c>
      <c r="Q1199" s="9"/>
      <c r="R1199" s="18"/>
      <c r="S1199" s="18"/>
      <c r="T1199" s="18"/>
      <c r="U1199" s="18"/>
      <c r="V1199" s="18"/>
      <c r="W1199" s="15"/>
      <c r="X1199" s="15"/>
    </row>
    <row r="1200">
      <c r="A1200" s="7">
        <v>1199.0</v>
      </c>
      <c r="B1200" s="8" t="s">
        <v>5239</v>
      </c>
      <c r="C1200" s="9" t="s">
        <v>5240</v>
      </c>
      <c r="D1200" s="10" t="str">
        <f>HYPERLINK("https://facebook.com/367089020688300_396822064381662", "367089020688300_396822064381662")</f>
        <v>367089020688300_396822064381662</v>
      </c>
      <c r="E1200" s="11">
        <v>1159.0</v>
      </c>
      <c r="F1200" s="11">
        <v>31.0</v>
      </c>
      <c r="G1200" s="11">
        <v>603.0</v>
      </c>
      <c r="H1200" s="9" t="s">
        <v>26</v>
      </c>
      <c r="I1200" s="9" t="s">
        <v>2800</v>
      </c>
      <c r="J1200" s="9" t="s">
        <v>2801</v>
      </c>
      <c r="K1200" s="9" t="s">
        <v>5241</v>
      </c>
      <c r="L1200" s="9" t="s">
        <v>30</v>
      </c>
      <c r="M1200" s="9" t="s">
        <v>31</v>
      </c>
      <c r="N1200" s="9" t="s">
        <v>32</v>
      </c>
      <c r="O1200" s="12" t="s">
        <v>33</v>
      </c>
      <c r="P1200" s="12" t="s">
        <v>34</v>
      </c>
      <c r="Q1200" s="9"/>
      <c r="R1200" s="18"/>
      <c r="S1200" s="18"/>
      <c r="T1200" s="18"/>
      <c r="U1200" s="18"/>
      <c r="V1200" s="18"/>
      <c r="W1200" s="15"/>
      <c r="X1200" s="15"/>
    </row>
    <row r="1201">
      <c r="A1201" s="7">
        <v>1200.0</v>
      </c>
      <c r="B1201" s="8" t="s">
        <v>5242</v>
      </c>
      <c r="C1201" s="9" t="s">
        <v>5243</v>
      </c>
      <c r="D1201" s="10" t="str">
        <f>HYPERLINK("https://facebook.com/367089020688300_546308146099719", "367089020688300_546308146099719")</f>
        <v>367089020688300_546308146099719</v>
      </c>
      <c r="E1201" s="11">
        <v>101.0</v>
      </c>
      <c r="F1201" s="11">
        <v>1.0</v>
      </c>
      <c r="G1201" s="11">
        <v>79.0</v>
      </c>
      <c r="H1201" s="9" t="s">
        <v>26</v>
      </c>
      <c r="I1201" s="9" t="s">
        <v>5244</v>
      </c>
      <c r="J1201" s="9" t="s">
        <v>5245</v>
      </c>
      <c r="K1201" s="9" t="s">
        <v>5246</v>
      </c>
      <c r="L1201" s="9" t="s">
        <v>30</v>
      </c>
      <c r="M1201" s="9" t="s">
        <v>31</v>
      </c>
      <c r="N1201" s="9" t="s">
        <v>32</v>
      </c>
      <c r="O1201" s="12" t="s">
        <v>33</v>
      </c>
      <c r="P1201" s="12" t="s">
        <v>34</v>
      </c>
      <c r="Q1201" s="9"/>
      <c r="R1201" s="18"/>
      <c r="S1201" s="18"/>
      <c r="T1201" s="18"/>
      <c r="U1201" s="18"/>
      <c r="V1201" s="18"/>
      <c r="W1201" s="15"/>
      <c r="X1201" s="15"/>
    </row>
    <row r="1202">
      <c r="A1202" s="7">
        <v>1201.0</v>
      </c>
      <c r="B1202" s="8" t="s">
        <v>5247</v>
      </c>
      <c r="C1202" s="9" t="s">
        <v>5248</v>
      </c>
      <c r="D1202" s="10" t="str">
        <f>HYPERLINK("https://facebook.com/367089020688300_504890183574849", "367089020688300_504890183574849")</f>
        <v>367089020688300_504890183574849</v>
      </c>
      <c r="E1202" s="11">
        <v>193.0</v>
      </c>
      <c r="F1202" s="11">
        <v>11.0</v>
      </c>
      <c r="G1202" s="11">
        <v>240.0</v>
      </c>
      <c r="H1202" s="9" t="s">
        <v>26</v>
      </c>
      <c r="I1202" s="9" t="s">
        <v>1173</v>
      </c>
      <c r="J1202" s="9" t="s">
        <v>5249</v>
      </c>
      <c r="K1202" s="9" t="s">
        <v>5250</v>
      </c>
      <c r="L1202" s="9" t="s">
        <v>30</v>
      </c>
      <c r="M1202" s="9" t="s">
        <v>31</v>
      </c>
      <c r="N1202" s="9" t="s">
        <v>32</v>
      </c>
      <c r="O1202" s="12" t="s">
        <v>33</v>
      </c>
      <c r="P1202" s="12" t="s">
        <v>34</v>
      </c>
      <c r="Q1202" s="9"/>
      <c r="R1202" s="18"/>
      <c r="S1202" s="18"/>
      <c r="T1202" s="18"/>
      <c r="U1202" s="18"/>
      <c r="V1202" s="18"/>
      <c r="W1202" s="15"/>
      <c r="X1202" s="15"/>
    </row>
    <row r="1203">
      <c r="A1203" s="7">
        <v>1202.0</v>
      </c>
      <c r="B1203" s="8" t="s">
        <v>5251</v>
      </c>
      <c r="C1203" s="9" t="s">
        <v>5252</v>
      </c>
      <c r="D1203" s="10" t="str">
        <f>HYPERLINK("https://facebook.com/367089020688300_555286501868550", "367089020688300_555286501868550")</f>
        <v>367089020688300_555286501868550</v>
      </c>
      <c r="E1203" s="11">
        <v>40.0</v>
      </c>
      <c r="F1203" s="11">
        <v>0.0</v>
      </c>
      <c r="G1203" s="11">
        <v>50.0</v>
      </c>
      <c r="H1203" s="9" t="s">
        <v>26</v>
      </c>
      <c r="I1203" s="9" t="s">
        <v>5253</v>
      </c>
      <c r="J1203" s="16" t="s">
        <v>5254</v>
      </c>
      <c r="K1203" s="9"/>
      <c r="L1203" s="9" t="s">
        <v>30</v>
      </c>
      <c r="M1203" s="9" t="s">
        <v>31</v>
      </c>
      <c r="N1203" s="9" t="s">
        <v>32</v>
      </c>
      <c r="O1203" s="12" t="s">
        <v>33</v>
      </c>
      <c r="P1203" s="12" t="s">
        <v>34</v>
      </c>
      <c r="Q1203" s="9"/>
      <c r="R1203" s="18"/>
      <c r="S1203" s="18"/>
      <c r="T1203" s="18"/>
      <c r="U1203" s="18"/>
      <c r="V1203" s="18"/>
      <c r="W1203" s="15"/>
      <c r="X1203" s="15"/>
    </row>
    <row r="1204">
      <c r="A1204" s="7">
        <v>1203.0</v>
      </c>
      <c r="B1204" s="8" t="s">
        <v>5255</v>
      </c>
      <c r="C1204" s="9" t="s">
        <v>5256</v>
      </c>
      <c r="D1204" s="10" t="str">
        <f>HYPERLINK("https://facebook.com/367089020688300_503349517062249", "367089020688300_503349517062249")</f>
        <v>367089020688300_503349517062249</v>
      </c>
      <c r="E1204" s="11">
        <v>48.0</v>
      </c>
      <c r="F1204" s="11">
        <v>1.0</v>
      </c>
      <c r="G1204" s="11">
        <v>138.0</v>
      </c>
      <c r="H1204" s="9" t="s">
        <v>26</v>
      </c>
      <c r="I1204" s="9" t="s">
        <v>5257</v>
      </c>
      <c r="J1204" s="9" t="s">
        <v>5258</v>
      </c>
      <c r="K1204" s="9" t="s">
        <v>5259</v>
      </c>
      <c r="L1204" s="9" t="s">
        <v>30</v>
      </c>
      <c r="M1204" s="9" t="s">
        <v>31</v>
      </c>
      <c r="N1204" s="9" t="s">
        <v>32</v>
      </c>
      <c r="O1204" s="12" t="s">
        <v>33</v>
      </c>
      <c r="P1204" s="12" t="s">
        <v>34</v>
      </c>
      <c r="Q1204" s="9"/>
      <c r="R1204" s="18"/>
      <c r="S1204" s="18"/>
      <c r="T1204" s="18"/>
      <c r="U1204" s="18"/>
      <c r="V1204" s="18"/>
      <c r="W1204" s="15"/>
      <c r="X1204" s="15"/>
    </row>
    <row r="1205">
      <c r="A1205" s="7">
        <v>1204.0</v>
      </c>
      <c r="B1205" s="8" t="s">
        <v>5260</v>
      </c>
      <c r="C1205" s="9" t="s">
        <v>5261</v>
      </c>
      <c r="D1205" s="10" t="str">
        <f>HYPERLINK("https://facebook.com/367089020688300_545963939467473", "367089020688300_545963939467473")</f>
        <v>367089020688300_545963939467473</v>
      </c>
      <c r="E1205" s="11">
        <v>9.0</v>
      </c>
      <c r="F1205" s="11">
        <v>0.0</v>
      </c>
      <c r="G1205" s="11">
        <v>4.0</v>
      </c>
      <c r="H1205" s="9" t="s">
        <v>26</v>
      </c>
      <c r="I1205" s="9" t="s">
        <v>5262</v>
      </c>
      <c r="J1205" s="16" t="s">
        <v>5263</v>
      </c>
      <c r="K1205" s="9"/>
      <c r="L1205" s="9" t="s">
        <v>30</v>
      </c>
      <c r="M1205" s="9" t="s">
        <v>31</v>
      </c>
      <c r="N1205" s="9" t="s">
        <v>32</v>
      </c>
      <c r="O1205" s="12" t="s">
        <v>33</v>
      </c>
      <c r="P1205" s="12" t="s">
        <v>34</v>
      </c>
      <c r="Q1205" s="9"/>
      <c r="R1205" s="18"/>
      <c r="S1205" s="18"/>
      <c r="T1205" s="18"/>
      <c r="U1205" s="18"/>
      <c r="V1205" s="18"/>
      <c r="W1205" s="15"/>
      <c r="X1205" s="15"/>
    </row>
    <row r="1206">
      <c r="A1206" s="7">
        <v>1205.0</v>
      </c>
      <c r="B1206" s="8" t="s">
        <v>5264</v>
      </c>
      <c r="C1206" s="9" t="s">
        <v>5265</v>
      </c>
      <c r="D1206" s="10" t="str">
        <f>HYPERLINK("https://facebook.com/367089020688300_458874618176406", "367089020688300_458874618176406")</f>
        <v>367089020688300_458874618176406</v>
      </c>
      <c r="E1206" s="11">
        <v>239.0</v>
      </c>
      <c r="F1206" s="11">
        <v>7.0</v>
      </c>
      <c r="G1206" s="11">
        <v>391.0</v>
      </c>
      <c r="H1206" s="9" t="s">
        <v>26</v>
      </c>
      <c r="I1206" s="9" t="s">
        <v>5266</v>
      </c>
      <c r="J1206" s="9" t="s">
        <v>5267</v>
      </c>
      <c r="K1206" s="9" t="s">
        <v>1286</v>
      </c>
      <c r="L1206" s="9" t="s">
        <v>30</v>
      </c>
      <c r="M1206" s="9" t="s">
        <v>31</v>
      </c>
      <c r="N1206" s="9" t="s">
        <v>32</v>
      </c>
      <c r="O1206" s="12" t="s">
        <v>33</v>
      </c>
      <c r="P1206" s="12" t="s">
        <v>34</v>
      </c>
      <c r="Q1206" s="9"/>
      <c r="R1206" s="18"/>
      <c r="S1206" s="18"/>
      <c r="T1206" s="18"/>
      <c r="U1206" s="18"/>
      <c r="V1206" s="18"/>
      <c r="W1206" s="15"/>
      <c r="X1206" s="15"/>
    </row>
    <row r="1207">
      <c r="A1207" s="7">
        <v>1206.0</v>
      </c>
      <c r="B1207" s="8" t="s">
        <v>5268</v>
      </c>
      <c r="C1207" s="9" t="s">
        <v>5269</v>
      </c>
      <c r="D1207" s="10" t="str">
        <f>HYPERLINK("https://facebook.com/367089020688300_478068116257056", "367089020688300_478068116257056")</f>
        <v>367089020688300_478068116257056</v>
      </c>
      <c r="E1207" s="11">
        <v>2337.0</v>
      </c>
      <c r="F1207" s="11">
        <v>23.0</v>
      </c>
      <c r="G1207" s="11">
        <v>1103.0</v>
      </c>
      <c r="H1207" s="9" t="s">
        <v>26</v>
      </c>
      <c r="I1207" s="9" t="s">
        <v>5270</v>
      </c>
      <c r="J1207" s="9" t="s">
        <v>5271</v>
      </c>
      <c r="K1207" s="9" t="s">
        <v>5272</v>
      </c>
      <c r="L1207" s="9" t="s">
        <v>30</v>
      </c>
      <c r="M1207" s="9" t="s">
        <v>31</v>
      </c>
      <c r="N1207" s="9" t="s">
        <v>32</v>
      </c>
      <c r="O1207" s="12" t="s">
        <v>33</v>
      </c>
      <c r="P1207" s="12" t="s">
        <v>34</v>
      </c>
      <c r="Q1207" s="9"/>
      <c r="R1207" s="18"/>
      <c r="S1207" s="18"/>
      <c r="T1207" s="18"/>
      <c r="U1207" s="18"/>
      <c r="V1207" s="18"/>
      <c r="W1207" s="15"/>
      <c r="X1207" s="15"/>
    </row>
    <row r="1208">
      <c r="A1208" s="7">
        <v>1207.0</v>
      </c>
      <c r="B1208" s="8" t="s">
        <v>5273</v>
      </c>
      <c r="C1208" s="9" t="s">
        <v>5274</v>
      </c>
      <c r="D1208" s="10" t="str">
        <f>HYPERLINK("https://facebook.com/367089020688300_519626782101189", "367089020688300_519626782101189")</f>
        <v>367089020688300_519626782101189</v>
      </c>
      <c r="E1208" s="11">
        <v>1277.0</v>
      </c>
      <c r="F1208" s="11">
        <v>46.0</v>
      </c>
      <c r="G1208" s="11">
        <v>824.0</v>
      </c>
      <c r="H1208" s="9" t="s">
        <v>26</v>
      </c>
      <c r="I1208" s="9" t="s">
        <v>5275</v>
      </c>
      <c r="J1208" s="9" t="s">
        <v>5276</v>
      </c>
      <c r="K1208" s="9" t="s">
        <v>5277</v>
      </c>
      <c r="L1208" s="9" t="s">
        <v>30</v>
      </c>
      <c r="M1208" s="9" t="s">
        <v>31</v>
      </c>
      <c r="N1208" s="9" t="s">
        <v>32</v>
      </c>
      <c r="O1208" s="12" t="s">
        <v>33</v>
      </c>
      <c r="P1208" s="12" t="s">
        <v>34</v>
      </c>
      <c r="Q1208" s="9"/>
      <c r="R1208" s="18"/>
      <c r="S1208" s="18"/>
      <c r="T1208" s="18"/>
      <c r="U1208" s="18"/>
      <c r="V1208" s="18"/>
      <c r="W1208" s="15"/>
      <c r="X1208" s="15"/>
    </row>
    <row r="1209">
      <c r="A1209" s="7">
        <v>1208.0</v>
      </c>
      <c r="B1209" s="8" t="s">
        <v>5278</v>
      </c>
      <c r="C1209" s="9" t="s">
        <v>5279</v>
      </c>
      <c r="D1209" s="10" t="str">
        <f>HYPERLINK("https://facebook.com/367089020688300_400702770660258", "367089020688300_400702770660258")</f>
        <v>367089020688300_400702770660258</v>
      </c>
      <c r="E1209" s="11">
        <v>24.0</v>
      </c>
      <c r="F1209" s="11">
        <v>0.0</v>
      </c>
      <c r="G1209" s="11">
        <v>11.0</v>
      </c>
      <c r="H1209" s="9" t="s">
        <v>26</v>
      </c>
      <c r="I1209" s="9" t="s">
        <v>5280</v>
      </c>
      <c r="J1209" s="9" t="s">
        <v>5281</v>
      </c>
      <c r="K1209" s="9" t="s">
        <v>5282</v>
      </c>
      <c r="L1209" s="9" t="s">
        <v>30</v>
      </c>
      <c r="M1209" s="9" t="s">
        <v>31</v>
      </c>
      <c r="N1209" s="9" t="s">
        <v>32</v>
      </c>
      <c r="O1209" s="12" t="s">
        <v>33</v>
      </c>
      <c r="P1209" s="12" t="s">
        <v>34</v>
      </c>
      <c r="Q1209" s="9"/>
      <c r="R1209" s="18"/>
      <c r="S1209" s="18"/>
      <c r="T1209" s="18"/>
      <c r="U1209" s="18"/>
      <c r="V1209" s="18"/>
      <c r="W1209" s="15"/>
      <c r="X1209" s="15"/>
    </row>
    <row r="1210">
      <c r="A1210" s="7">
        <v>1209.0</v>
      </c>
      <c r="B1210" s="8" t="s">
        <v>5283</v>
      </c>
      <c r="C1210" s="9" t="s">
        <v>5284</v>
      </c>
      <c r="D1210" s="10" t="str">
        <f>HYPERLINK("https://facebook.com/367089020688300_556562155074318", "367089020688300_556562155074318")</f>
        <v>367089020688300_556562155074318</v>
      </c>
      <c r="E1210" s="11">
        <v>42.0</v>
      </c>
      <c r="F1210" s="11">
        <v>2.0</v>
      </c>
      <c r="G1210" s="11">
        <v>41.0</v>
      </c>
      <c r="H1210" s="9" t="s">
        <v>26</v>
      </c>
      <c r="I1210" s="9" t="s">
        <v>5285</v>
      </c>
      <c r="J1210" s="16" t="s">
        <v>5286</v>
      </c>
      <c r="K1210" s="9"/>
      <c r="L1210" s="9" t="s">
        <v>30</v>
      </c>
      <c r="M1210" s="9" t="s">
        <v>31</v>
      </c>
      <c r="N1210" s="9" t="s">
        <v>32</v>
      </c>
      <c r="O1210" s="12" t="s">
        <v>33</v>
      </c>
      <c r="P1210" s="12" t="s">
        <v>34</v>
      </c>
      <c r="Q1210" s="9"/>
      <c r="R1210" s="18"/>
      <c r="S1210" s="18"/>
      <c r="T1210" s="18"/>
      <c r="U1210" s="18"/>
      <c r="V1210" s="18"/>
      <c r="W1210" s="15"/>
      <c r="X1210" s="15"/>
    </row>
    <row r="1211">
      <c r="A1211" s="7">
        <v>1210.0</v>
      </c>
      <c r="B1211" s="8" t="s">
        <v>5287</v>
      </c>
      <c r="C1211" s="9" t="s">
        <v>5288</v>
      </c>
      <c r="D1211" s="10" t="str">
        <f>HYPERLINK("https://facebook.com/367089020688300_469429550454246", "367089020688300_469429550454246")</f>
        <v>367089020688300_469429550454246</v>
      </c>
      <c r="E1211" s="11">
        <v>483.0</v>
      </c>
      <c r="F1211" s="11">
        <v>35.0</v>
      </c>
      <c r="G1211" s="11">
        <v>626.0</v>
      </c>
      <c r="H1211" s="9" t="s">
        <v>26</v>
      </c>
      <c r="I1211" s="9" t="s">
        <v>5289</v>
      </c>
      <c r="J1211" s="9" t="s">
        <v>5290</v>
      </c>
      <c r="K1211" s="9" t="s">
        <v>5291</v>
      </c>
      <c r="L1211" s="9" t="s">
        <v>30</v>
      </c>
      <c r="M1211" s="9" t="s">
        <v>31</v>
      </c>
      <c r="N1211" s="9" t="s">
        <v>32</v>
      </c>
      <c r="O1211" s="12" t="s">
        <v>33</v>
      </c>
      <c r="P1211" s="12" t="s">
        <v>34</v>
      </c>
      <c r="Q1211" s="9"/>
      <c r="R1211" s="18"/>
      <c r="S1211" s="18"/>
      <c r="T1211" s="18"/>
      <c r="U1211" s="18"/>
      <c r="V1211" s="18"/>
      <c r="W1211" s="15"/>
      <c r="X1211" s="15"/>
    </row>
    <row r="1212">
      <c r="A1212" s="7">
        <v>1211.0</v>
      </c>
      <c r="B1212" s="8" t="s">
        <v>5292</v>
      </c>
      <c r="C1212" s="9" t="s">
        <v>5293</v>
      </c>
      <c r="D1212" s="10" t="str">
        <f>HYPERLINK("https://facebook.com/367089020688300_530041494393051", "367089020688300_530041494393051")</f>
        <v>367089020688300_530041494393051</v>
      </c>
      <c r="E1212" s="11">
        <v>57.0</v>
      </c>
      <c r="F1212" s="11">
        <v>0.0</v>
      </c>
      <c r="G1212" s="11">
        <v>65.0</v>
      </c>
      <c r="H1212" s="9" t="s">
        <v>26</v>
      </c>
      <c r="I1212" s="9" t="s">
        <v>5294</v>
      </c>
      <c r="J1212" s="9" t="s">
        <v>5295</v>
      </c>
      <c r="K1212" s="9" t="s">
        <v>5296</v>
      </c>
      <c r="L1212" s="9" t="s">
        <v>30</v>
      </c>
      <c r="M1212" s="9" t="s">
        <v>31</v>
      </c>
      <c r="N1212" s="9" t="s">
        <v>32</v>
      </c>
      <c r="O1212" s="12" t="s">
        <v>33</v>
      </c>
      <c r="P1212" s="12" t="s">
        <v>34</v>
      </c>
      <c r="Q1212" s="9"/>
      <c r="R1212" s="18"/>
      <c r="S1212" s="18"/>
      <c r="T1212" s="18"/>
      <c r="U1212" s="18"/>
      <c r="V1212" s="18"/>
      <c r="W1212" s="15"/>
      <c r="X1212" s="15"/>
    </row>
    <row r="1213">
      <c r="A1213" s="7">
        <v>1212.0</v>
      </c>
      <c r="B1213" s="8" t="s">
        <v>5297</v>
      </c>
      <c r="C1213" s="9" t="s">
        <v>5298</v>
      </c>
      <c r="D1213" s="10" t="str">
        <f>HYPERLINK("https://facebook.com/367089020688300_554056041991596", "367089020688300_554056041991596")</f>
        <v>367089020688300_554056041991596</v>
      </c>
      <c r="E1213" s="11">
        <v>36.0</v>
      </c>
      <c r="F1213" s="11">
        <v>0.0</v>
      </c>
      <c r="G1213" s="11">
        <v>8.0</v>
      </c>
      <c r="H1213" s="9" t="s">
        <v>26</v>
      </c>
      <c r="I1213" s="9" t="s">
        <v>5299</v>
      </c>
      <c r="J1213" s="9" t="s">
        <v>5300</v>
      </c>
      <c r="K1213" s="9" t="s">
        <v>214</v>
      </c>
      <c r="L1213" s="9" t="s">
        <v>30</v>
      </c>
      <c r="M1213" s="9" t="s">
        <v>31</v>
      </c>
      <c r="N1213" s="9" t="s">
        <v>32</v>
      </c>
      <c r="O1213" s="12" t="s">
        <v>33</v>
      </c>
      <c r="P1213" s="12" t="s">
        <v>34</v>
      </c>
      <c r="Q1213" s="9"/>
      <c r="R1213" s="18"/>
      <c r="S1213" s="18"/>
      <c r="T1213" s="18"/>
      <c r="U1213" s="18"/>
      <c r="V1213" s="18"/>
      <c r="W1213" s="15"/>
      <c r="X1213" s="15"/>
    </row>
    <row r="1214">
      <c r="A1214" s="7">
        <v>1213.0</v>
      </c>
      <c r="B1214" s="8" t="s">
        <v>5301</v>
      </c>
      <c r="C1214" s="9" t="s">
        <v>5302</v>
      </c>
      <c r="D1214" s="10" t="str">
        <f>HYPERLINK("https://facebook.com/367089020688300_493154354748432", "367089020688300_493154354748432")</f>
        <v>367089020688300_493154354748432</v>
      </c>
      <c r="E1214" s="11">
        <v>114.0</v>
      </c>
      <c r="F1214" s="11">
        <v>3.0</v>
      </c>
      <c r="G1214" s="11">
        <v>166.0</v>
      </c>
      <c r="H1214" s="9" t="s">
        <v>26</v>
      </c>
      <c r="I1214" s="9" t="s">
        <v>979</v>
      </c>
      <c r="J1214" s="16" t="s">
        <v>5303</v>
      </c>
      <c r="K1214" s="9"/>
      <c r="L1214" s="9" t="s">
        <v>30</v>
      </c>
      <c r="M1214" s="9" t="s">
        <v>31</v>
      </c>
      <c r="N1214" s="9" t="s">
        <v>32</v>
      </c>
      <c r="O1214" s="12" t="s">
        <v>33</v>
      </c>
      <c r="P1214" s="12" t="s">
        <v>34</v>
      </c>
      <c r="Q1214" s="9"/>
      <c r="R1214" s="18"/>
      <c r="S1214" s="18"/>
      <c r="T1214" s="18"/>
      <c r="U1214" s="18"/>
      <c r="V1214" s="18"/>
      <c r="W1214" s="15"/>
      <c r="X1214" s="15"/>
    </row>
    <row r="1215">
      <c r="A1215" s="7">
        <v>1214.0</v>
      </c>
      <c r="B1215" s="8" t="s">
        <v>5304</v>
      </c>
      <c r="C1215" s="9" t="s">
        <v>5305</v>
      </c>
      <c r="D1215" s="10" t="str">
        <f>HYPERLINK("https://facebook.com/367089020688300_546247392772461", "367089020688300_546247392772461")</f>
        <v>367089020688300_546247392772461</v>
      </c>
      <c r="E1215" s="11">
        <v>9.0</v>
      </c>
      <c r="F1215" s="11">
        <v>0.0</v>
      </c>
      <c r="G1215" s="11">
        <v>17.0</v>
      </c>
      <c r="H1215" s="9" t="s">
        <v>26</v>
      </c>
      <c r="I1215" s="9" t="s">
        <v>5306</v>
      </c>
      <c r="J1215" s="9" t="s">
        <v>5307</v>
      </c>
      <c r="K1215" s="9" t="s">
        <v>1355</v>
      </c>
      <c r="L1215" s="9" t="s">
        <v>30</v>
      </c>
      <c r="M1215" s="9" t="s">
        <v>31</v>
      </c>
      <c r="N1215" s="9" t="s">
        <v>32</v>
      </c>
      <c r="O1215" s="12" t="s">
        <v>33</v>
      </c>
      <c r="P1215" s="12" t="s">
        <v>34</v>
      </c>
      <c r="Q1215" s="9"/>
      <c r="R1215" s="18"/>
      <c r="S1215" s="18"/>
      <c r="T1215" s="18"/>
      <c r="U1215" s="18"/>
      <c r="V1215" s="18"/>
      <c r="W1215" s="15"/>
      <c r="X1215" s="15"/>
    </row>
    <row r="1216">
      <c r="A1216" s="7">
        <v>1215.0</v>
      </c>
      <c r="B1216" s="8" t="s">
        <v>5308</v>
      </c>
      <c r="C1216" s="9" t="s">
        <v>5309</v>
      </c>
      <c r="D1216" s="10" t="str">
        <f>HYPERLINK("https://facebook.com/367089020688300_505878856809315", "367089020688300_505878856809315")</f>
        <v>367089020688300_505878856809315</v>
      </c>
      <c r="E1216" s="11">
        <v>13.0</v>
      </c>
      <c r="F1216" s="11">
        <v>0.0</v>
      </c>
      <c r="G1216" s="11">
        <v>40.0</v>
      </c>
      <c r="H1216" s="9" t="s">
        <v>26</v>
      </c>
      <c r="I1216" s="9" t="s">
        <v>5310</v>
      </c>
      <c r="J1216" s="16" t="s">
        <v>5311</v>
      </c>
      <c r="K1216" s="9"/>
      <c r="L1216" s="9" t="s">
        <v>30</v>
      </c>
      <c r="M1216" s="9" t="s">
        <v>31</v>
      </c>
      <c r="N1216" s="9" t="s">
        <v>32</v>
      </c>
      <c r="O1216" s="12" t="s">
        <v>33</v>
      </c>
      <c r="P1216" s="12" t="s">
        <v>34</v>
      </c>
      <c r="Q1216" s="9"/>
      <c r="R1216" s="18"/>
      <c r="S1216" s="18"/>
      <c r="T1216" s="18"/>
      <c r="U1216" s="18"/>
      <c r="V1216" s="18"/>
      <c r="W1216" s="15"/>
      <c r="X1216" s="15"/>
    </row>
    <row r="1217">
      <c r="A1217" s="7">
        <v>1216.0</v>
      </c>
      <c r="B1217" s="8" t="s">
        <v>5312</v>
      </c>
      <c r="C1217" s="9" t="s">
        <v>5313</v>
      </c>
      <c r="D1217" s="10" t="str">
        <f>HYPERLINK("https://facebook.com/367089020688300_557860014944532", "367089020688300_557860014944532")</f>
        <v>367089020688300_557860014944532</v>
      </c>
      <c r="E1217" s="11">
        <v>309.0</v>
      </c>
      <c r="F1217" s="11">
        <v>14.0</v>
      </c>
      <c r="G1217" s="11">
        <v>255.0</v>
      </c>
      <c r="H1217" s="9" t="s">
        <v>26</v>
      </c>
      <c r="I1217" s="9" t="s">
        <v>5314</v>
      </c>
      <c r="J1217" s="16" t="s">
        <v>5315</v>
      </c>
      <c r="K1217" s="9"/>
      <c r="L1217" s="9" t="s">
        <v>30</v>
      </c>
      <c r="M1217" s="9" t="s">
        <v>31</v>
      </c>
      <c r="N1217" s="9" t="s">
        <v>32</v>
      </c>
      <c r="O1217" s="12" t="s">
        <v>33</v>
      </c>
      <c r="P1217" s="12" t="s">
        <v>34</v>
      </c>
      <c r="Q1217" s="9"/>
      <c r="R1217" s="18"/>
      <c r="S1217" s="18"/>
      <c r="T1217" s="18"/>
      <c r="U1217" s="18"/>
      <c r="V1217" s="18"/>
      <c r="W1217" s="15"/>
      <c r="X1217" s="15"/>
    </row>
    <row r="1218">
      <c r="A1218" s="7">
        <v>1217.0</v>
      </c>
      <c r="B1218" s="8" t="s">
        <v>5316</v>
      </c>
      <c r="C1218" s="9" t="s">
        <v>5317</v>
      </c>
      <c r="D1218" s="10" t="str">
        <f>HYPERLINK("https://facebook.com/367089020688300_561266451270555", "367089020688300_561266451270555")</f>
        <v>367089020688300_561266451270555</v>
      </c>
      <c r="E1218" s="11">
        <v>69.0</v>
      </c>
      <c r="F1218" s="11">
        <v>1.0</v>
      </c>
      <c r="G1218" s="11">
        <v>238.0</v>
      </c>
      <c r="H1218" s="9" t="s">
        <v>26</v>
      </c>
      <c r="I1218" s="9" t="s">
        <v>5318</v>
      </c>
      <c r="J1218" s="9" t="s">
        <v>5319</v>
      </c>
      <c r="K1218" s="9" t="s">
        <v>5320</v>
      </c>
      <c r="L1218" s="9" t="s">
        <v>30</v>
      </c>
      <c r="M1218" s="9" t="s">
        <v>31</v>
      </c>
      <c r="N1218" s="9" t="s">
        <v>32</v>
      </c>
      <c r="O1218" s="12" t="s">
        <v>33</v>
      </c>
      <c r="P1218" s="12" t="s">
        <v>34</v>
      </c>
      <c r="Q1218" s="9"/>
      <c r="R1218" s="18"/>
      <c r="S1218" s="18"/>
      <c r="T1218" s="18"/>
      <c r="U1218" s="18"/>
      <c r="V1218" s="18"/>
      <c r="W1218" s="15"/>
      <c r="X1218" s="15"/>
    </row>
    <row r="1219">
      <c r="A1219" s="7">
        <v>1218.0</v>
      </c>
      <c r="B1219" s="8" t="s">
        <v>5321</v>
      </c>
      <c r="C1219" s="9" t="s">
        <v>5322</v>
      </c>
      <c r="D1219" s="10" t="str">
        <f>HYPERLINK("https://facebook.com/367089020688300_451913808872487", "367089020688300_451913808872487")</f>
        <v>367089020688300_451913808872487</v>
      </c>
      <c r="E1219" s="11">
        <v>160.0</v>
      </c>
      <c r="F1219" s="11">
        <v>2.0</v>
      </c>
      <c r="G1219" s="11">
        <v>131.0</v>
      </c>
      <c r="H1219" s="9" t="s">
        <v>26</v>
      </c>
      <c r="I1219" s="9" t="s">
        <v>5323</v>
      </c>
      <c r="J1219" s="9" t="s">
        <v>5324</v>
      </c>
      <c r="K1219" s="9" t="s">
        <v>219</v>
      </c>
      <c r="L1219" s="9" t="s">
        <v>30</v>
      </c>
      <c r="M1219" s="9" t="s">
        <v>31</v>
      </c>
      <c r="N1219" s="9" t="s">
        <v>32</v>
      </c>
      <c r="O1219" s="12" t="s">
        <v>33</v>
      </c>
      <c r="P1219" s="12" t="s">
        <v>34</v>
      </c>
      <c r="Q1219" s="9"/>
      <c r="R1219" s="18"/>
      <c r="S1219" s="18"/>
      <c r="T1219" s="18"/>
      <c r="U1219" s="18"/>
      <c r="V1219" s="18"/>
      <c r="W1219" s="15"/>
      <c r="X1219" s="15"/>
    </row>
    <row r="1220">
      <c r="A1220" s="7">
        <v>1219.0</v>
      </c>
      <c r="B1220" s="8" t="s">
        <v>5325</v>
      </c>
      <c r="C1220" s="9" t="s">
        <v>5326</v>
      </c>
      <c r="D1220" s="10" t="str">
        <f>HYPERLINK("https://facebook.com/367089020688300_508739703189897", "367089020688300_508739703189897")</f>
        <v>367089020688300_508739703189897</v>
      </c>
      <c r="E1220" s="11">
        <v>1059.0</v>
      </c>
      <c r="F1220" s="11">
        <v>67.0</v>
      </c>
      <c r="G1220" s="11">
        <v>1098.0</v>
      </c>
      <c r="H1220" s="9" t="s">
        <v>26</v>
      </c>
      <c r="I1220" s="9" t="s">
        <v>1697</v>
      </c>
      <c r="J1220" s="9" t="s">
        <v>5327</v>
      </c>
      <c r="K1220" s="9" t="s">
        <v>5328</v>
      </c>
      <c r="L1220" s="9" t="s">
        <v>30</v>
      </c>
      <c r="M1220" s="9" t="s">
        <v>31</v>
      </c>
      <c r="N1220" s="9" t="s">
        <v>32</v>
      </c>
      <c r="O1220" s="12" t="s">
        <v>33</v>
      </c>
      <c r="P1220" s="12" t="s">
        <v>34</v>
      </c>
      <c r="Q1220" s="9"/>
      <c r="R1220" s="18"/>
      <c r="S1220" s="18"/>
      <c r="T1220" s="18"/>
      <c r="U1220" s="18"/>
      <c r="V1220" s="18"/>
      <c r="W1220" s="15"/>
      <c r="X1220" s="15"/>
    </row>
    <row r="1221">
      <c r="A1221" s="7">
        <v>1220.0</v>
      </c>
      <c r="B1221" s="8" t="s">
        <v>5329</v>
      </c>
      <c r="C1221" s="9" t="s">
        <v>5330</v>
      </c>
      <c r="D1221" s="10" t="str">
        <f>HYPERLINK("https://facebook.com/367089020688300_553042518759615", "367089020688300_553042518759615")</f>
        <v>367089020688300_553042518759615</v>
      </c>
      <c r="E1221" s="11">
        <v>408.0</v>
      </c>
      <c r="F1221" s="11">
        <v>1.0</v>
      </c>
      <c r="G1221" s="11">
        <v>110.0</v>
      </c>
      <c r="H1221" s="9" t="s">
        <v>26</v>
      </c>
      <c r="I1221" s="9" t="s">
        <v>5331</v>
      </c>
      <c r="J1221" s="16" t="s">
        <v>5332</v>
      </c>
      <c r="K1221" s="9"/>
      <c r="L1221" s="9" t="s">
        <v>30</v>
      </c>
      <c r="M1221" s="9" t="s">
        <v>31</v>
      </c>
      <c r="N1221" s="9" t="s">
        <v>32</v>
      </c>
      <c r="O1221" s="12" t="s">
        <v>33</v>
      </c>
      <c r="P1221" s="12" t="s">
        <v>34</v>
      </c>
      <c r="Q1221" s="9"/>
      <c r="R1221" s="18"/>
      <c r="S1221" s="18"/>
      <c r="T1221" s="18"/>
      <c r="U1221" s="18"/>
      <c r="V1221" s="18"/>
      <c r="W1221" s="15"/>
      <c r="X1221" s="15"/>
    </row>
    <row r="1222">
      <c r="A1222" s="7">
        <v>1221.0</v>
      </c>
      <c r="B1222" s="8" t="s">
        <v>5333</v>
      </c>
      <c r="C1222" s="9" t="s">
        <v>5334</v>
      </c>
      <c r="D1222" s="10" t="str">
        <f>HYPERLINK("https://facebook.com/367089020688300_558386454891888", "367089020688300_558386454891888")</f>
        <v>367089020688300_558386454891888</v>
      </c>
      <c r="E1222" s="11">
        <v>22.0</v>
      </c>
      <c r="F1222" s="11">
        <v>0.0</v>
      </c>
      <c r="G1222" s="11">
        <v>23.0</v>
      </c>
      <c r="H1222" s="9" t="s">
        <v>26</v>
      </c>
      <c r="I1222" s="9" t="s">
        <v>5335</v>
      </c>
      <c r="J1222" s="16" t="s">
        <v>5336</v>
      </c>
      <c r="K1222" s="9"/>
      <c r="L1222" s="9" t="s">
        <v>30</v>
      </c>
      <c r="M1222" s="9" t="s">
        <v>31</v>
      </c>
      <c r="N1222" s="9" t="s">
        <v>32</v>
      </c>
      <c r="O1222" s="12" t="s">
        <v>33</v>
      </c>
      <c r="P1222" s="12" t="s">
        <v>34</v>
      </c>
      <c r="Q1222" s="9"/>
      <c r="R1222" s="18"/>
      <c r="S1222" s="18"/>
      <c r="T1222" s="18"/>
      <c r="U1222" s="18"/>
      <c r="V1222" s="18"/>
      <c r="W1222" s="15"/>
      <c r="X1222" s="15"/>
    </row>
    <row r="1223">
      <c r="A1223" s="7">
        <v>1222.0</v>
      </c>
      <c r="B1223" s="8" t="s">
        <v>5337</v>
      </c>
      <c r="C1223" s="9" t="s">
        <v>5338</v>
      </c>
      <c r="D1223" s="10" t="str">
        <f>HYPERLINK("https://facebook.com/367089020688300_396984091032126", "367089020688300_396984091032126")</f>
        <v>367089020688300_396984091032126</v>
      </c>
      <c r="E1223" s="11">
        <v>125.0</v>
      </c>
      <c r="F1223" s="11">
        <v>3.0</v>
      </c>
      <c r="G1223" s="11">
        <v>116.0</v>
      </c>
      <c r="H1223" s="9" t="s">
        <v>26</v>
      </c>
      <c r="I1223" s="9" t="s">
        <v>5339</v>
      </c>
      <c r="J1223" s="9" t="s">
        <v>5340</v>
      </c>
      <c r="K1223" s="9" t="s">
        <v>219</v>
      </c>
      <c r="L1223" s="9" t="s">
        <v>30</v>
      </c>
      <c r="M1223" s="9" t="s">
        <v>31</v>
      </c>
      <c r="N1223" s="9" t="s">
        <v>32</v>
      </c>
      <c r="O1223" s="12" t="s">
        <v>33</v>
      </c>
      <c r="P1223" s="12" t="s">
        <v>34</v>
      </c>
      <c r="Q1223" s="9"/>
      <c r="R1223" s="18"/>
      <c r="S1223" s="18"/>
      <c r="T1223" s="18"/>
      <c r="U1223" s="18"/>
      <c r="V1223" s="18"/>
      <c r="W1223" s="15"/>
      <c r="X1223" s="15"/>
    </row>
    <row r="1224">
      <c r="A1224" s="7">
        <v>1223.0</v>
      </c>
      <c r="B1224" s="8" t="s">
        <v>5341</v>
      </c>
      <c r="C1224" s="9" t="s">
        <v>5342</v>
      </c>
      <c r="D1224" s="10" t="str">
        <f>HYPERLINK("https://facebook.com/367089020688300_497880374275830", "367089020688300_497880374275830")</f>
        <v>367089020688300_497880374275830</v>
      </c>
      <c r="E1224" s="11">
        <v>84.0</v>
      </c>
      <c r="F1224" s="11">
        <v>1.0</v>
      </c>
      <c r="G1224" s="11">
        <v>111.0</v>
      </c>
      <c r="H1224" s="9" t="s">
        <v>26</v>
      </c>
      <c r="I1224" s="9" t="s">
        <v>5343</v>
      </c>
      <c r="J1224" s="9" t="s">
        <v>5344</v>
      </c>
      <c r="K1224" s="9" t="s">
        <v>249</v>
      </c>
      <c r="L1224" s="9" t="s">
        <v>30</v>
      </c>
      <c r="M1224" s="9" t="s">
        <v>31</v>
      </c>
      <c r="N1224" s="9" t="s">
        <v>32</v>
      </c>
      <c r="O1224" s="12" t="s">
        <v>33</v>
      </c>
      <c r="P1224" s="12" t="s">
        <v>34</v>
      </c>
      <c r="Q1224" s="9"/>
      <c r="R1224" s="18"/>
      <c r="S1224" s="18"/>
      <c r="T1224" s="18"/>
      <c r="U1224" s="18"/>
      <c r="V1224" s="18"/>
      <c r="W1224" s="15"/>
      <c r="X1224" s="15"/>
    </row>
    <row r="1225">
      <c r="A1225" s="7">
        <v>1224.0</v>
      </c>
      <c r="B1225" s="8" t="s">
        <v>5345</v>
      </c>
      <c r="C1225" s="9" t="s">
        <v>5346</v>
      </c>
      <c r="D1225" s="10" t="str">
        <f>HYPERLINK("https://facebook.com/367089020688300_563299297733937", "367089020688300_563299297733937")</f>
        <v>367089020688300_563299297733937</v>
      </c>
      <c r="E1225" s="11">
        <v>77.0</v>
      </c>
      <c r="F1225" s="11">
        <v>3.0</v>
      </c>
      <c r="G1225" s="11">
        <v>67.0</v>
      </c>
      <c r="H1225" s="9" t="s">
        <v>26</v>
      </c>
      <c r="I1225" s="9" t="s">
        <v>5347</v>
      </c>
      <c r="J1225" s="9" t="s">
        <v>5348</v>
      </c>
      <c r="K1225" s="9" t="s">
        <v>5349</v>
      </c>
      <c r="L1225" s="9" t="s">
        <v>30</v>
      </c>
      <c r="M1225" s="9" t="s">
        <v>31</v>
      </c>
      <c r="N1225" s="9" t="s">
        <v>32</v>
      </c>
      <c r="O1225" s="12" t="s">
        <v>33</v>
      </c>
      <c r="P1225" s="12" t="s">
        <v>34</v>
      </c>
      <c r="Q1225" s="9"/>
      <c r="R1225" s="18"/>
      <c r="S1225" s="18"/>
      <c r="T1225" s="18"/>
      <c r="U1225" s="18"/>
      <c r="V1225" s="18"/>
      <c r="W1225" s="15"/>
      <c r="X1225" s="15"/>
    </row>
    <row r="1226">
      <c r="A1226" s="7">
        <v>1225.0</v>
      </c>
      <c r="B1226" s="8" t="s">
        <v>5350</v>
      </c>
      <c r="C1226" s="9" t="s">
        <v>5351</v>
      </c>
      <c r="D1226" s="10" t="str">
        <f>HYPERLINK("https://facebook.com/367089020688300_526887911375076", "367089020688300_526887911375076")</f>
        <v>367089020688300_526887911375076</v>
      </c>
      <c r="E1226" s="11">
        <v>507.0</v>
      </c>
      <c r="F1226" s="11">
        <v>10.0</v>
      </c>
      <c r="G1226" s="11">
        <v>469.0</v>
      </c>
      <c r="H1226" s="9" t="s">
        <v>26</v>
      </c>
      <c r="I1226" s="9" t="s">
        <v>5352</v>
      </c>
      <c r="J1226" s="16" t="s">
        <v>5353</v>
      </c>
      <c r="K1226" s="9"/>
      <c r="L1226" s="9" t="s">
        <v>30</v>
      </c>
      <c r="M1226" s="9" t="s">
        <v>31</v>
      </c>
      <c r="N1226" s="9" t="s">
        <v>32</v>
      </c>
      <c r="O1226" s="12" t="s">
        <v>33</v>
      </c>
      <c r="P1226" s="12" t="s">
        <v>34</v>
      </c>
      <c r="Q1226" s="9"/>
      <c r="R1226" s="18"/>
      <c r="S1226" s="18"/>
      <c r="T1226" s="18"/>
      <c r="U1226" s="18"/>
      <c r="V1226" s="18"/>
      <c r="W1226" s="15"/>
      <c r="X1226" s="15"/>
    </row>
    <row r="1227">
      <c r="A1227" s="7">
        <v>1226.0</v>
      </c>
      <c r="B1227" s="8" t="s">
        <v>5354</v>
      </c>
      <c r="C1227" s="9" t="s">
        <v>5355</v>
      </c>
      <c r="D1227" s="10" t="str">
        <f>HYPERLINK("https://facebook.com/367089020688300_512326246164576", "367089020688300_512326246164576")</f>
        <v>367089020688300_512326246164576</v>
      </c>
      <c r="E1227" s="11">
        <v>178.0</v>
      </c>
      <c r="F1227" s="11">
        <v>3.0</v>
      </c>
      <c r="G1227" s="11">
        <v>154.0</v>
      </c>
      <c r="H1227" s="9" t="s">
        <v>26</v>
      </c>
      <c r="I1227" s="9" t="s">
        <v>1501</v>
      </c>
      <c r="J1227" s="9" t="s">
        <v>1502</v>
      </c>
      <c r="K1227" s="9" t="s">
        <v>5356</v>
      </c>
      <c r="L1227" s="9" t="s">
        <v>30</v>
      </c>
      <c r="M1227" s="9" t="s">
        <v>31</v>
      </c>
      <c r="N1227" s="9" t="s">
        <v>32</v>
      </c>
      <c r="O1227" s="12" t="s">
        <v>33</v>
      </c>
      <c r="P1227" s="12" t="s">
        <v>34</v>
      </c>
      <c r="Q1227" s="9"/>
      <c r="R1227" s="18"/>
      <c r="S1227" s="18"/>
      <c r="T1227" s="18"/>
      <c r="U1227" s="18"/>
      <c r="V1227" s="18"/>
      <c r="W1227" s="15"/>
      <c r="X1227" s="15"/>
    </row>
    <row r="1228">
      <c r="A1228" s="7">
        <v>1227.0</v>
      </c>
      <c r="B1228" s="8" t="s">
        <v>5357</v>
      </c>
      <c r="C1228" s="9" t="s">
        <v>5358</v>
      </c>
      <c r="D1228" s="10" t="str">
        <f>HYPERLINK("https://facebook.com/367089020688300_556894878374379", "367089020688300_556894878374379")</f>
        <v>367089020688300_556894878374379</v>
      </c>
      <c r="E1228" s="11">
        <v>241.0</v>
      </c>
      <c r="F1228" s="11">
        <v>4.0</v>
      </c>
      <c r="G1228" s="11">
        <v>143.0</v>
      </c>
      <c r="H1228" s="9" t="s">
        <v>26</v>
      </c>
      <c r="I1228" s="9" t="s">
        <v>5359</v>
      </c>
      <c r="J1228" s="9" t="s">
        <v>5360</v>
      </c>
      <c r="K1228" s="9" t="s">
        <v>5361</v>
      </c>
      <c r="L1228" s="9" t="s">
        <v>30</v>
      </c>
      <c r="M1228" s="9" t="s">
        <v>31</v>
      </c>
      <c r="N1228" s="9" t="s">
        <v>32</v>
      </c>
      <c r="O1228" s="12" t="s">
        <v>33</v>
      </c>
      <c r="P1228" s="12" t="s">
        <v>34</v>
      </c>
      <c r="Q1228" s="9"/>
      <c r="R1228" s="18"/>
      <c r="S1228" s="18"/>
      <c r="T1228" s="18"/>
      <c r="U1228" s="18"/>
      <c r="V1228" s="18"/>
      <c r="W1228" s="15"/>
      <c r="X1228" s="15"/>
    </row>
    <row r="1229">
      <c r="A1229" s="7">
        <v>1228.0</v>
      </c>
      <c r="B1229" s="8" t="s">
        <v>5362</v>
      </c>
      <c r="C1229" s="9" t="s">
        <v>5363</v>
      </c>
      <c r="D1229" s="10" t="str">
        <f>HYPERLINK("https://facebook.com/367089020688300_491961274867740", "367089020688300_491961274867740")</f>
        <v>367089020688300_491961274867740</v>
      </c>
      <c r="E1229" s="11">
        <v>474.0</v>
      </c>
      <c r="F1229" s="11">
        <v>5.0</v>
      </c>
      <c r="G1229" s="11">
        <v>558.0</v>
      </c>
      <c r="H1229" s="9" t="s">
        <v>26</v>
      </c>
      <c r="I1229" s="9" t="s">
        <v>5364</v>
      </c>
      <c r="J1229" s="9" t="s">
        <v>5365</v>
      </c>
      <c r="K1229" s="9" t="s">
        <v>5366</v>
      </c>
      <c r="L1229" s="9" t="s">
        <v>30</v>
      </c>
      <c r="M1229" s="9" t="s">
        <v>31</v>
      </c>
      <c r="N1229" s="9" t="s">
        <v>32</v>
      </c>
      <c r="O1229" s="12" t="s">
        <v>33</v>
      </c>
      <c r="P1229" s="12" t="s">
        <v>34</v>
      </c>
      <c r="Q1229" s="9"/>
      <c r="R1229" s="18"/>
      <c r="S1229" s="18"/>
      <c r="T1229" s="18"/>
      <c r="U1229" s="18"/>
      <c r="V1229" s="18"/>
      <c r="W1229" s="15"/>
      <c r="X1229" s="15"/>
    </row>
    <row r="1230">
      <c r="A1230" s="7">
        <v>1229.0</v>
      </c>
      <c r="B1230" s="8" t="s">
        <v>5367</v>
      </c>
      <c r="C1230" s="9" t="s">
        <v>5368</v>
      </c>
      <c r="D1230" s="10" t="str">
        <f>HYPERLINK("https://facebook.com/367089020688300_468288483901686", "367089020688300_468288483901686")</f>
        <v>367089020688300_468288483901686</v>
      </c>
      <c r="E1230" s="11">
        <v>586.0</v>
      </c>
      <c r="F1230" s="11">
        <v>6.0</v>
      </c>
      <c r="G1230" s="11">
        <v>373.0</v>
      </c>
      <c r="H1230" s="9" t="s">
        <v>26</v>
      </c>
      <c r="I1230" s="9" t="s">
        <v>5369</v>
      </c>
      <c r="J1230" s="9" t="s">
        <v>5370</v>
      </c>
      <c r="K1230" s="9" t="s">
        <v>5371</v>
      </c>
      <c r="L1230" s="9" t="s">
        <v>30</v>
      </c>
      <c r="M1230" s="9" t="s">
        <v>31</v>
      </c>
      <c r="N1230" s="9" t="s">
        <v>32</v>
      </c>
      <c r="O1230" s="12" t="s">
        <v>33</v>
      </c>
      <c r="P1230" s="12" t="s">
        <v>34</v>
      </c>
      <c r="Q1230" s="9"/>
      <c r="R1230" s="18"/>
      <c r="S1230" s="18"/>
      <c r="T1230" s="18"/>
      <c r="U1230" s="18"/>
      <c r="V1230" s="18"/>
      <c r="W1230" s="15"/>
      <c r="X1230" s="15"/>
    </row>
    <row r="1231">
      <c r="A1231" s="7">
        <v>1230.0</v>
      </c>
      <c r="B1231" s="8" t="s">
        <v>5372</v>
      </c>
      <c r="C1231" s="9" t="s">
        <v>5373</v>
      </c>
      <c r="D1231" s="10" t="str">
        <f>HYPERLINK("https://facebook.com/367089020688300_537061573691043", "367089020688300_537061573691043")</f>
        <v>367089020688300_537061573691043</v>
      </c>
      <c r="E1231" s="11">
        <v>17.0</v>
      </c>
      <c r="F1231" s="11">
        <v>1.0</v>
      </c>
      <c r="G1231" s="11">
        <v>7.0</v>
      </c>
      <c r="H1231" s="9" t="s">
        <v>26</v>
      </c>
      <c r="I1231" s="9" t="s">
        <v>1441</v>
      </c>
      <c r="J1231" s="16" t="s">
        <v>1442</v>
      </c>
      <c r="K1231" s="9"/>
      <c r="L1231" s="9" t="s">
        <v>30</v>
      </c>
      <c r="M1231" s="9" t="s">
        <v>31</v>
      </c>
      <c r="N1231" s="9" t="s">
        <v>32</v>
      </c>
      <c r="O1231" s="12" t="s">
        <v>33</v>
      </c>
      <c r="P1231" s="12" t="s">
        <v>34</v>
      </c>
      <c r="Q1231" s="9"/>
      <c r="R1231" s="18"/>
      <c r="S1231" s="18"/>
      <c r="T1231" s="18"/>
      <c r="U1231" s="18"/>
      <c r="V1231" s="18"/>
      <c r="W1231" s="15"/>
      <c r="X1231" s="15"/>
    </row>
    <row r="1232">
      <c r="A1232" s="7">
        <v>1231.0</v>
      </c>
      <c r="B1232" s="8" t="s">
        <v>5374</v>
      </c>
      <c r="C1232" s="9" t="s">
        <v>5375</v>
      </c>
      <c r="D1232" s="10" t="str">
        <f>HYPERLINK("https://facebook.com/367089020688300_508956749834859", "367089020688300_508956749834859")</f>
        <v>367089020688300_508956749834859</v>
      </c>
      <c r="E1232" s="11">
        <v>1286.0</v>
      </c>
      <c r="F1232" s="11">
        <v>34.0</v>
      </c>
      <c r="G1232" s="11">
        <v>298.0</v>
      </c>
      <c r="H1232" s="9" t="s">
        <v>26</v>
      </c>
      <c r="I1232" s="9" t="s">
        <v>5376</v>
      </c>
      <c r="J1232" s="9" t="s">
        <v>5377</v>
      </c>
      <c r="K1232" s="9" t="s">
        <v>5378</v>
      </c>
      <c r="L1232" s="9" t="s">
        <v>30</v>
      </c>
      <c r="M1232" s="9" t="s">
        <v>31</v>
      </c>
      <c r="N1232" s="9" t="s">
        <v>32</v>
      </c>
      <c r="O1232" s="12" t="s">
        <v>33</v>
      </c>
      <c r="P1232" s="12" t="s">
        <v>34</v>
      </c>
      <c r="Q1232" s="9"/>
      <c r="R1232" s="18"/>
      <c r="S1232" s="18"/>
      <c r="T1232" s="18"/>
      <c r="U1232" s="18"/>
      <c r="V1232" s="18"/>
      <c r="W1232" s="15"/>
      <c r="X1232" s="15"/>
    </row>
    <row r="1233">
      <c r="A1233" s="7">
        <v>1232.0</v>
      </c>
      <c r="B1233" s="8" t="s">
        <v>5379</v>
      </c>
      <c r="C1233" s="9" t="s">
        <v>5380</v>
      </c>
      <c r="D1233" s="10" t="str">
        <f>HYPERLINK("https://facebook.com/367089020688300_399167997480402", "367089020688300_399167997480402")</f>
        <v>367089020688300_399167997480402</v>
      </c>
      <c r="E1233" s="11">
        <v>89.0</v>
      </c>
      <c r="F1233" s="11">
        <v>1.0</v>
      </c>
      <c r="G1233" s="11">
        <v>24.0</v>
      </c>
      <c r="H1233" s="9" t="s">
        <v>26</v>
      </c>
      <c r="I1233" s="9" t="s">
        <v>4246</v>
      </c>
      <c r="J1233" s="9" t="s">
        <v>5381</v>
      </c>
      <c r="K1233" s="9" t="s">
        <v>5382</v>
      </c>
      <c r="L1233" s="9" t="s">
        <v>30</v>
      </c>
      <c r="M1233" s="9" t="s">
        <v>31</v>
      </c>
      <c r="N1233" s="9" t="s">
        <v>32</v>
      </c>
      <c r="O1233" s="12" t="s">
        <v>33</v>
      </c>
      <c r="P1233" s="12" t="s">
        <v>34</v>
      </c>
      <c r="Q1233" s="9"/>
      <c r="R1233" s="18"/>
      <c r="S1233" s="18"/>
      <c r="T1233" s="18"/>
      <c r="U1233" s="18"/>
      <c r="V1233" s="18"/>
      <c r="W1233" s="15"/>
      <c r="X1233" s="15"/>
    </row>
    <row r="1234">
      <c r="A1234" s="7">
        <v>1233.0</v>
      </c>
      <c r="B1234" s="8" t="s">
        <v>5383</v>
      </c>
      <c r="C1234" s="9" t="s">
        <v>5384</v>
      </c>
      <c r="D1234" s="10" t="str">
        <f>HYPERLINK("https://facebook.com/367089020688300_556872931709907", "367089020688300_556872931709907")</f>
        <v>367089020688300_556872931709907</v>
      </c>
      <c r="E1234" s="11">
        <v>214.0</v>
      </c>
      <c r="F1234" s="11">
        <v>4.0</v>
      </c>
      <c r="G1234" s="11">
        <v>206.0</v>
      </c>
      <c r="H1234" s="9" t="s">
        <v>26</v>
      </c>
      <c r="I1234" s="9" t="s">
        <v>5385</v>
      </c>
      <c r="J1234" s="9" t="s">
        <v>5386</v>
      </c>
      <c r="K1234" s="9" t="s">
        <v>5387</v>
      </c>
      <c r="L1234" s="9" t="s">
        <v>30</v>
      </c>
      <c r="M1234" s="9" t="s">
        <v>31</v>
      </c>
      <c r="N1234" s="9" t="s">
        <v>32</v>
      </c>
      <c r="O1234" s="12" t="s">
        <v>33</v>
      </c>
      <c r="P1234" s="12" t="s">
        <v>34</v>
      </c>
      <c r="Q1234" s="9"/>
      <c r="R1234" s="18"/>
      <c r="S1234" s="18"/>
      <c r="T1234" s="18"/>
      <c r="U1234" s="18"/>
      <c r="V1234" s="18"/>
      <c r="W1234" s="15"/>
      <c r="X1234" s="15"/>
    </row>
    <row r="1235">
      <c r="A1235" s="7">
        <v>1234.0</v>
      </c>
      <c r="B1235" s="8" t="s">
        <v>5388</v>
      </c>
      <c r="C1235" s="9" t="s">
        <v>5389</v>
      </c>
      <c r="D1235" s="10" t="str">
        <f>HYPERLINK("https://facebook.com/367089020688300_528307251233142", "367089020688300_528307251233142")</f>
        <v>367089020688300_528307251233142</v>
      </c>
      <c r="E1235" s="11">
        <v>198.0</v>
      </c>
      <c r="F1235" s="11">
        <v>5.0</v>
      </c>
      <c r="G1235" s="11">
        <v>218.0</v>
      </c>
      <c r="H1235" s="9" t="s">
        <v>26</v>
      </c>
      <c r="I1235" s="9" t="s">
        <v>5390</v>
      </c>
      <c r="J1235" s="9" t="s">
        <v>5391</v>
      </c>
      <c r="K1235" s="9" t="s">
        <v>5392</v>
      </c>
      <c r="L1235" s="9" t="s">
        <v>30</v>
      </c>
      <c r="M1235" s="9" t="s">
        <v>31</v>
      </c>
      <c r="N1235" s="9" t="s">
        <v>32</v>
      </c>
      <c r="O1235" s="12" t="s">
        <v>33</v>
      </c>
      <c r="P1235" s="12" t="s">
        <v>34</v>
      </c>
      <c r="Q1235" s="9"/>
      <c r="R1235" s="18"/>
      <c r="S1235" s="18"/>
      <c r="T1235" s="18"/>
      <c r="U1235" s="18"/>
      <c r="V1235" s="18"/>
      <c r="W1235" s="15"/>
      <c r="X1235" s="15"/>
    </row>
    <row r="1236">
      <c r="A1236" s="7">
        <v>1235.0</v>
      </c>
      <c r="B1236" s="8" t="s">
        <v>5393</v>
      </c>
      <c r="C1236" s="9" t="s">
        <v>5394</v>
      </c>
      <c r="D1236" s="10" t="str">
        <f>HYPERLINK("https://facebook.com/367089020688300_416769025720299", "367089020688300_416769025720299")</f>
        <v>367089020688300_416769025720299</v>
      </c>
      <c r="E1236" s="11">
        <v>40.0</v>
      </c>
      <c r="F1236" s="11">
        <v>1.0</v>
      </c>
      <c r="G1236" s="11">
        <v>52.0</v>
      </c>
      <c r="H1236" s="9" t="s">
        <v>26</v>
      </c>
      <c r="I1236" s="9" t="s">
        <v>5395</v>
      </c>
      <c r="J1236" s="9" t="s">
        <v>5396</v>
      </c>
      <c r="K1236" s="9" t="s">
        <v>5397</v>
      </c>
      <c r="L1236" s="9" t="s">
        <v>30</v>
      </c>
      <c r="M1236" s="9" t="s">
        <v>31</v>
      </c>
      <c r="N1236" s="9" t="s">
        <v>32</v>
      </c>
      <c r="O1236" s="12" t="s">
        <v>33</v>
      </c>
      <c r="P1236" s="12" t="s">
        <v>34</v>
      </c>
      <c r="Q1236" s="9"/>
      <c r="R1236" s="18"/>
      <c r="S1236" s="18"/>
      <c r="T1236" s="18"/>
      <c r="U1236" s="18"/>
      <c r="V1236" s="18"/>
      <c r="W1236" s="15"/>
      <c r="X1236" s="15"/>
    </row>
    <row r="1237">
      <c r="A1237" s="7">
        <v>1236.0</v>
      </c>
      <c r="B1237" s="8" t="s">
        <v>5398</v>
      </c>
      <c r="C1237" s="9" t="s">
        <v>5399</v>
      </c>
      <c r="D1237" s="10" t="str">
        <f>HYPERLINK("https://facebook.com/367089020688300_559657968098070", "367089020688300_559657968098070")</f>
        <v>367089020688300_559657968098070</v>
      </c>
      <c r="E1237" s="11">
        <v>550.0</v>
      </c>
      <c r="F1237" s="11">
        <v>28.0</v>
      </c>
      <c r="G1237" s="11">
        <v>481.0</v>
      </c>
      <c r="H1237" s="9" t="s">
        <v>26</v>
      </c>
      <c r="I1237" s="9" t="s">
        <v>3879</v>
      </c>
      <c r="J1237" s="16" t="s">
        <v>3880</v>
      </c>
      <c r="K1237" s="9"/>
      <c r="L1237" s="9" t="s">
        <v>30</v>
      </c>
      <c r="M1237" s="9" t="s">
        <v>31</v>
      </c>
      <c r="N1237" s="9" t="s">
        <v>32</v>
      </c>
      <c r="O1237" s="12" t="s">
        <v>33</v>
      </c>
      <c r="P1237" s="12" t="s">
        <v>34</v>
      </c>
      <c r="Q1237" s="9"/>
      <c r="R1237" s="18"/>
      <c r="S1237" s="18"/>
      <c r="T1237" s="18"/>
      <c r="U1237" s="18"/>
      <c r="V1237" s="18"/>
      <c r="W1237" s="15"/>
      <c r="X1237" s="15"/>
    </row>
    <row r="1238">
      <c r="A1238" s="7">
        <v>1237.0</v>
      </c>
      <c r="B1238" s="8" t="s">
        <v>5400</v>
      </c>
      <c r="C1238" s="9" t="s">
        <v>5401</v>
      </c>
      <c r="D1238" s="10" t="str">
        <f>HYPERLINK("https://facebook.com/367089020688300_422244565172745", "367089020688300_422244565172745")</f>
        <v>367089020688300_422244565172745</v>
      </c>
      <c r="E1238" s="11">
        <v>303.0</v>
      </c>
      <c r="F1238" s="11">
        <v>8.0</v>
      </c>
      <c r="G1238" s="11">
        <v>484.0</v>
      </c>
      <c r="H1238" s="9" t="s">
        <v>26</v>
      </c>
      <c r="I1238" s="9" t="s">
        <v>5402</v>
      </c>
      <c r="J1238" s="9" t="s">
        <v>5403</v>
      </c>
      <c r="K1238" s="9" t="s">
        <v>249</v>
      </c>
      <c r="L1238" s="9" t="s">
        <v>30</v>
      </c>
      <c r="M1238" s="9" t="s">
        <v>31</v>
      </c>
      <c r="N1238" s="9" t="s">
        <v>32</v>
      </c>
      <c r="O1238" s="12" t="s">
        <v>33</v>
      </c>
      <c r="P1238" s="12" t="s">
        <v>34</v>
      </c>
      <c r="Q1238" s="9"/>
      <c r="R1238" s="18"/>
      <c r="S1238" s="18"/>
      <c r="T1238" s="18"/>
      <c r="U1238" s="18"/>
      <c r="V1238" s="18"/>
      <c r="W1238" s="15"/>
      <c r="X1238" s="15"/>
    </row>
    <row r="1239">
      <c r="A1239" s="7">
        <v>1238.0</v>
      </c>
      <c r="B1239" s="8" t="s">
        <v>5404</v>
      </c>
      <c r="C1239" s="9" t="s">
        <v>5405</v>
      </c>
      <c r="D1239" s="10" t="str">
        <f>HYPERLINK("https://facebook.com/367089020688300_404481726949029", "367089020688300_404481726949029")</f>
        <v>367089020688300_404481726949029</v>
      </c>
      <c r="E1239" s="11">
        <v>152.0</v>
      </c>
      <c r="F1239" s="11">
        <v>8.0</v>
      </c>
      <c r="G1239" s="11">
        <v>382.0</v>
      </c>
      <c r="H1239" s="9" t="s">
        <v>26</v>
      </c>
      <c r="I1239" s="9" t="s">
        <v>5406</v>
      </c>
      <c r="J1239" s="9" t="s">
        <v>5407</v>
      </c>
      <c r="K1239" s="9" t="s">
        <v>5408</v>
      </c>
      <c r="L1239" s="9" t="s">
        <v>30</v>
      </c>
      <c r="M1239" s="9" t="s">
        <v>31</v>
      </c>
      <c r="N1239" s="9" t="s">
        <v>32</v>
      </c>
      <c r="O1239" s="12" t="s">
        <v>33</v>
      </c>
      <c r="P1239" s="12" t="s">
        <v>34</v>
      </c>
      <c r="Q1239" s="9"/>
      <c r="R1239" s="18"/>
      <c r="S1239" s="18"/>
      <c r="T1239" s="18"/>
      <c r="U1239" s="18"/>
      <c r="V1239" s="18"/>
      <c r="W1239" s="15"/>
      <c r="X1239" s="15"/>
    </row>
    <row r="1240">
      <c r="A1240" s="7">
        <v>1239.0</v>
      </c>
      <c r="B1240" s="8" t="s">
        <v>5409</v>
      </c>
      <c r="C1240" s="9" t="s">
        <v>5410</v>
      </c>
      <c r="D1240" s="10" t="str">
        <f>HYPERLINK("https://facebook.com/367089020688300_538335743563626", "367089020688300_538335743563626")</f>
        <v>367089020688300_538335743563626</v>
      </c>
      <c r="E1240" s="11">
        <v>541.0</v>
      </c>
      <c r="F1240" s="11">
        <v>3.0</v>
      </c>
      <c r="G1240" s="11">
        <v>402.0</v>
      </c>
      <c r="H1240" s="9" t="s">
        <v>26</v>
      </c>
      <c r="I1240" s="9" t="s">
        <v>5411</v>
      </c>
      <c r="J1240" s="16" t="s">
        <v>5412</v>
      </c>
      <c r="K1240" s="9"/>
      <c r="L1240" s="9" t="s">
        <v>30</v>
      </c>
      <c r="M1240" s="9" t="s">
        <v>31</v>
      </c>
      <c r="N1240" s="9" t="s">
        <v>32</v>
      </c>
      <c r="O1240" s="12" t="s">
        <v>33</v>
      </c>
      <c r="P1240" s="12" t="s">
        <v>34</v>
      </c>
      <c r="Q1240" s="9"/>
      <c r="R1240" s="18"/>
      <c r="S1240" s="18"/>
      <c r="T1240" s="18"/>
      <c r="U1240" s="18"/>
      <c r="V1240" s="18"/>
      <c r="W1240" s="15"/>
      <c r="X1240" s="15"/>
    </row>
    <row r="1241">
      <c r="A1241" s="7">
        <v>1240.0</v>
      </c>
      <c r="B1241" s="8" t="s">
        <v>5413</v>
      </c>
      <c r="C1241" s="9" t="s">
        <v>5414</v>
      </c>
      <c r="D1241" s="10" t="str">
        <f>HYPERLINK("https://facebook.com/367089020688300_459525264778008", "367089020688300_459525264778008")</f>
        <v>367089020688300_459525264778008</v>
      </c>
      <c r="E1241" s="11">
        <v>271.0</v>
      </c>
      <c r="F1241" s="11">
        <v>3.0</v>
      </c>
      <c r="G1241" s="11">
        <v>402.0</v>
      </c>
      <c r="H1241" s="9" t="s">
        <v>26</v>
      </c>
      <c r="I1241" s="9" t="s">
        <v>4410</v>
      </c>
      <c r="J1241" s="16" t="s">
        <v>5415</v>
      </c>
      <c r="K1241" s="9"/>
      <c r="L1241" s="9" t="s">
        <v>30</v>
      </c>
      <c r="M1241" s="9" t="s">
        <v>31</v>
      </c>
      <c r="N1241" s="9" t="s">
        <v>32</v>
      </c>
      <c r="O1241" s="12" t="s">
        <v>33</v>
      </c>
      <c r="P1241" s="12" t="s">
        <v>34</v>
      </c>
      <c r="Q1241" s="9"/>
      <c r="R1241" s="18"/>
      <c r="S1241" s="18"/>
      <c r="T1241" s="18"/>
      <c r="U1241" s="18"/>
      <c r="V1241" s="18"/>
      <c r="W1241" s="15"/>
      <c r="X1241" s="15"/>
    </row>
    <row r="1242">
      <c r="A1242" s="7">
        <v>1241.0</v>
      </c>
      <c r="B1242" s="8" t="s">
        <v>5416</v>
      </c>
      <c r="C1242" s="9" t="s">
        <v>5417</v>
      </c>
      <c r="D1242" s="10" t="str">
        <f>HYPERLINK("https://facebook.com/367089020688300_446920869371781", "367089020688300_446920869371781")</f>
        <v>367089020688300_446920869371781</v>
      </c>
      <c r="E1242" s="11">
        <v>88.0</v>
      </c>
      <c r="F1242" s="11">
        <v>0.0</v>
      </c>
      <c r="G1242" s="11">
        <v>35.0</v>
      </c>
      <c r="H1242" s="9" t="s">
        <v>26</v>
      </c>
      <c r="I1242" s="9" t="s">
        <v>5418</v>
      </c>
      <c r="J1242" s="9" t="s">
        <v>5419</v>
      </c>
      <c r="K1242" s="9" t="s">
        <v>663</v>
      </c>
      <c r="L1242" s="9" t="s">
        <v>30</v>
      </c>
      <c r="M1242" s="9" t="s">
        <v>31</v>
      </c>
      <c r="N1242" s="9" t="s">
        <v>32</v>
      </c>
      <c r="O1242" s="12" t="s">
        <v>33</v>
      </c>
      <c r="P1242" s="12" t="s">
        <v>34</v>
      </c>
      <c r="Q1242" s="9"/>
      <c r="R1242" s="18"/>
      <c r="S1242" s="18"/>
      <c r="T1242" s="18"/>
      <c r="U1242" s="18"/>
      <c r="V1242" s="18"/>
      <c r="W1242" s="15"/>
      <c r="X1242" s="15"/>
    </row>
    <row r="1243">
      <c r="A1243" s="7">
        <v>1242.0</v>
      </c>
      <c r="B1243" s="8" t="s">
        <v>5420</v>
      </c>
      <c r="C1243" s="9" t="s">
        <v>5421</v>
      </c>
      <c r="D1243" s="10" t="str">
        <f>HYPERLINK("https://facebook.com/367089020688300_530244427706091", "367089020688300_530244427706091")</f>
        <v>367089020688300_530244427706091</v>
      </c>
      <c r="E1243" s="11">
        <v>307.0</v>
      </c>
      <c r="F1243" s="11">
        <v>20.0</v>
      </c>
      <c r="G1243" s="11">
        <v>329.0</v>
      </c>
      <c r="H1243" s="9" t="s">
        <v>26</v>
      </c>
      <c r="I1243" s="9" t="s">
        <v>5422</v>
      </c>
      <c r="J1243" s="9" t="s">
        <v>5423</v>
      </c>
      <c r="K1243" s="9" t="s">
        <v>5424</v>
      </c>
      <c r="L1243" s="9" t="s">
        <v>30</v>
      </c>
      <c r="M1243" s="9" t="s">
        <v>31</v>
      </c>
      <c r="N1243" s="9" t="s">
        <v>32</v>
      </c>
      <c r="O1243" s="12" t="s">
        <v>33</v>
      </c>
      <c r="P1243" s="12" t="s">
        <v>34</v>
      </c>
      <c r="Q1243" s="9"/>
      <c r="R1243" s="18"/>
      <c r="S1243" s="18"/>
      <c r="T1243" s="18"/>
      <c r="U1243" s="18"/>
      <c r="V1243" s="18"/>
      <c r="W1243" s="15"/>
      <c r="X1243" s="15"/>
    </row>
    <row r="1244">
      <c r="A1244" s="7">
        <v>1243.0</v>
      </c>
      <c r="B1244" s="8" t="s">
        <v>5425</v>
      </c>
      <c r="C1244" s="9" t="s">
        <v>5426</v>
      </c>
      <c r="D1244" s="10" t="str">
        <f>HYPERLINK("https://facebook.com/367089020688300_502004107196790", "367089020688300_502004107196790")</f>
        <v>367089020688300_502004107196790</v>
      </c>
      <c r="E1244" s="11">
        <v>2132.0</v>
      </c>
      <c r="F1244" s="11">
        <v>34.0</v>
      </c>
      <c r="G1244" s="11">
        <v>1006.0</v>
      </c>
      <c r="H1244" s="9" t="s">
        <v>26</v>
      </c>
      <c r="I1244" s="9" t="s">
        <v>5427</v>
      </c>
      <c r="J1244" s="9" t="s">
        <v>5428</v>
      </c>
      <c r="K1244" s="9" t="s">
        <v>5429</v>
      </c>
      <c r="L1244" s="9" t="s">
        <v>30</v>
      </c>
      <c r="M1244" s="9" t="s">
        <v>31</v>
      </c>
      <c r="N1244" s="9" t="s">
        <v>32</v>
      </c>
      <c r="O1244" s="12" t="s">
        <v>33</v>
      </c>
      <c r="P1244" s="12" t="s">
        <v>34</v>
      </c>
      <c r="Q1244" s="9"/>
      <c r="R1244" s="18"/>
      <c r="S1244" s="18"/>
      <c r="T1244" s="18"/>
      <c r="U1244" s="18"/>
      <c r="V1244" s="18"/>
      <c r="W1244" s="15"/>
      <c r="X1244" s="15"/>
    </row>
    <row r="1245">
      <c r="A1245" s="7">
        <v>1244.0</v>
      </c>
      <c r="B1245" s="8" t="s">
        <v>5430</v>
      </c>
      <c r="C1245" s="9" t="s">
        <v>5431</v>
      </c>
      <c r="D1245" s="10" t="str">
        <f>HYPERLINK("https://facebook.com/367089020688300_493015771428957", "367089020688300_493015771428957")</f>
        <v>367089020688300_493015771428957</v>
      </c>
      <c r="E1245" s="11">
        <v>73.0</v>
      </c>
      <c r="F1245" s="11">
        <v>3.0</v>
      </c>
      <c r="G1245" s="11">
        <v>220.0</v>
      </c>
      <c r="H1245" s="9" t="s">
        <v>26</v>
      </c>
      <c r="I1245" s="9" t="s">
        <v>5432</v>
      </c>
      <c r="J1245" s="9" t="s">
        <v>5433</v>
      </c>
      <c r="K1245" s="9" t="s">
        <v>5434</v>
      </c>
      <c r="L1245" s="9" t="s">
        <v>30</v>
      </c>
      <c r="M1245" s="9" t="s">
        <v>31</v>
      </c>
      <c r="N1245" s="9" t="s">
        <v>32</v>
      </c>
      <c r="O1245" s="12" t="s">
        <v>33</v>
      </c>
      <c r="P1245" s="12" t="s">
        <v>34</v>
      </c>
      <c r="Q1245" s="9"/>
      <c r="R1245" s="18"/>
      <c r="S1245" s="18"/>
      <c r="T1245" s="18"/>
      <c r="U1245" s="18"/>
      <c r="V1245" s="18"/>
      <c r="W1245" s="15"/>
      <c r="X1245" s="15"/>
    </row>
    <row r="1246">
      <c r="A1246" s="7">
        <v>1245.0</v>
      </c>
      <c r="B1246" s="8" t="s">
        <v>5435</v>
      </c>
      <c r="C1246" s="9" t="s">
        <v>5436</v>
      </c>
      <c r="D1246" s="10" t="str">
        <f>HYPERLINK("https://facebook.com/367089020688300_533844020679465", "367089020688300_533844020679465")</f>
        <v>367089020688300_533844020679465</v>
      </c>
      <c r="E1246" s="11">
        <v>7.0</v>
      </c>
      <c r="F1246" s="11">
        <v>0.0</v>
      </c>
      <c r="G1246" s="11">
        <v>5.0</v>
      </c>
      <c r="H1246" s="9" t="s">
        <v>26</v>
      </c>
      <c r="I1246" s="9" t="s">
        <v>5437</v>
      </c>
      <c r="J1246" s="16" t="s">
        <v>5438</v>
      </c>
      <c r="K1246" s="9"/>
      <c r="L1246" s="9" t="s">
        <v>30</v>
      </c>
      <c r="M1246" s="9" t="s">
        <v>31</v>
      </c>
      <c r="N1246" s="9" t="s">
        <v>32</v>
      </c>
      <c r="O1246" s="12" t="s">
        <v>33</v>
      </c>
      <c r="P1246" s="12" t="s">
        <v>34</v>
      </c>
      <c r="Q1246" s="9"/>
      <c r="R1246" s="18"/>
      <c r="S1246" s="18"/>
      <c r="T1246" s="18"/>
      <c r="U1246" s="18"/>
      <c r="V1246" s="18"/>
      <c r="W1246" s="15"/>
      <c r="X1246" s="15"/>
    </row>
    <row r="1247">
      <c r="A1247" s="7">
        <v>1246.0</v>
      </c>
      <c r="B1247" s="8" t="s">
        <v>5439</v>
      </c>
      <c r="C1247" s="9" t="s">
        <v>5440</v>
      </c>
      <c r="D1247" s="10" t="str">
        <f>HYPERLINK("https://facebook.com/367089020688300_547814822615718", "367089020688300_547814822615718")</f>
        <v>367089020688300_547814822615718</v>
      </c>
      <c r="E1247" s="11">
        <v>96.0</v>
      </c>
      <c r="F1247" s="11">
        <v>1.0</v>
      </c>
      <c r="G1247" s="11">
        <v>48.0</v>
      </c>
      <c r="H1247" s="9" t="s">
        <v>26</v>
      </c>
      <c r="I1247" s="9" t="s">
        <v>5441</v>
      </c>
      <c r="J1247" s="16" t="s">
        <v>5442</v>
      </c>
      <c r="K1247" s="9"/>
      <c r="L1247" s="9" t="s">
        <v>30</v>
      </c>
      <c r="M1247" s="9" t="s">
        <v>31</v>
      </c>
      <c r="N1247" s="9" t="s">
        <v>32</v>
      </c>
      <c r="O1247" s="12" t="s">
        <v>33</v>
      </c>
      <c r="P1247" s="12" t="s">
        <v>34</v>
      </c>
      <c r="Q1247" s="9"/>
      <c r="R1247" s="18"/>
      <c r="S1247" s="18"/>
      <c r="T1247" s="18"/>
      <c r="U1247" s="18"/>
      <c r="V1247" s="18"/>
      <c r="W1247" s="15"/>
      <c r="X1247" s="15"/>
    </row>
    <row r="1248">
      <c r="A1248" s="7">
        <v>1247.0</v>
      </c>
      <c r="B1248" s="8" t="s">
        <v>5443</v>
      </c>
      <c r="C1248" s="9" t="s">
        <v>5444</v>
      </c>
      <c r="D1248" s="10" t="str">
        <f>HYPERLINK("https://facebook.com/367089020688300_562436804486853", "367089020688300_562436804486853")</f>
        <v>367089020688300_562436804486853</v>
      </c>
      <c r="E1248" s="11">
        <v>13.0</v>
      </c>
      <c r="F1248" s="11">
        <v>1.0</v>
      </c>
      <c r="G1248" s="11">
        <v>86.0</v>
      </c>
      <c r="H1248" s="9" t="s">
        <v>26</v>
      </c>
      <c r="I1248" s="9" t="s">
        <v>5445</v>
      </c>
      <c r="J1248" s="9" t="s">
        <v>5446</v>
      </c>
      <c r="K1248" s="9" t="s">
        <v>5447</v>
      </c>
      <c r="L1248" s="9" t="s">
        <v>30</v>
      </c>
      <c r="M1248" s="9" t="s">
        <v>31</v>
      </c>
      <c r="N1248" s="9" t="s">
        <v>32</v>
      </c>
      <c r="O1248" s="12" t="s">
        <v>33</v>
      </c>
      <c r="P1248" s="12" t="s">
        <v>34</v>
      </c>
      <c r="Q1248" s="9"/>
      <c r="R1248" s="18"/>
      <c r="S1248" s="18"/>
      <c r="T1248" s="18"/>
      <c r="U1248" s="18"/>
      <c r="V1248" s="18"/>
      <c r="W1248" s="15"/>
      <c r="X1248" s="15"/>
    </row>
    <row r="1249">
      <c r="A1249" s="7">
        <v>1248.0</v>
      </c>
      <c r="B1249" s="8" t="s">
        <v>5448</v>
      </c>
      <c r="C1249" s="9" t="s">
        <v>5449</v>
      </c>
      <c r="D1249" s="10" t="str">
        <f>HYPERLINK("https://facebook.com/367089020688300_546845149379352", "367089020688300_546845149379352")</f>
        <v>367089020688300_546845149379352</v>
      </c>
      <c r="E1249" s="11">
        <v>147.0</v>
      </c>
      <c r="F1249" s="11">
        <v>1.0</v>
      </c>
      <c r="G1249" s="11">
        <v>118.0</v>
      </c>
      <c r="H1249" s="9" t="s">
        <v>26</v>
      </c>
      <c r="I1249" s="9" t="s">
        <v>5450</v>
      </c>
      <c r="J1249" s="16" t="s">
        <v>5451</v>
      </c>
      <c r="K1249" s="9"/>
      <c r="L1249" s="9" t="s">
        <v>30</v>
      </c>
      <c r="M1249" s="9" t="s">
        <v>31</v>
      </c>
      <c r="N1249" s="9" t="s">
        <v>32</v>
      </c>
      <c r="O1249" s="12" t="s">
        <v>33</v>
      </c>
      <c r="P1249" s="12" t="s">
        <v>34</v>
      </c>
      <c r="Q1249" s="9"/>
      <c r="R1249" s="18"/>
      <c r="S1249" s="18"/>
      <c r="T1249" s="18"/>
      <c r="U1249" s="18"/>
      <c r="V1249" s="18"/>
      <c r="W1249" s="15"/>
      <c r="X1249" s="15"/>
    </row>
    <row r="1250">
      <c r="A1250" s="7">
        <v>1249.0</v>
      </c>
      <c r="B1250" s="8" t="s">
        <v>5452</v>
      </c>
      <c r="C1250" s="9" t="s">
        <v>5453</v>
      </c>
      <c r="D1250" s="10" t="str">
        <f>HYPERLINK("https://facebook.com/367089020688300_562320094498524", "367089020688300_562320094498524")</f>
        <v>367089020688300_562320094498524</v>
      </c>
      <c r="E1250" s="11">
        <v>10.0</v>
      </c>
      <c r="F1250" s="11">
        <v>0.0</v>
      </c>
      <c r="G1250" s="11">
        <v>6.0</v>
      </c>
      <c r="H1250" s="9" t="s">
        <v>26</v>
      </c>
      <c r="I1250" s="9" t="s">
        <v>5454</v>
      </c>
      <c r="J1250" s="9" t="s">
        <v>5455</v>
      </c>
      <c r="K1250" s="9" t="s">
        <v>5456</v>
      </c>
      <c r="L1250" s="9" t="s">
        <v>30</v>
      </c>
      <c r="M1250" s="9" t="s">
        <v>31</v>
      </c>
      <c r="N1250" s="9" t="s">
        <v>32</v>
      </c>
      <c r="O1250" s="12" t="s">
        <v>33</v>
      </c>
      <c r="P1250" s="12" t="s">
        <v>34</v>
      </c>
      <c r="Q1250" s="9"/>
      <c r="R1250" s="18"/>
      <c r="S1250" s="18"/>
      <c r="T1250" s="18"/>
      <c r="U1250" s="18"/>
      <c r="V1250" s="18"/>
      <c r="W1250" s="15"/>
      <c r="X1250" s="15"/>
    </row>
    <row r="1251">
      <c r="A1251" s="7">
        <v>1250.0</v>
      </c>
      <c r="B1251" s="8" t="s">
        <v>5457</v>
      </c>
      <c r="C1251" s="9" t="s">
        <v>5458</v>
      </c>
      <c r="D1251" s="10" t="str">
        <f>HYPERLINK("https://facebook.com/367089020688300_551697252227475", "367089020688300_551697252227475")</f>
        <v>367089020688300_551697252227475</v>
      </c>
      <c r="E1251" s="11">
        <v>9.0</v>
      </c>
      <c r="F1251" s="11">
        <v>0.0</v>
      </c>
      <c r="G1251" s="11">
        <v>11.0</v>
      </c>
      <c r="H1251" s="9" t="s">
        <v>26</v>
      </c>
      <c r="I1251" s="9" t="s">
        <v>2199</v>
      </c>
      <c r="J1251" s="16" t="s">
        <v>2200</v>
      </c>
      <c r="K1251" s="9"/>
      <c r="L1251" s="9" t="s">
        <v>30</v>
      </c>
      <c r="M1251" s="9" t="s">
        <v>31</v>
      </c>
      <c r="N1251" s="9" t="s">
        <v>32</v>
      </c>
      <c r="O1251" s="12" t="s">
        <v>33</v>
      </c>
      <c r="P1251" s="12" t="s">
        <v>34</v>
      </c>
      <c r="Q1251" s="9"/>
      <c r="R1251" s="18"/>
      <c r="S1251" s="18"/>
      <c r="T1251" s="18"/>
      <c r="U1251" s="18"/>
      <c r="V1251" s="18"/>
      <c r="W1251" s="15"/>
      <c r="X1251" s="15"/>
    </row>
    <row r="1252">
      <c r="A1252" s="7">
        <v>1251.0</v>
      </c>
      <c r="B1252" s="8" t="s">
        <v>5459</v>
      </c>
      <c r="C1252" s="9" t="s">
        <v>5460</v>
      </c>
      <c r="D1252" s="10" t="str">
        <f>HYPERLINK("https://facebook.com/367089020688300_553959048667962", "367089020688300_553959048667962")</f>
        <v>367089020688300_553959048667962</v>
      </c>
      <c r="E1252" s="11">
        <v>66.0</v>
      </c>
      <c r="F1252" s="11">
        <v>0.0</v>
      </c>
      <c r="G1252" s="11">
        <v>15.0</v>
      </c>
      <c r="H1252" s="9" t="s">
        <v>26</v>
      </c>
      <c r="I1252" s="9" t="s">
        <v>5461</v>
      </c>
      <c r="J1252" s="9" t="s">
        <v>5462</v>
      </c>
      <c r="K1252" s="9" t="s">
        <v>5463</v>
      </c>
      <c r="L1252" s="9" t="s">
        <v>30</v>
      </c>
      <c r="M1252" s="9" t="s">
        <v>31</v>
      </c>
      <c r="N1252" s="9" t="s">
        <v>32</v>
      </c>
      <c r="O1252" s="12" t="s">
        <v>33</v>
      </c>
      <c r="P1252" s="12" t="s">
        <v>34</v>
      </c>
      <c r="Q1252" s="9"/>
      <c r="R1252" s="18"/>
      <c r="S1252" s="18"/>
      <c r="T1252" s="18"/>
      <c r="U1252" s="18"/>
      <c r="V1252" s="18"/>
      <c r="W1252" s="15"/>
      <c r="X1252" s="15"/>
    </row>
    <row r="1253">
      <c r="A1253" s="7">
        <v>1252.0</v>
      </c>
      <c r="B1253" s="8" t="s">
        <v>5464</v>
      </c>
      <c r="C1253" s="9" t="s">
        <v>5465</v>
      </c>
      <c r="D1253" s="10" t="str">
        <f>HYPERLINK("https://facebook.com/367089020688300_487359845327883", "367089020688300_487359845327883")</f>
        <v>367089020688300_487359845327883</v>
      </c>
      <c r="E1253" s="11">
        <v>181.0</v>
      </c>
      <c r="F1253" s="11">
        <v>4.0</v>
      </c>
      <c r="G1253" s="11">
        <v>414.0</v>
      </c>
      <c r="H1253" s="9" t="s">
        <v>26</v>
      </c>
      <c r="I1253" s="9" t="s">
        <v>5466</v>
      </c>
      <c r="J1253" s="9" t="s">
        <v>5467</v>
      </c>
      <c r="K1253" s="9" t="s">
        <v>5468</v>
      </c>
      <c r="L1253" s="9" t="s">
        <v>30</v>
      </c>
      <c r="M1253" s="9" t="s">
        <v>31</v>
      </c>
      <c r="N1253" s="9" t="s">
        <v>32</v>
      </c>
      <c r="O1253" s="12" t="s">
        <v>33</v>
      </c>
      <c r="P1253" s="12" t="s">
        <v>34</v>
      </c>
      <c r="Q1253" s="9"/>
      <c r="R1253" s="18"/>
      <c r="S1253" s="18"/>
      <c r="T1253" s="18"/>
      <c r="U1253" s="18"/>
      <c r="V1253" s="18"/>
      <c r="W1253" s="15"/>
      <c r="X1253" s="15"/>
    </row>
    <row r="1254">
      <c r="A1254" s="7">
        <v>1253.0</v>
      </c>
      <c r="B1254" s="8" t="s">
        <v>5469</v>
      </c>
      <c r="C1254" s="9" t="s">
        <v>5470</v>
      </c>
      <c r="D1254" s="10" t="str">
        <f>HYPERLINK("https://facebook.com/367089020688300_517412645655936", "367089020688300_517412645655936")</f>
        <v>367089020688300_517412645655936</v>
      </c>
      <c r="E1254" s="11">
        <v>607.0</v>
      </c>
      <c r="F1254" s="11">
        <v>47.0</v>
      </c>
      <c r="G1254" s="11">
        <v>794.0</v>
      </c>
      <c r="H1254" s="9" t="s">
        <v>26</v>
      </c>
      <c r="I1254" s="9" t="s">
        <v>2769</v>
      </c>
      <c r="J1254" s="9" t="s">
        <v>2770</v>
      </c>
      <c r="K1254" s="9" t="s">
        <v>5471</v>
      </c>
      <c r="L1254" s="9" t="s">
        <v>30</v>
      </c>
      <c r="M1254" s="9" t="s">
        <v>31</v>
      </c>
      <c r="N1254" s="9" t="s">
        <v>32</v>
      </c>
      <c r="O1254" s="12" t="s">
        <v>33</v>
      </c>
      <c r="P1254" s="12" t="s">
        <v>34</v>
      </c>
      <c r="Q1254" s="9"/>
      <c r="R1254" s="18"/>
      <c r="S1254" s="18"/>
      <c r="T1254" s="18"/>
      <c r="U1254" s="18"/>
      <c r="V1254" s="18"/>
      <c r="W1254" s="15"/>
      <c r="X1254" s="15"/>
    </row>
    <row r="1255">
      <c r="A1255" s="7">
        <v>1254.0</v>
      </c>
      <c r="B1255" s="8" t="s">
        <v>5472</v>
      </c>
      <c r="C1255" s="9" t="s">
        <v>5473</v>
      </c>
      <c r="D1255" s="10" t="str">
        <f>HYPERLINK("https://facebook.com/367089020688300_506059130124621", "367089020688300_506059130124621")</f>
        <v>367089020688300_506059130124621</v>
      </c>
      <c r="E1255" s="11">
        <v>31.0</v>
      </c>
      <c r="F1255" s="11">
        <v>1.0</v>
      </c>
      <c r="G1255" s="11">
        <v>41.0</v>
      </c>
      <c r="H1255" s="9" t="s">
        <v>26</v>
      </c>
      <c r="I1255" s="9" t="s">
        <v>5474</v>
      </c>
      <c r="J1255" s="9" t="s">
        <v>5475</v>
      </c>
      <c r="K1255" s="9" t="s">
        <v>5476</v>
      </c>
      <c r="L1255" s="9" t="s">
        <v>30</v>
      </c>
      <c r="M1255" s="9" t="s">
        <v>31</v>
      </c>
      <c r="N1255" s="9" t="s">
        <v>32</v>
      </c>
      <c r="O1255" s="12" t="s">
        <v>33</v>
      </c>
      <c r="P1255" s="12" t="s">
        <v>34</v>
      </c>
      <c r="Q1255" s="9"/>
      <c r="R1255" s="18"/>
      <c r="S1255" s="18"/>
      <c r="T1255" s="18"/>
      <c r="U1255" s="18"/>
      <c r="V1255" s="18"/>
      <c r="W1255" s="15"/>
      <c r="X1255" s="15"/>
    </row>
    <row r="1256">
      <c r="A1256" s="7">
        <v>1255.0</v>
      </c>
      <c r="B1256" s="8" t="s">
        <v>5477</v>
      </c>
      <c r="C1256" s="9" t="s">
        <v>5478</v>
      </c>
      <c r="D1256" s="10" t="str">
        <f>HYPERLINK("https://facebook.com/367089020688300_517453938985140", "367089020688300_517453938985140")</f>
        <v>367089020688300_517453938985140</v>
      </c>
      <c r="E1256" s="11">
        <v>13.0</v>
      </c>
      <c r="F1256" s="11">
        <v>0.0</v>
      </c>
      <c r="G1256" s="11">
        <v>25.0</v>
      </c>
      <c r="H1256" s="9" t="s">
        <v>26</v>
      </c>
      <c r="I1256" s="9" t="s">
        <v>5479</v>
      </c>
      <c r="J1256" s="9" t="s">
        <v>5480</v>
      </c>
      <c r="K1256" s="9" t="s">
        <v>5481</v>
      </c>
      <c r="L1256" s="9" t="s">
        <v>30</v>
      </c>
      <c r="M1256" s="9" t="s">
        <v>31</v>
      </c>
      <c r="N1256" s="9" t="s">
        <v>32</v>
      </c>
      <c r="O1256" s="12" t="s">
        <v>33</v>
      </c>
      <c r="P1256" s="12" t="s">
        <v>34</v>
      </c>
      <c r="Q1256" s="9"/>
      <c r="R1256" s="18"/>
      <c r="S1256" s="18"/>
      <c r="T1256" s="18"/>
      <c r="U1256" s="18"/>
      <c r="V1256" s="18"/>
      <c r="W1256" s="15"/>
      <c r="X1256" s="15"/>
    </row>
    <row r="1257">
      <c r="A1257" s="7">
        <v>1256.0</v>
      </c>
      <c r="B1257" s="8" t="s">
        <v>5482</v>
      </c>
      <c r="C1257" s="9" t="s">
        <v>5483</v>
      </c>
      <c r="D1257" s="10" t="str">
        <f>HYPERLINK("https://facebook.com/367089020688300_443585943038607", "367089020688300_443585943038607")</f>
        <v>367089020688300_443585943038607</v>
      </c>
      <c r="E1257" s="11">
        <v>69.0</v>
      </c>
      <c r="F1257" s="11">
        <v>2.0</v>
      </c>
      <c r="G1257" s="11">
        <v>93.0</v>
      </c>
      <c r="H1257" s="9" t="s">
        <v>26</v>
      </c>
      <c r="I1257" s="9" t="s">
        <v>5484</v>
      </c>
      <c r="J1257" s="9" t="s">
        <v>5485</v>
      </c>
      <c r="K1257" s="9" t="s">
        <v>5486</v>
      </c>
      <c r="L1257" s="9" t="s">
        <v>30</v>
      </c>
      <c r="M1257" s="9" t="s">
        <v>31</v>
      </c>
      <c r="N1257" s="9" t="s">
        <v>32</v>
      </c>
      <c r="O1257" s="12" t="s">
        <v>33</v>
      </c>
      <c r="P1257" s="12" t="s">
        <v>34</v>
      </c>
      <c r="Q1257" s="9"/>
      <c r="R1257" s="18"/>
      <c r="S1257" s="18"/>
      <c r="T1257" s="18"/>
      <c r="U1257" s="18"/>
      <c r="V1257" s="18"/>
      <c r="W1257" s="15"/>
      <c r="X1257" s="15"/>
    </row>
    <row r="1258">
      <c r="A1258" s="7">
        <v>1257.0</v>
      </c>
      <c r="B1258" s="8" t="s">
        <v>5487</v>
      </c>
      <c r="C1258" s="9" t="s">
        <v>5488</v>
      </c>
      <c r="D1258" s="10" t="str">
        <f>HYPERLINK("https://facebook.com/367089020688300_533474017383132", "367089020688300_533474017383132")</f>
        <v>367089020688300_533474017383132</v>
      </c>
      <c r="E1258" s="11">
        <v>334.0</v>
      </c>
      <c r="F1258" s="11">
        <v>0.0</v>
      </c>
      <c r="G1258" s="11">
        <v>57.0</v>
      </c>
      <c r="H1258" s="9" t="s">
        <v>26</v>
      </c>
      <c r="I1258" s="9" t="s">
        <v>5489</v>
      </c>
      <c r="J1258" s="16" t="s">
        <v>5490</v>
      </c>
      <c r="K1258" s="9"/>
      <c r="L1258" s="9" t="s">
        <v>30</v>
      </c>
      <c r="M1258" s="9" t="s">
        <v>31</v>
      </c>
      <c r="N1258" s="9" t="s">
        <v>32</v>
      </c>
      <c r="O1258" s="12" t="s">
        <v>33</v>
      </c>
      <c r="P1258" s="12" t="s">
        <v>34</v>
      </c>
      <c r="Q1258" s="9"/>
      <c r="R1258" s="18"/>
      <c r="S1258" s="18"/>
      <c r="T1258" s="18"/>
      <c r="U1258" s="18"/>
      <c r="V1258" s="18"/>
      <c r="W1258" s="15"/>
      <c r="X1258" s="15"/>
    </row>
    <row r="1259">
      <c r="A1259" s="7">
        <v>1258.0</v>
      </c>
      <c r="B1259" s="8" t="s">
        <v>5491</v>
      </c>
      <c r="C1259" s="9" t="s">
        <v>5492</v>
      </c>
      <c r="D1259" s="10" t="str">
        <f>HYPERLINK("https://facebook.com/367089020688300_543329003064300", "367089020688300_543329003064300")</f>
        <v>367089020688300_543329003064300</v>
      </c>
      <c r="E1259" s="11">
        <v>113.0</v>
      </c>
      <c r="F1259" s="11">
        <v>0.0</v>
      </c>
      <c r="G1259" s="11">
        <v>138.0</v>
      </c>
      <c r="H1259" s="9" t="s">
        <v>26</v>
      </c>
      <c r="I1259" s="9" t="s">
        <v>5493</v>
      </c>
      <c r="J1259" s="9" t="s">
        <v>5494</v>
      </c>
      <c r="K1259" s="9" t="s">
        <v>1386</v>
      </c>
      <c r="L1259" s="9" t="s">
        <v>30</v>
      </c>
      <c r="M1259" s="9" t="s">
        <v>31</v>
      </c>
      <c r="N1259" s="9" t="s">
        <v>32</v>
      </c>
      <c r="O1259" s="12" t="s">
        <v>33</v>
      </c>
      <c r="P1259" s="12" t="s">
        <v>34</v>
      </c>
      <c r="Q1259" s="9"/>
      <c r="R1259" s="18"/>
      <c r="S1259" s="18"/>
      <c r="T1259" s="18"/>
      <c r="U1259" s="18"/>
      <c r="V1259" s="18"/>
      <c r="W1259" s="15"/>
      <c r="X1259" s="15"/>
    </row>
    <row r="1260">
      <c r="A1260" s="7">
        <v>1259.0</v>
      </c>
      <c r="B1260" s="8" t="s">
        <v>5495</v>
      </c>
      <c r="C1260" s="9" t="s">
        <v>5496</v>
      </c>
      <c r="D1260" s="10" t="str">
        <f>HYPERLINK("https://facebook.com/367089020688300_537882696942264", "367089020688300_537882696942264")</f>
        <v>367089020688300_537882696942264</v>
      </c>
      <c r="E1260" s="11">
        <v>101.0</v>
      </c>
      <c r="F1260" s="11">
        <v>2.0</v>
      </c>
      <c r="G1260" s="11">
        <v>115.0</v>
      </c>
      <c r="H1260" s="9" t="s">
        <v>26</v>
      </c>
      <c r="I1260" s="9" t="s">
        <v>5497</v>
      </c>
      <c r="J1260" s="16" t="s">
        <v>5498</v>
      </c>
      <c r="K1260" s="9"/>
      <c r="L1260" s="9" t="s">
        <v>30</v>
      </c>
      <c r="M1260" s="9" t="s">
        <v>31</v>
      </c>
      <c r="N1260" s="9" t="s">
        <v>32</v>
      </c>
      <c r="O1260" s="12" t="s">
        <v>33</v>
      </c>
      <c r="P1260" s="12" t="s">
        <v>34</v>
      </c>
      <c r="Q1260" s="9"/>
      <c r="R1260" s="18"/>
      <c r="S1260" s="18"/>
      <c r="T1260" s="18"/>
      <c r="U1260" s="18"/>
      <c r="V1260" s="18"/>
      <c r="W1260" s="15"/>
      <c r="X1260" s="15"/>
    </row>
    <row r="1261">
      <c r="A1261" s="7">
        <v>1260.0</v>
      </c>
      <c r="B1261" s="8" t="s">
        <v>5499</v>
      </c>
      <c r="C1261" s="9" t="s">
        <v>5500</v>
      </c>
      <c r="D1261" s="10" t="str">
        <f>HYPERLINK("https://facebook.com/367089020688300_551570405573493", "367089020688300_551570405573493")</f>
        <v>367089020688300_551570405573493</v>
      </c>
      <c r="E1261" s="11">
        <v>42.0</v>
      </c>
      <c r="F1261" s="11">
        <v>0.0</v>
      </c>
      <c r="G1261" s="11">
        <v>45.0</v>
      </c>
      <c r="H1261" s="9" t="s">
        <v>26</v>
      </c>
      <c r="I1261" s="9" t="s">
        <v>5501</v>
      </c>
      <c r="J1261" s="9" t="s">
        <v>5502</v>
      </c>
      <c r="K1261" s="9" t="s">
        <v>5503</v>
      </c>
      <c r="L1261" s="9" t="s">
        <v>30</v>
      </c>
      <c r="M1261" s="9" t="s">
        <v>31</v>
      </c>
      <c r="N1261" s="9" t="s">
        <v>32</v>
      </c>
      <c r="O1261" s="12" t="s">
        <v>33</v>
      </c>
      <c r="P1261" s="12" t="s">
        <v>34</v>
      </c>
      <c r="Q1261" s="9"/>
      <c r="R1261" s="18"/>
      <c r="S1261" s="18"/>
      <c r="T1261" s="18"/>
      <c r="U1261" s="18"/>
      <c r="V1261" s="18"/>
      <c r="W1261" s="15"/>
      <c r="X1261" s="15"/>
    </row>
    <row r="1262">
      <c r="A1262" s="7">
        <v>1261.0</v>
      </c>
      <c r="B1262" s="8" t="s">
        <v>5504</v>
      </c>
      <c r="C1262" s="9" t="s">
        <v>5505</v>
      </c>
      <c r="D1262" s="10" t="str">
        <f>HYPERLINK("https://facebook.com/367089020688300_543911513006049", "367089020688300_543911513006049")</f>
        <v>367089020688300_543911513006049</v>
      </c>
      <c r="E1262" s="11">
        <v>20.0</v>
      </c>
      <c r="F1262" s="11">
        <v>2.0</v>
      </c>
      <c r="G1262" s="11">
        <v>16.0</v>
      </c>
      <c r="H1262" s="9" t="s">
        <v>26</v>
      </c>
      <c r="I1262" s="9" t="s">
        <v>5506</v>
      </c>
      <c r="J1262" s="16" t="s">
        <v>5507</v>
      </c>
      <c r="K1262" s="9"/>
      <c r="L1262" s="9" t="s">
        <v>30</v>
      </c>
      <c r="M1262" s="9" t="s">
        <v>31</v>
      </c>
      <c r="N1262" s="9" t="s">
        <v>32</v>
      </c>
      <c r="O1262" s="12" t="s">
        <v>33</v>
      </c>
      <c r="P1262" s="12" t="s">
        <v>34</v>
      </c>
      <c r="Q1262" s="9"/>
      <c r="R1262" s="18"/>
      <c r="S1262" s="18"/>
      <c r="T1262" s="18"/>
      <c r="U1262" s="18"/>
      <c r="V1262" s="18"/>
      <c r="W1262" s="15"/>
      <c r="X1262" s="15"/>
    </row>
    <row r="1263">
      <c r="A1263" s="7">
        <v>1262.0</v>
      </c>
      <c r="B1263" s="8" t="s">
        <v>5508</v>
      </c>
      <c r="C1263" s="9" t="s">
        <v>5509</v>
      </c>
      <c r="D1263" s="10" t="str">
        <f>HYPERLINK("https://facebook.com/367089020688300_511883699542164", "367089020688300_511883699542164")</f>
        <v>367089020688300_511883699542164</v>
      </c>
      <c r="E1263" s="11">
        <v>13.0</v>
      </c>
      <c r="F1263" s="11">
        <v>0.0</v>
      </c>
      <c r="G1263" s="11">
        <v>27.0</v>
      </c>
      <c r="H1263" s="9" t="s">
        <v>26</v>
      </c>
      <c r="I1263" s="9" t="s">
        <v>5510</v>
      </c>
      <c r="J1263" s="9" t="s">
        <v>5511</v>
      </c>
      <c r="K1263" s="9" t="s">
        <v>5512</v>
      </c>
      <c r="L1263" s="9" t="s">
        <v>30</v>
      </c>
      <c r="M1263" s="9" t="s">
        <v>31</v>
      </c>
      <c r="N1263" s="9" t="s">
        <v>32</v>
      </c>
      <c r="O1263" s="12" t="s">
        <v>33</v>
      </c>
      <c r="P1263" s="12" t="s">
        <v>34</v>
      </c>
      <c r="Q1263" s="9"/>
      <c r="R1263" s="18"/>
      <c r="S1263" s="18"/>
      <c r="T1263" s="18"/>
      <c r="U1263" s="18"/>
      <c r="V1263" s="18"/>
      <c r="W1263" s="15"/>
      <c r="X1263" s="15"/>
    </row>
    <row r="1264">
      <c r="A1264" s="7">
        <v>1263.0</v>
      </c>
      <c r="B1264" s="8" t="s">
        <v>5513</v>
      </c>
      <c r="C1264" s="9" t="s">
        <v>5514</v>
      </c>
      <c r="D1264" s="10" t="str">
        <f>HYPERLINK("https://facebook.com/367089020688300_537441913653009", "367089020688300_537441913653009")</f>
        <v>367089020688300_537441913653009</v>
      </c>
      <c r="E1264" s="11">
        <v>19.0</v>
      </c>
      <c r="F1264" s="11">
        <v>0.0</v>
      </c>
      <c r="G1264" s="11">
        <v>6.0</v>
      </c>
      <c r="H1264" s="9" t="s">
        <v>26</v>
      </c>
      <c r="I1264" s="9" t="s">
        <v>5515</v>
      </c>
      <c r="J1264" s="16" t="s">
        <v>5516</v>
      </c>
      <c r="K1264" s="9"/>
      <c r="L1264" s="9" t="s">
        <v>30</v>
      </c>
      <c r="M1264" s="9" t="s">
        <v>31</v>
      </c>
      <c r="N1264" s="9" t="s">
        <v>32</v>
      </c>
      <c r="O1264" s="12" t="s">
        <v>33</v>
      </c>
      <c r="P1264" s="12" t="s">
        <v>34</v>
      </c>
      <c r="Q1264" s="9"/>
      <c r="R1264" s="18"/>
      <c r="S1264" s="18"/>
      <c r="T1264" s="18"/>
      <c r="U1264" s="18"/>
      <c r="V1264" s="18"/>
      <c r="W1264" s="15"/>
      <c r="X1264" s="15"/>
    </row>
    <row r="1265">
      <c r="A1265" s="7">
        <v>1264.0</v>
      </c>
      <c r="B1265" s="8" t="s">
        <v>5517</v>
      </c>
      <c r="C1265" s="9" t="s">
        <v>5518</v>
      </c>
      <c r="D1265" s="10" t="str">
        <f>HYPERLINK("https://facebook.com/367089020688300_563078457756021", "367089020688300_563078457756021")</f>
        <v>367089020688300_563078457756021</v>
      </c>
      <c r="E1265" s="11">
        <v>87.0</v>
      </c>
      <c r="F1265" s="11">
        <v>3.0</v>
      </c>
      <c r="G1265" s="11">
        <v>167.0</v>
      </c>
      <c r="H1265" s="9" t="s">
        <v>26</v>
      </c>
      <c r="I1265" s="9" t="s">
        <v>5519</v>
      </c>
      <c r="J1265" s="9" t="s">
        <v>5520</v>
      </c>
      <c r="K1265" s="9" t="s">
        <v>3540</v>
      </c>
      <c r="L1265" s="9" t="s">
        <v>30</v>
      </c>
      <c r="M1265" s="9" t="s">
        <v>31</v>
      </c>
      <c r="N1265" s="9" t="s">
        <v>32</v>
      </c>
      <c r="O1265" s="12" t="s">
        <v>33</v>
      </c>
      <c r="P1265" s="12" t="s">
        <v>34</v>
      </c>
      <c r="Q1265" s="9"/>
      <c r="R1265" s="18"/>
      <c r="S1265" s="18"/>
      <c r="T1265" s="18"/>
      <c r="U1265" s="18"/>
      <c r="V1265" s="18"/>
      <c r="W1265" s="15"/>
      <c r="X1265" s="15"/>
    </row>
    <row r="1266">
      <c r="A1266" s="7">
        <v>1265.0</v>
      </c>
      <c r="B1266" s="8" t="s">
        <v>5521</v>
      </c>
      <c r="C1266" s="9" t="s">
        <v>5522</v>
      </c>
      <c r="D1266" s="10" t="str">
        <f>HYPERLINK("https://facebook.com/367089020688300_557642308299636", "367089020688300_557642308299636")</f>
        <v>367089020688300_557642308299636</v>
      </c>
      <c r="E1266" s="11">
        <v>195.0</v>
      </c>
      <c r="F1266" s="11">
        <v>2.0</v>
      </c>
      <c r="G1266" s="11">
        <v>178.0</v>
      </c>
      <c r="H1266" s="9" t="s">
        <v>26</v>
      </c>
      <c r="I1266" s="9" t="s">
        <v>5523</v>
      </c>
      <c r="J1266" s="9" t="s">
        <v>5524</v>
      </c>
      <c r="K1266" s="9" t="s">
        <v>5525</v>
      </c>
      <c r="L1266" s="9" t="s">
        <v>30</v>
      </c>
      <c r="M1266" s="9" t="s">
        <v>31</v>
      </c>
      <c r="N1266" s="9" t="s">
        <v>32</v>
      </c>
      <c r="O1266" s="12" t="s">
        <v>33</v>
      </c>
      <c r="P1266" s="12" t="s">
        <v>34</v>
      </c>
      <c r="Q1266" s="9"/>
      <c r="R1266" s="18"/>
      <c r="S1266" s="18"/>
      <c r="T1266" s="18"/>
      <c r="U1266" s="18"/>
      <c r="V1266" s="18"/>
      <c r="W1266" s="15"/>
      <c r="X1266" s="15"/>
    </row>
    <row r="1267">
      <c r="A1267" s="7">
        <v>1266.0</v>
      </c>
      <c r="B1267" s="8" t="s">
        <v>5526</v>
      </c>
      <c r="C1267" s="9" t="s">
        <v>5527</v>
      </c>
      <c r="D1267" s="10" t="str">
        <f>HYPERLINK("https://facebook.com/367089020688300_549809565749577", "367089020688300_549809565749577")</f>
        <v>367089020688300_549809565749577</v>
      </c>
      <c r="E1267" s="11">
        <v>43.0</v>
      </c>
      <c r="F1267" s="11">
        <v>0.0</v>
      </c>
      <c r="G1267" s="11">
        <v>10.0</v>
      </c>
      <c r="H1267" s="9" t="s">
        <v>26</v>
      </c>
      <c r="I1267" s="9" t="s">
        <v>2655</v>
      </c>
      <c r="J1267" s="16" t="s">
        <v>5528</v>
      </c>
      <c r="K1267" s="9"/>
      <c r="L1267" s="9" t="s">
        <v>30</v>
      </c>
      <c r="M1267" s="9" t="s">
        <v>31</v>
      </c>
      <c r="N1267" s="9" t="s">
        <v>32</v>
      </c>
      <c r="O1267" s="12" t="s">
        <v>33</v>
      </c>
      <c r="P1267" s="12" t="s">
        <v>34</v>
      </c>
      <c r="Q1267" s="9"/>
      <c r="R1267" s="18"/>
      <c r="S1267" s="18"/>
      <c r="T1267" s="18"/>
      <c r="U1267" s="18"/>
      <c r="V1267" s="18"/>
      <c r="W1267" s="15"/>
      <c r="X1267" s="15"/>
    </row>
    <row r="1268">
      <c r="A1268" s="7">
        <v>1267.0</v>
      </c>
      <c r="B1268" s="8" t="s">
        <v>5529</v>
      </c>
      <c r="C1268" s="9" t="s">
        <v>5530</v>
      </c>
      <c r="D1268" s="10" t="str">
        <f>HYPERLINK("https://facebook.com/367089020688300_497172341013300", "367089020688300_497172341013300")</f>
        <v>367089020688300_497172341013300</v>
      </c>
      <c r="E1268" s="11">
        <v>698.0</v>
      </c>
      <c r="F1268" s="11">
        <v>18.0</v>
      </c>
      <c r="G1268" s="11">
        <v>515.0</v>
      </c>
      <c r="H1268" s="9" t="s">
        <v>26</v>
      </c>
      <c r="I1268" s="9" t="s">
        <v>5531</v>
      </c>
      <c r="J1268" s="9" t="s">
        <v>5532</v>
      </c>
      <c r="K1268" s="9" t="s">
        <v>219</v>
      </c>
      <c r="L1268" s="9" t="s">
        <v>30</v>
      </c>
      <c r="M1268" s="9" t="s">
        <v>31</v>
      </c>
      <c r="N1268" s="9" t="s">
        <v>32</v>
      </c>
      <c r="O1268" s="12" t="s">
        <v>33</v>
      </c>
      <c r="P1268" s="12" t="s">
        <v>34</v>
      </c>
      <c r="Q1268" s="9"/>
      <c r="R1268" s="18"/>
      <c r="S1268" s="18"/>
      <c r="T1268" s="18"/>
      <c r="U1268" s="18"/>
      <c r="V1268" s="18"/>
      <c r="W1268" s="15"/>
      <c r="X1268" s="15"/>
    </row>
    <row r="1269">
      <c r="A1269" s="7">
        <v>1268.0</v>
      </c>
      <c r="B1269" s="8" t="s">
        <v>5533</v>
      </c>
      <c r="C1269" s="9" t="s">
        <v>5534</v>
      </c>
      <c r="D1269" s="10" t="str">
        <f>HYPERLINK("https://facebook.com/367089020688300_557954111601789", "367089020688300_557954111601789")</f>
        <v>367089020688300_557954111601789</v>
      </c>
      <c r="E1269" s="11">
        <v>7.0</v>
      </c>
      <c r="F1269" s="11">
        <v>0.0</v>
      </c>
      <c r="G1269" s="11">
        <v>4.0</v>
      </c>
      <c r="H1269" s="9" t="s">
        <v>26</v>
      </c>
      <c r="I1269" s="9" t="s">
        <v>5535</v>
      </c>
      <c r="J1269" s="16" t="s">
        <v>5536</v>
      </c>
      <c r="K1269" s="9"/>
      <c r="L1269" s="9" t="s">
        <v>30</v>
      </c>
      <c r="M1269" s="9" t="s">
        <v>31</v>
      </c>
      <c r="N1269" s="9" t="s">
        <v>32</v>
      </c>
      <c r="O1269" s="12" t="s">
        <v>33</v>
      </c>
      <c r="P1269" s="12" t="s">
        <v>34</v>
      </c>
      <c r="Q1269" s="9"/>
      <c r="R1269" s="18"/>
      <c r="S1269" s="18"/>
      <c r="T1269" s="18"/>
      <c r="U1269" s="18"/>
      <c r="V1269" s="18"/>
      <c r="W1269" s="15"/>
      <c r="X1269" s="15"/>
    </row>
    <row r="1270">
      <c r="A1270" s="7">
        <v>1269.0</v>
      </c>
      <c r="B1270" s="8" t="s">
        <v>5537</v>
      </c>
      <c r="C1270" s="9" t="s">
        <v>5538</v>
      </c>
      <c r="D1270" s="10" t="str">
        <f>HYPERLINK("https://facebook.com/367089020688300_552494655481068", "367089020688300_552494655481068")</f>
        <v>367089020688300_552494655481068</v>
      </c>
      <c r="E1270" s="11">
        <v>105.0</v>
      </c>
      <c r="F1270" s="11">
        <v>0.0</v>
      </c>
      <c r="G1270" s="11">
        <v>68.0</v>
      </c>
      <c r="H1270" s="9" t="s">
        <v>26</v>
      </c>
      <c r="I1270" s="9" t="s">
        <v>5539</v>
      </c>
      <c r="J1270" s="9" t="s">
        <v>5540</v>
      </c>
      <c r="K1270" s="9" t="s">
        <v>219</v>
      </c>
      <c r="L1270" s="9" t="s">
        <v>30</v>
      </c>
      <c r="M1270" s="9" t="s">
        <v>31</v>
      </c>
      <c r="N1270" s="9" t="s">
        <v>32</v>
      </c>
      <c r="O1270" s="12" t="s">
        <v>33</v>
      </c>
      <c r="P1270" s="12" t="s">
        <v>34</v>
      </c>
      <c r="Q1270" s="9"/>
      <c r="R1270" s="18"/>
      <c r="S1270" s="18"/>
      <c r="T1270" s="18"/>
      <c r="U1270" s="18"/>
      <c r="V1270" s="18"/>
      <c r="W1270" s="15"/>
      <c r="X1270" s="15"/>
    </row>
    <row r="1271">
      <c r="A1271" s="7">
        <v>1270.0</v>
      </c>
      <c r="B1271" s="8" t="s">
        <v>5541</v>
      </c>
      <c r="C1271" s="9" t="s">
        <v>5542</v>
      </c>
      <c r="D1271" s="10" t="str">
        <f>HYPERLINK("https://facebook.com/367089020688300_560981627965704", "367089020688300_560981627965704")</f>
        <v>367089020688300_560981627965704</v>
      </c>
      <c r="E1271" s="11">
        <v>771.0</v>
      </c>
      <c r="F1271" s="11">
        <v>54.0</v>
      </c>
      <c r="G1271" s="11">
        <v>871.0</v>
      </c>
      <c r="H1271" s="9" t="s">
        <v>26</v>
      </c>
      <c r="I1271" s="9" t="s">
        <v>5543</v>
      </c>
      <c r="J1271" s="16" t="s">
        <v>5544</v>
      </c>
      <c r="K1271" s="9"/>
      <c r="L1271" s="9" t="s">
        <v>30</v>
      </c>
      <c r="M1271" s="9" t="s">
        <v>31</v>
      </c>
      <c r="N1271" s="9" t="s">
        <v>32</v>
      </c>
      <c r="O1271" s="12" t="s">
        <v>33</v>
      </c>
      <c r="P1271" s="12" t="s">
        <v>34</v>
      </c>
      <c r="Q1271" s="9"/>
      <c r="R1271" s="18"/>
      <c r="S1271" s="18"/>
      <c r="T1271" s="18"/>
      <c r="U1271" s="18"/>
      <c r="V1271" s="18"/>
      <c r="W1271" s="15"/>
      <c r="X1271" s="15"/>
    </row>
    <row r="1272">
      <c r="A1272" s="7">
        <v>1271.0</v>
      </c>
      <c r="B1272" s="8" t="s">
        <v>5545</v>
      </c>
      <c r="C1272" s="9" t="s">
        <v>5546</v>
      </c>
      <c r="D1272" s="10" t="str">
        <f>HYPERLINK("https://facebook.com/367089020688300_541436416586892", "367089020688300_541436416586892")</f>
        <v>367089020688300_541436416586892</v>
      </c>
      <c r="E1272" s="11">
        <v>62.0</v>
      </c>
      <c r="F1272" s="11">
        <v>0.0</v>
      </c>
      <c r="G1272" s="11">
        <v>26.0</v>
      </c>
      <c r="H1272" s="9" t="s">
        <v>26</v>
      </c>
      <c r="I1272" s="9" t="s">
        <v>5547</v>
      </c>
      <c r="J1272" s="16" t="s">
        <v>5548</v>
      </c>
      <c r="K1272" s="9"/>
      <c r="L1272" s="9" t="s">
        <v>30</v>
      </c>
      <c r="M1272" s="9" t="s">
        <v>31</v>
      </c>
      <c r="N1272" s="9" t="s">
        <v>32</v>
      </c>
      <c r="O1272" s="12" t="s">
        <v>33</v>
      </c>
      <c r="P1272" s="12" t="s">
        <v>34</v>
      </c>
      <c r="Q1272" s="9"/>
      <c r="R1272" s="18"/>
      <c r="S1272" s="18"/>
      <c r="T1272" s="18"/>
      <c r="U1272" s="18"/>
      <c r="V1272" s="18"/>
      <c r="W1272" s="15"/>
      <c r="X1272" s="15"/>
    </row>
    <row r="1273">
      <c r="A1273" s="7">
        <v>1272.0</v>
      </c>
      <c r="B1273" s="8" t="s">
        <v>5549</v>
      </c>
      <c r="C1273" s="9" t="s">
        <v>5550</v>
      </c>
      <c r="D1273" s="10" t="str">
        <f>HYPERLINK("https://facebook.com/367089020688300_524161524981048", "367089020688300_524161524981048")</f>
        <v>367089020688300_524161524981048</v>
      </c>
      <c r="E1273" s="11">
        <v>267.0</v>
      </c>
      <c r="F1273" s="11">
        <v>19.0</v>
      </c>
      <c r="G1273" s="11">
        <v>279.0</v>
      </c>
      <c r="H1273" s="9" t="s">
        <v>26</v>
      </c>
      <c r="I1273" s="9" t="s">
        <v>5551</v>
      </c>
      <c r="J1273" s="9" t="s">
        <v>5552</v>
      </c>
      <c r="K1273" s="9" t="s">
        <v>5553</v>
      </c>
      <c r="L1273" s="9" t="s">
        <v>30</v>
      </c>
      <c r="M1273" s="9" t="s">
        <v>31</v>
      </c>
      <c r="N1273" s="9" t="s">
        <v>32</v>
      </c>
      <c r="O1273" s="12" t="s">
        <v>33</v>
      </c>
      <c r="P1273" s="12" t="s">
        <v>34</v>
      </c>
      <c r="Q1273" s="9"/>
      <c r="R1273" s="18"/>
      <c r="S1273" s="18"/>
      <c r="T1273" s="18"/>
      <c r="U1273" s="18"/>
      <c r="V1273" s="18"/>
      <c r="W1273" s="15"/>
      <c r="X1273" s="15"/>
    </row>
    <row r="1274">
      <c r="A1274" s="7">
        <v>1273.0</v>
      </c>
      <c r="B1274" s="8" t="s">
        <v>5554</v>
      </c>
      <c r="C1274" s="9" t="s">
        <v>5555</v>
      </c>
      <c r="D1274" s="10" t="str">
        <f>HYPERLINK("https://facebook.com/367089020688300_539082023488998", "367089020688300_539082023488998")</f>
        <v>367089020688300_539082023488998</v>
      </c>
      <c r="E1274" s="11">
        <v>387.0</v>
      </c>
      <c r="F1274" s="11">
        <v>10.0</v>
      </c>
      <c r="G1274" s="11">
        <v>215.0</v>
      </c>
      <c r="H1274" s="9" t="s">
        <v>26</v>
      </c>
      <c r="I1274" s="9" t="s">
        <v>5556</v>
      </c>
      <c r="J1274" s="16" t="s">
        <v>5557</v>
      </c>
      <c r="K1274" s="9"/>
      <c r="L1274" s="9" t="s">
        <v>30</v>
      </c>
      <c r="M1274" s="9" t="s">
        <v>31</v>
      </c>
      <c r="N1274" s="9" t="s">
        <v>32</v>
      </c>
      <c r="O1274" s="12" t="s">
        <v>33</v>
      </c>
      <c r="P1274" s="12" t="s">
        <v>34</v>
      </c>
      <c r="Q1274" s="9"/>
      <c r="R1274" s="18"/>
      <c r="S1274" s="18"/>
      <c r="T1274" s="18"/>
      <c r="U1274" s="18"/>
      <c r="V1274" s="18"/>
      <c r="W1274" s="15"/>
      <c r="X1274" s="15"/>
    </row>
    <row r="1275">
      <c r="A1275" s="7">
        <v>1274.0</v>
      </c>
      <c r="B1275" s="8" t="s">
        <v>5558</v>
      </c>
      <c r="C1275" s="9" t="s">
        <v>5559</v>
      </c>
      <c r="D1275" s="10" t="str">
        <f>HYPERLINK("https://facebook.com/367089020688300_531602360903631", "367089020688300_531602360903631")</f>
        <v>367089020688300_531602360903631</v>
      </c>
      <c r="E1275" s="11">
        <v>62.0</v>
      </c>
      <c r="F1275" s="11">
        <v>0.0</v>
      </c>
      <c r="G1275" s="11">
        <v>20.0</v>
      </c>
      <c r="H1275" s="9" t="s">
        <v>26</v>
      </c>
      <c r="I1275" s="9" t="s">
        <v>5560</v>
      </c>
      <c r="J1275" s="16" t="s">
        <v>5561</v>
      </c>
      <c r="K1275" s="9"/>
      <c r="L1275" s="9" t="s">
        <v>30</v>
      </c>
      <c r="M1275" s="9" t="s">
        <v>31</v>
      </c>
      <c r="N1275" s="9" t="s">
        <v>32</v>
      </c>
      <c r="O1275" s="12" t="s">
        <v>33</v>
      </c>
      <c r="P1275" s="12" t="s">
        <v>34</v>
      </c>
      <c r="Q1275" s="9"/>
      <c r="R1275" s="18"/>
      <c r="S1275" s="18"/>
      <c r="T1275" s="18"/>
      <c r="U1275" s="18"/>
      <c r="V1275" s="18"/>
      <c r="W1275" s="15"/>
      <c r="X1275" s="15"/>
    </row>
    <row r="1276">
      <c r="A1276" s="7">
        <v>1275.0</v>
      </c>
      <c r="B1276" s="8" t="s">
        <v>5562</v>
      </c>
      <c r="C1276" s="9" t="s">
        <v>5563</v>
      </c>
      <c r="D1276" s="10" t="str">
        <f>HYPERLINK("https://facebook.com/367089020688300_421224038608131", "367089020688300_421224038608131")</f>
        <v>367089020688300_421224038608131</v>
      </c>
      <c r="E1276" s="11">
        <v>250.0</v>
      </c>
      <c r="F1276" s="11">
        <v>9.0</v>
      </c>
      <c r="G1276" s="11">
        <v>254.0</v>
      </c>
      <c r="H1276" s="9" t="s">
        <v>26</v>
      </c>
      <c r="I1276" s="9" t="s">
        <v>5564</v>
      </c>
      <c r="J1276" s="9" t="s">
        <v>5565</v>
      </c>
      <c r="K1276" s="9" t="s">
        <v>5566</v>
      </c>
      <c r="L1276" s="9" t="s">
        <v>30</v>
      </c>
      <c r="M1276" s="9" t="s">
        <v>31</v>
      </c>
      <c r="N1276" s="9" t="s">
        <v>32</v>
      </c>
      <c r="O1276" s="12" t="s">
        <v>33</v>
      </c>
      <c r="P1276" s="12" t="s">
        <v>34</v>
      </c>
      <c r="Q1276" s="9"/>
      <c r="R1276" s="18"/>
      <c r="S1276" s="18"/>
      <c r="T1276" s="18"/>
      <c r="U1276" s="18"/>
      <c r="V1276" s="18"/>
      <c r="W1276" s="15"/>
      <c r="X1276" s="15"/>
    </row>
    <row r="1277">
      <c r="A1277" s="7">
        <v>1276.0</v>
      </c>
      <c r="B1277" s="8" t="s">
        <v>5567</v>
      </c>
      <c r="C1277" s="9" t="s">
        <v>5568</v>
      </c>
      <c r="D1277" s="10" t="str">
        <f>HYPERLINK("https://facebook.com/367089020688300_456360188427849", "367089020688300_456360188427849")</f>
        <v>367089020688300_456360188427849</v>
      </c>
      <c r="E1277" s="11">
        <v>506.0</v>
      </c>
      <c r="F1277" s="11">
        <v>11.0</v>
      </c>
      <c r="G1277" s="11">
        <v>273.0</v>
      </c>
      <c r="H1277" s="9" t="s">
        <v>26</v>
      </c>
      <c r="I1277" s="9" t="s">
        <v>5569</v>
      </c>
      <c r="J1277" s="9" t="s">
        <v>5570</v>
      </c>
      <c r="K1277" s="9" t="s">
        <v>5571</v>
      </c>
      <c r="L1277" s="9" t="s">
        <v>30</v>
      </c>
      <c r="M1277" s="9" t="s">
        <v>31</v>
      </c>
      <c r="N1277" s="9" t="s">
        <v>32</v>
      </c>
      <c r="O1277" s="12" t="s">
        <v>33</v>
      </c>
      <c r="P1277" s="12" t="s">
        <v>34</v>
      </c>
      <c r="Q1277" s="9"/>
      <c r="R1277" s="18"/>
      <c r="S1277" s="18"/>
      <c r="T1277" s="18"/>
      <c r="U1277" s="18"/>
      <c r="V1277" s="18"/>
      <c r="W1277" s="15"/>
      <c r="X1277" s="15"/>
    </row>
    <row r="1278">
      <c r="A1278" s="7">
        <v>1277.0</v>
      </c>
      <c r="B1278" s="8" t="s">
        <v>5572</v>
      </c>
      <c r="C1278" s="9" t="s">
        <v>5573</v>
      </c>
      <c r="D1278" s="10" t="str">
        <f>HYPERLINK("https://facebook.com/367089020688300_553827912014409", "367089020688300_553827912014409")</f>
        <v>367089020688300_553827912014409</v>
      </c>
      <c r="E1278" s="11">
        <v>300.0</v>
      </c>
      <c r="F1278" s="11">
        <v>0.0</v>
      </c>
      <c r="G1278" s="11">
        <v>253.0</v>
      </c>
      <c r="H1278" s="9" t="s">
        <v>26</v>
      </c>
      <c r="I1278" s="9" t="s">
        <v>5574</v>
      </c>
      <c r="J1278" s="16" t="s">
        <v>5575</v>
      </c>
      <c r="K1278" s="9"/>
      <c r="L1278" s="9" t="s">
        <v>30</v>
      </c>
      <c r="M1278" s="9" t="s">
        <v>31</v>
      </c>
      <c r="N1278" s="9" t="s">
        <v>32</v>
      </c>
      <c r="O1278" s="12" t="s">
        <v>33</v>
      </c>
      <c r="P1278" s="12" t="s">
        <v>34</v>
      </c>
      <c r="Q1278" s="9"/>
      <c r="R1278" s="18"/>
      <c r="S1278" s="18"/>
      <c r="T1278" s="18"/>
      <c r="U1278" s="18"/>
      <c r="V1278" s="18"/>
      <c r="W1278" s="15"/>
      <c r="X1278" s="15"/>
    </row>
    <row r="1279">
      <c r="A1279" s="7">
        <v>1278.0</v>
      </c>
      <c r="B1279" s="8" t="s">
        <v>5576</v>
      </c>
      <c r="C1279" s="9" t="s">
        <v>5577</v>
      </c>
      <c r="D1279" s="10" t="str">
        <f>HYPERLINK("https://facebook.com/367089020688300_529212601142607", "367089020688300_529212601142607")</f>
        <v>367089020688300_529212601142607</v>
      </c>
      <c r="E1279" s="11">
        <v>465.0</v>
      </c>
      <c r="F1279" s="11">
        <v>30.0</v>
      </c>
      <c r="G1279" s="11">
        <v>289.0</v>
      </c>
      <c r="H1279" s="9" t="s">
        <v>26</v>
      </c>
      <c r="I1279" s="9" t="s">
        <v>5578</v>
      </c>
      <c r="J1279" s="9" t="s">
        <v>5579</v>
      </c>
      <c r="K1279" s="9" t="s">
        <v>249</v>
      </c>
      <c r="L1279" s="9" t="s">
        <v>30</v>
      </c>
      <c r="M1279" s="9" t="s">
        <v>31</v>
      </c>
      <c r="N1279" s="9" t="s">
        <v>32</v>
      </c>
      <c r="O1279" s="12" t="s">
        <v>33</v>
      </c>
      <c r="P1279" s="12" t="s">
        <v>34</v>
      </c>
      <c r="Q1279" s="9"/>
      <c r="R1279" s="18"/>
      <c r="S1279" s="18"/>
      <c r="T1279" s="18"/>
      <c r="U1279" s="18"/>
      <c r="V1279" s="18"/>
      <c r="W1279" s="15"/>
      <c r="X1279" s="15"/>
    </row>
    <row r="1280">
      <c r="A1280" s="7">
        <v>1279.0</v>
      </c>
      <c r="B1280" s="8" t="s">
        <v>5580</v>
      </c>
      <c r="C1280" s="9" t="s">
        <v>5581</v>
      </c>
      <c r="D1280" s="10" t="str">
        <f>HYPERLINK("https://facebook.com/367089020688300_548624489201418", "367089020688300_548624489201418")</f>
        <v>367089020688300_548624489201418</v>
      </c>
      <c r="E1280" s="11">
        <v>24.0</v>
      </c>
      <c r="F1280" s="11">
        <v>0.0</v>
      </c>
      <c r="G1280" s="11">
        <v>18.0</v>
      </c>
      <c r="H1280" s="9" t="s">
        <v>26</v>
      </c>
      <c r="I1280" s="9" t="s">
        <v>5582</v>
      </c>
      <c r="J1280" s="16" t="s">
        <v>5583</v>
      </c>
      <c r="K1280" s="9"/>
      <c r="L1280" s="9" t="s">
        <v>30</v>
      </c>
      <c r="M1280" s="9" t="s">
        <v>31</v>
      </c>
      <c r="N1280" s="9" t="s">
        <v>32</v>
      </c>
      <c r="O1280" s="12" t="s">
        <v>33</v>
      </c>
      <c r="P1280" s="12" t="s">
        <v>34</v>
      </c>
      <c r="Q1280" s="9"/>
      <c r="R1280" s="18"/>
      <c r="S1280" s="18"/>
      <c r="T1280" s="18"/>
      <c r="U1280" s="18"/>
      <c r="V1280" s="18"/>
      <c r="W1280" s="15"/>
      <c r="X1280" s="15"/>
    </row>
    <row r="1281">
      <c r="A1281" s="7">
        <v>1280.0</v>
      </c>
      <c r="B1281" s="8" t="s">
        <v>5584</v>
      </c>
      <c r="C1281" s="9" t="s">
        <v>5585</v>
      </c>
      <c r="D1281" s="10" t="str">
        <f>HYPERLINK("https://facebook.com/367089020688300_506166846780516", "367089020688300_506166846780516")</f>
        <v>367089020688300_506166846780516</v>
      </c>
      <c r="E1281" s="11">
        <v>169.0</v>
      </c>
      <c r="F1281" s="11">
        <v>2.0</v>
      </c>
      <c r="G1281" s="11">
        <v>149.0</v>
      </c>
      <c r="H1281" s="9" t="s">
        <v>26</v>
      </c>
      <c r="I1281" s="9" t="s">
        <v>5586</v>
      </c>
      <c r="J1281" s="9" t="s">
        <v>5587</v>
      </c>
      <c r="K1281" s="9" t="s">
        <v>5588</v>
      </c>
      <c r="L1281" s="9" t="s">
        <v>30</v>
      </c>
      <c r="M1281" s="9" t="s">
        <v>31</v>
      </c>
      <c r="N1281" s="9" t="s">
        <v>32</v>
      </c>
      <c r="O1281" s="12" t="s">
        <v>33</v>
      </c>
      <c r="P1281" s="12" t="s">
        <v>34</v>
      </c>
      <c r="Q1281" s="9"/>
      <c r="R1281" s="18"/>
      <c r="S1281" s="18"/>
      <c r="T1281" s="18"/>
      <c r="U1281" s="18"/>
      <c r="V1281" s="18"/>
      <c r="W1281" s="15"/>
      <c r="X1281" s="15"/>
    </row>
    <row r="1282">
      <c r="A1282" s="7">
        <v>1281.0</v>
      </c>
      <c r="B1282" s="8" t="s">
        <v>5589</v>
      </c>
      <c r="C1282" s="9" t="s">
        <v>5590</v>
      </c>
      <c r="D1282" s="10" t="str">
        <f>HYPERLINK("https://facebook.com/367089020688300_557755831621617", "367089020688300_557755831621617")</f>
        <v>367089020688300_557755831621617</v>
      </c>
      <c r="E1282" s="11">
        <v>67.0</v>
      </c>
      <c r="F1282" s="11">
        <v>0.0</v>
      </c>
      <c r="G1282" s="11">
        <v>36.0</v>
      </c>
      <c r="H1282" s="9" t="s">
        <v>26</v>
      </c>
      <c r="I1282" s="9" t="s">
        <v>5591</v>
      </c>
      <c r="J1282" s="16" t="s">
        <v>5592</v>
      </c>
      <c r="K1282" s="9"/>
      <c r="L1282" s="9" t="s">
        <v>30</v>
      </c>
      <c r="M1282" s="9" t="s">
        <v>31</v>
      </c>
      <c r="N1282" s="9" t="s">
        <v>32</v>
      </c>
      <c r="O1282" s="12" t="s">
        <v>33</v>
      </c>
      <c r="P1282" s="12" t="s">
        <v>34</v>
      </c>
      <c r="Q1282" s="9"/>
      <c r="R1282" s="18"/>
      <c r="S1282" s="18"/>
      <c r="T1282" s="18"/>
      <c r="U1282" s="18"/>
      <c r="V1282" s="18"/>
      <c r="W1282" s="15"/>
      <c r="X1282" s="15"/>
    </row>
    <row r="1283">
      <c r="A1283" s="7">
        <v>1282.0</v>
      </c>
      <c r="B1283" s="8" t="s">
        <v>5593</v>
      </c>
      <c r="C1283" s="9" t="s">
        <v>5594</v>
      </c>
      <c r="D1283" s="10" t="str">
        <f>HYPERLINK("https://facebook.com/367089020688300_549487639115103", "367089020688300_549487639115103")</f>
        <v>367089020688300_549487639115103</v>
      </c>
      <c r="E1283" s="11">
        <v>62.0</v>
      </c>
      <c r="F1283" s="11">
        <v>1.0</v>
      </c>
      <c r="G1283" s="11">
        <v>45.0</v>
      </c>
      <c r="H1283" s="9" t="s">
        <v>26</v>
      </c>
      <c r="I1283" s="9" t="s">
        <v>5595</v>
      </c>
      <c r="J1283" s="9" t="s">
        <v>5596</v>
      </c>
      <c r="K1283" s="9" t="s">
        <v>5597</v>
      </c>
      <c r="L1283" s="9" t="s">
        <v>30</v>
      </c>
      <c r="M1283" s="9" t="s">
        <v>31</v>
      </c>
      <c r="N1283" s="9" t="s">
        <v>32</v>
      </c>
      <c r="O1283" s="12" t="s">
        <v>33</v>
      </c>
      <c r="P1283" s="12" t="s">
        <v>34</v>
      </c>
      <c r="Q1283" s="9"/>
      <c r="R1283" s="18"/>
      <c r="S1283" s="18"/>
      <c r="T1283" s="18"/>
      <c r="U1283" s="18"/>
      <c r="V1283" s="18"/>
      <c r="W1283" s="15"/>
      <c r="X1283" s="15"/>
    </row>
    <row r="1284">
      <c r="A1284" s="7">
        <v>1283.0</v>
      </c>
      <c r="B1284" s="8" t="s">
        <v>5598</v>
      </c>
      <c r="C1284" s="9" t="s">
        <v>5599</v>
      </c>
      <c r="D1284" s="10" t="str">
        <f>HYPERLINK("https://facebook.com/367089020688300_528729357857598", "367089020688300_528729357857598")</f>
        <v>367089020688300_528729357857598</v>
      </c>
      <c r="E1284" s="11">
        <v>269.0</v>
      </c>
      <c r="F1284" s="11">
        <v>7.0</v>
      </c>
      <c r="G1284" s="11">
        <v>280.0</v>
      </c>
      <c r="H1284" s="9" t="s">
        <v>26</v>
      </c>
      <c r="I1284" s="9" t="s">
        <v>5600</v>
      </c>
      <c r="J1284" s="9" t="s">
        <v>5601</v>
      </c>
      <c r="K1284" s="9" t="s">
        <v>363</v>
      </c>
      <c r="L1284" s="9" t="s">
        <v>30</v>
      </c>
      <c r="M1284" s="9" t="s">
        <v>31</v>
      </c>
      <c r="N1284" s="9" t="s">
        <v>32</v>
      </c>
      <c r="O1284" s="12" t="s">
        <v>33</v>
      </c>
      <c r="P1284" s="12" t="s">
        <v>34</v>
      </c>
      <c r="Q1284" s="9"/>
      <c r="R1284" s="18"/>
      <c r="S1284" s="18"/>
      <c r="T1284" s="18"/>
      <c r="U1284" s="18"/>
      <c r="V1284" s="18"/>
      <c r="W1284" s="15"/>
      <c r="X1284" s="15"/>
    </row>
    <row r="1285">
      <c r="A1285" s="7">
        <v>1284.0</v>
      </c>
      <c r="B1285" s="8" t="s">
        <v>5602</v>
      </c>
      <c r="C1285" s="9" t="s">
        <v>5603</v>
      </c>
      <c r="D1285" s="10" t="str">
        <f>HYPERLINK("https://facebook.com/367089020688300_560681691329031", "367089020688300_560681691329031")</f>
        <v>367089020688300_560681691329031</v>
      </c>
      <c r="E1285" s="11">
        <v>92.0</v>
      </c>
      <c r="F1285" s="11">
        <v>0.0</v>
      </c>
      <c r="G1285" s="11">
        <v>25.0</v>
      </c>
      <c r="H1285" s="9" t="s">
        <v>26</v>
      </c>
      <c r="I1285" s="9" t="s">
        <v>1073</v>
      </c>
      <c r="J1285" s="16" t="s">
        <v>1074</v>
      </c>
      <c r="K1285" s="9"/>
      <c r="L1285" s="9" t="s">
        <v>30</v>
      </c>
      <c r="M1285" s="9" t="s">
        <v>31</v>
      </c>
      <c r="N1285" s="9" t="s">
        <v>32</v>
      </c>
      <c r="O1285" s="12" t="s">
        <v>33</v>
      </c>
      <c r="P1285" s="12" t="s">
        <v>34</v>
      </c>
      <c r="Q1285" s="9"/>
      <c r="R1285" s="18"/>
      <c r="S1285" s="18"/>
      <c r="T1285" s="18"/>
      <c r="U1285" s="18"/>
      <c r="V1285" s="18"/>
      <c r="W1285" s="15"/>
      <c r="X1285" s="15"/>
    </row>
    <row r="1286">
      <c r="A1286" s="7">
        <v>1285.0</v>
      </c>
      <c r="B1286" s="8" t="s">
        <v>5604</v>
      </c>
      <c r="C1286" s="9" t="s">
        <v>5605</v>
      </c>
      <c r="D1286" s="10" t="str">
        <f>HYPERLINK("https://facebook.com/367089020688300_543465149717352", "367089020688300_543465149717352")</f>
        <v>367089020688300_543465149717352</v>
      </c>
      <c r="E1286" s="11">
        <v>20.0</v>
      </c>
      <c r="F1286" s="11">
        <v>0.0</v>
      </c>
      <c r="G1286" s="11">
        <v>49.0</v>
      </c>
      <c r="H1286" s="9" t="s">
        <v>26</v>
      </c>
      <c r="I1286" s="9" t="s">
        <v>2650</v>
      </c>
      <c r="J1286" s="16" t="s">
        <v>2651</v>
      </c>
      <c r="K1286" s="9"/>
      <c r="L1286" s="9" t="s">
        <v>30</v>
      </c>
      <c r="M1286" s="9" t="s">
        <v>31</v>
      </c>
      <c r="N1286" s="9" t="s">
        <v>32</v>
      </c>
      <c r="O1286" s="12" t="s">
        <v>33</v>
      </c>
      <c r="P1286" s="12" t="s">
        <v>34</v>
      </c>
      <c r="Q1286" s="9"/>
      <c r="R1286" s="18"/>
      <c r="S1286" s="18"/>
      <c r="T1286" s="18"/>
      <c r="U1286" s="18"/>
      <c r="V1286" s="18"/>
      <c r="W1286" s="15"/>
      <c r="X1286" s="15"/>
    </row>
    <row r="1287">
      <c r="A1287" s="7">
        <v>1286.0</v>
      </c>
      <c r="B1287" s="8" t="s">
        <v>5606</v>
      </c>
      <c r="C1287" s="9" t="s">
        <v>5607</v>
      </c>
      <c r="D1287" s="10" t="str">
        <f>HYPERLINK("https://facebook.com/367089020688300_559517174778816", "367089020688300_559517174778816")</f>
        <v>367089020688300_559517174778816</v>
      </c>
      <c r="E1287" s="11">
        <v>15.0</v>
      </c>
      <c r="F1287" s="11">
        <v>0.0</v>
      </c>
      <c r="G1287" s="11">
        <v>41.0</v>
      </c>
      <c r="H1287" s="9" t="s">
        <v>26</v>
      </c>
      <c r="I1287" s="9" t="s">
        <v>5608</v>
      </c>
      <c r="J1287" s="16" t="s">
        <v>5609</v>
      </c>
      <c r="K1287" s="9"/>
      <c r="L1287" s="9" t="s">
        <v>30</v>
      </c>
      <c r="M1287" s="9" t="s">
        <v>31</v>
      </c>
      <c r="N1287" s="9" t="s">
        <v>32</v>
      </c>
      <c r="O1287" s="12" t="s">
        <v>33</v>
      </c>
      <c r="P1287" s="12" t="s">
        <v>34</v>
      </c>
      <c r="Q1287" s="9"/>
      <c r="R1287" s="18"/>
      <c r="S1287" s="18"/>
      <c r="T1287" s="18"/>
      <c r="U1287" s="18"/>
      <c r="V1287" s="18"/>
      <c r="W1287" s="15"/>
      <c r="X1287" s="15"/>
    </row>
    <row r="1288">
      <c r="A1288" s="7">
        <v>1287.0</v>
      </c>
      <c r="B1288" s="8" t="s">
        <v>5610</v>
      </c>
      <c r="C1288" s="9" t="s">
        <v>5611</v>
      </c>
      <c r="D1288" s="10" t="str">
        <f>HYPERLINK("https://facebook.com/367089020688300_540695129994354", "367089020688300_540695129994354")</f>
        <v>367089020688300_540695129994354</v>
      </c>
      <c r="E1288" s="11">
        <v>12.0</v>
      </c>
      <c r="F1288" s="11">
        <v>0.0</v>
      </c>
      <c r="G1288" s="11">
        <v>1.0</v>
      </c>
      <c r="H1288" s="9" t="s">
        <v>26</v>
      </c>
      <c r="I1288" s="9" t="s">
        <v>5612</v>
      </c>
      <c r="J1288" s="9" t="s">
        <v>5613</v>
      </c>
      <c r="K1288" s="9" t="s">
        <v>219</v>
      </c>
      <c r="L1288" s="9" t="s">
        <v>30</v>
      </c>
      <c r="M1288" s="9" t="s">
        <v>31</v>
      </c>
      <c r="N1288" s="9" t="s">
        <v>32</v>
      </c>
      <c r="O1288" s="12" t="s">
        <v>33</v>
      </c>
      <c r="P1288" s="12" t="s">
        <v>34</v>
      </c>
      <c r="Q1288" s="9"/>
      <c r="R1288" s="18"/>
      <c r="S1288" s="18"/>
      <c r="T1288" s="18"/>
      <c r="U1288" s="18"/>
      <c r="V1288" s="18"/>
      <c r="W1288" s="15"/>
      <c r="X1288" s="15"/>
    </row>
    <row r="1289">
      <c r="A1289" s="7">
        <v>1288.0</v>
      </c>
      <c r="B1289" s="8" t="s">
        <v>5614</v>
      </c>
      <c r="C1289" s="9" t="s">
        <v>5615</v>
      </c>
      <c r="D1289" s="10" t="str">
        <f>HYPERLINK("https://facebook.com/367089020688300_422540191809849", "367089020688300_422540191809849")</f>
        <v>367089020688300_422540191809849</v>
      </c>
      <c r="E1289" s="11">
        <v>864.0</v>
      </c>
      <c r="F1289" s="11">
        <v>20.0</v>
      </c>
      <c r="G1289" s="11">
        <v>641.0</v>
      </c>
      <c r="H1289" s="9" t="s">
        <v>26</v>
      </c>
      <c r="I1289" s="9" t="s">
        <v>5616</v>
      </c>
      <c r="J1289" s="9" t="s">
        <v>5617</v>
      </c>
      <c r="K1289" s="9" t="s">
        <v>5618</v>
      </c>
      <c r="L1289" s="9" t="s">
        <v>30</v>
      </c>
      <c r="M1289" s="9" t="s">
        <v>31</v>
      </c>
      <c r="N1289" s="9" t="s">
        <v>32</v>
      </c>
      <c r="O1289" s="12" t="s">
        <v>33</v>
      </c>
      <c r="P1289" s="12" t="s">
        <v>34</v>
      </c>
      <c r="Q1289" s="9"/>
      <c r="R1289" s="18"/>
      <c r="S1289" s="18"/>
      <c r="T1289" s="18"/>
      <c r="U1289" s="18"/>
      <c r="V1289" s="18"/>
      <c r="W1289" s="15"/>
      <c r="X1289" s="15"/>
    </row>
    <row r="1290">
      <c r="A1290" s="7">
        <v>1289.0</v>
      </c>
      <c r="B1290" s="8" t="s">
        <v>5619</v>
      </c>
      <c r="C1290" s="9" t="s">
        <v>5620</v>
      </c>
      <c r="D1290" s="10" t="str">
        <f>HYPERLINK("https://facebook.com/367089020688300_551374162259784", "367089020688300_551374162259784")</f>
        <v>367089020688300_551374162259784</v>
      </c>
      <c r="E1290" s="11">
        <v>206.0</v>
      </c>
      <c r="F1290" s="11">
        <v>4.0</v>
      </c>
      <c r="G1290" s="11">
        <v>237.0</v>
      </c>
      <c r="H1290" s="9" t="s">
        <v>26</v>
      </c>
      <c r="I1290" s="9" t="s">
        <v>5621</v>
      </c>
      <c r="J1290" s="9" t="s">
        <v>5622</v>
      </c>
      <c r="K1290" s="9" t="s">
        <v>5623</v>
      </c>
      <c r="L1290" s="9" t="s">
        <v>30</v>
      </c>
      <c r="M1290" s="9" t="s">
        <v>31</v>
      </c>
      <c r="N1290" s="9" t="s">
        <v>32</v>
      </c>
      <c r="O1290" s="12" t="s">
        <v>33</v>
      </c>
      <c r="P1290" s="12" t="s">
        <v>34</v>
      </c>
      <c r="Q1290" s="9"/>
      <c r="R1290" s="18"/>
      <c r="S1290" s="18"/>
      <c r="T1290" s="18"/>
      <c r="U1290" s="18"/>
      <c r="V1290" s="18"/>
      <c r="W1290" s="15"/>
      <c r="X1290" s="15"/>
    </row>
    <row r="1291">
      <c r="A1291" s="7">
        <v>1290.0</v>
      </c>
      <c r="B1291" s="8" t="s">
        <v>5624</v>
      </c>
      <c r="C1291" s="9" t="s">
        <v>5625</v>
      </c>
      <c r="D1291" s="10" t="str">
        <f>HYPERLINK("https://facebook.com/367089020688300_508080803255787", "367089020688300_508080803255787")</f>
        <v>367089020688300_508080803255787</v>
      </c>
      <c r="E1291" s="11">
        <v>361.0</v>
      </c>
      <c r="F1291" s="11">
        <v>23.0</v>
      </c>
      <c r="G1291" s="11">
        <v>533.0</v>
      </c>
      <c r="H1291" s="9" t="s">
        <v>26</v>
      </c>
      <c r="I1291" s="9" t="s">
        <v>5626</v>
      </c>
      <c r="J1291" s="9" t="s">
        <v>5627</v>
      </c>
      <c r="K1291" s="9" t="s">
        <v>5628</v>
      </c>
      <c r="L1291" s="9" t="s">
        <v>30</v>
      </c>
      <c r="M1291" s="9" t="s">
        <v>31</v>
      </c>
      <c r="N1291" s="9" t="s">
        <v>32</v>
      </c>
      <c r="O1291" s="12" t="s">
        <v>33</v>
      </c>
      <c r="P1291" s="12" t="s">
        <v>34</v>
      </c>
      <c r="Q1291" s="9"/>
      <c r="R1291" s="18"/>
      <c r="S1291" s="18"/>
      <c r="T1291" s="18"/>
      <c r="U1291" s="18"/>
      <c r="V1291" s="18"/>
      <c r="W1291" s="15"/>
      <c r="X1291" s="15"/>
    </row>
    <row r="1292">
      <c r="A1292" s="7">
        <v>1291.0</v>
      </c>
      <c r="B1292" s="8" t="s">
        <v>5629</v>
      </c>
      <c r="C1292" s="9" t="s">
        <v>5630</v>
      </c>
      <c r="D1292" s="10" t="str">
        <f>HYPERLINK("https://facebook.com/367089020688300_546906312706569", "367089020688300_546906312706569")</f>
        <v>367089020688300_546906312706569</v>
      </c>
      <c r="E1292" s="11">
        <v>9.0</v>
      </c>
      <c r="F1292" s="11">
        <v>0.0</v>
      </c>
      <c r="G1292" s="11">
        <v>2.0</v>
      </c>
      <c r="H1292" s="9" t="s">
        <v>26</v>
      </c>
      <c r="I1292" s="9" t="s">
        <v>743</v>
      </c>
      <c r="J1292" s="16" t="s">
        <v>5631</v>
      </c>
      <c r="K1292" s="9"/>
      <c r="L1292" s="9" t="s">
        <v>30</v>
      </c>
      <c r="M1292" s="9" t="s">
        <v>31</v>
      </c>
      <c r="N1292" s="9" t="s">
        <v>32</v>
      </c>
      <c r="O1292" s="12" t="s">
        <v>33</v>
      </c>
      <c r="P1292" s="12" t="s">
        <v>34</v>
      </c>
      <c r="Q1292" s="9"/>
      <c r="R1292" s="18"/>
      <c r="S1292" s="18"/>
      <c r="T1292" s="18"/>
      <c r="U1292" s="18"/>
      <c r="V1292" s="18"/>
      <c r="W1292" s="15"/>
      <c r="X1292" s="15"/>
    </row>
    <row r="1293">
      <c r="A1293" s="7">
        <v>1292.0</v>
      </c>
      <c r="B1293" s="8" t="s">
        <v>5632</v>
      </c>
      <c r="C1293" s="9" t="s">
        <v>5633</v>
      </c>
      <c r="D1293" s="10" t="str">
        <f>HYPERLINK("https://facebook.com/367089020688300_550148889048978", "367089020688300_550148889048978")</f>
        <v>367089020688300_550148889048978</v>
      </c>
      <c r="E1293" s="11">
        <v>92.0</v>
      </c>
      <c r="F1293" s="11">
        <v>0.0</v>
      </c>
      <c r="G1293" s="11">
        <v>123.0</v>
      </c>
      <c r="H1293" s="9" t="s">
        <v>26</v>
      </c>
      <c r="I1293" s="9" t="s">
        <v>5634</v>
      </c>
      <c r="J1293" s="9" t="s">
        <v>5635</v>
      </c>
      <c r="K1293" s="9" t="s">
        <v>249</v>
      </c>
      <c r="L1293" s="9" t="s">
        <v>30</v>
      </c>
      <c r="M1293" s="9" t="s">
        <v>31</v>
      </c>
      <c r="N1293" s="9" t="s">
        <v>32</v>
      </c>
      <c r="O1293" s="12" t="s">
        <v>33</v>
      </c>
      <c r="P1293" s="12" t="s">
        <v>34</v>
      </c>
      <c r="Q1293" s="9"/>
      <c r="R1293" s="18"/>
      <c r="S1293" s="18"/>
      <c r="T1293" s="18"/>
      <c r="U1293" s="18"/>
      <c r="V1293" s="18"/>
      <c r="W1293" s="15"/>
      <c r="X1293" s="15"/>
    </row>
    <row r="1294">
      <c r="A1294" s="7">
        <v>1293.0</v>
      </c>
      <c r="B1294" s="8" t="s">
        <v>5636</v>
      </c>
      <c r="C1294" s="9" t="s">
        <v>5637</v>
      </c>
      <c r="D1294" s="10" t="str">
        <f>HYPERLINK("https://facebook.com/367089020688300_468386087225259", "367089020688300_468386087225259")</f>
        <v>367089020688300_468386087225259</v>
      </c>
      <c r="E1294" s="11">
        <v>579.0</v>
      </c>
      <c r="F1294" s="11">
        <v>22.0</v>
      </c>
      <c r="G1294" s="11">
        <v>318.0</v>
      </c>
      <c r="H1294" s="9" t="s">
        <v>26</v>
      </c>
      <c r="I1294" s="9" t="s">
        <v>5638</v>
      </c>
      <c r="J1294" s="9" t="s">
        <v>5639</v>
      </c>
      <c r="K1294" s="9" t="s">
        <v>5640</v>
      </c>
      <c r="L1294" s="9" t="s">
        <v>30</v>
      </c>
      <c r="M1294" s="9" t="s">
        <v>31</v>
      </c>
      <c r="N1294" s="9" t="s">
        <v>32</v>
      </c>
      <c r="O1294" s="12" t="s">
        <v>33</v>
      </c>
      <c r="P1294" s="12" t="s">
        <v>34</v>
      </c>
      <c r="Q1294" s="9"/>
      <c r="R1294" s="18"/>
      <c r="S1294" s="18"/>
      <c r="T1294" s="18"/>
      <c r="U1294" s="18"/>
      <c r="V1294" s="18"/>
      <c r="W1294" s="15"/>
      <c r="X1294" s="15"/>
    </row>
    <row r="1295">
      <c r="A1295" s="7">
        <v>1294.0</v>
      </c>
      <c r="B1295" s="8" t="s">
        <v>5641</v>
      </c>
      <c r="C1295" s="9" t="s">
        <v>5642</v>
      </c>
      <c r="D1295" s="10" t="str">
        <f>HYPERLINK("https://facebook.com/367089020688300_563210811076119", "367089020688300_563210811076119")</f>
        <v>367089020688300_563210811076119</v>
      </c>
      <c r="E1295" s="11">
        <v>7.0</v>
      </c>
      <c r="F1295" s="11">
        <v>0.0</v>
      </c>
      <c r="G1295" s="11">
        <v>10.0</v>
      </c>
      <c r="H1295" s="9" t="s">
        <v>26</v>
      </c>
      <c r="I1295" s="9" t="s">
        <v>5643</v>
      </c>
      <c r="J1295" s="16" t="s">
        <v>5644</v>
      </c>
      <c r="K1295" s="9"/>
      <c r="L1295" s="9" t="s">
        <v>30</v>
      </c>
      <c r="M1295" s="9" t="s">
        <v>31</v>
      </c>
      <c r="N1295" s="9" t="s">
        <v>32</v>
      </c>
      <c r="O1295" s="12" t="s">
        <v>33</v>
      </c>
      <c r="P1295" s="12" t="s">
        <v>34</v>
      </c>
      <c r="Q1295" s="9"/>
      <c r="R1295" s="18"/>
      <c r="S1295" s="18"/>
      <c r="T1295" s="18"/>
      <c r="U1295" s="18"/>
      <c r="V1295" s="18"/>
      <c r="W1295" s="15"/>
      <c r="X1295" s="15"/>
    </row>
    <row r="1296">
      <c r="A1296" s="7">
        <v>1295.0</v>
      </c>
      <c r="B1296" s="8" t="s">
        <v>5645</v>
      </c>
      <c r="C1296" s="9" t="s">
        <v>5646</v>
      </c>
      <c r="D1296" s="10" t="str">
        <f>HYPERLINK("https://facebook.com/367089020688300_560174968046370", "367089020688300_560174968046370")</f>
        <v>367089020688300_560174968046370</v>
      </c>
      <c r="E1296" s="11">
        <v>12.0</v>
      </c>
      <c r="F1296" s="11">
        <v>0.0</v>
      </c>
      <c r="G1296" s="11">
        <v>14.0</v>
      </c>
      <c r="H1296" s="9" t="s">
        <v>26</v>
      </c>
      <c r="I1296" s="9" t="s">
        <v>5647</v>
      </c>
      <c r="J1296" s="16" t="s">
        <v>5648</v>
      </c>
      <c r="K1296" s="9"/>
      <c r="L1296" s="9" t="s">
        <v>30</v>
      </c>
      <c r="M1296" s="9" t="s">
        <v>31</v>
      </c>
      <c r="N1296" s="9" t="s">
        <v>32</v>
      </c>
      <c r="O1296" s="12" t="s">
        <v>33</v>
      </c>
      <c r="P1296" s="12" t="s">
        <v>34</v>
      </c>
      <c r="Q1296" s="9"/>
      <c r="R1296" s="18"/>
      <c r="S1296" s="18"/>
      <c r="T1296" s="18"/>
      <c r="U1296" s="18"/>
      <c r="V1296" s="18"/>
      <c r="W1296" s="15"/>
      <c r="X1296" s="15"/>
    </row>
    <row r="1297">
      <c r="A1297" s="7">
        <v>1296.0</v>
      </c>
      <c r="B1297" s="8" t="s">
        <v>5649</v>
      </c>
      <c r="C1297" s="9" t="s">
        <v>5650</v>
      </c>
      <c r="D1297" s="10" t="str">
        <f>HYPERLINK("https://facebook.com/367089020688300_537018570362010", "367089020688300_537018570362010")</f>
        <v>367089020688300_537018570362010</v>
      </c>
      <c r="E1297" s="11">
        <v>622.0</v>
      </c>
      <c r="F1297" s="11">
        <v>3.0</v>
      </c>
      <c r="G1297" s="11">
        <v>256.0</v>
      </c>
      <c r="H1297" s="9" t="s">
        <v>26</v>
      </c>
      <c r="I1297" s="9" t="s">
        <v>1182</v>
      </c>
      <c r="J1297" s="9" t="s">
        <v>5651</v>
      </c>
      <c r="K1297" s="9" t="s">
        <v>3003</v>
      </c>
      <c r="L1297" s="9" t="s">
        <v>30</v>
      </c>
      <c r="M1297" s="9" t="s">
        <v>31</v>
      </c>
      <c r="N1297" s="9" t="s">
        <v>32</v>
      </c>
      <c r="O1297" s="12" t="s">
        <v>33</v>
      </c>
      <c r="P1297" s="12" t="s">
        <v>34</v>
      </c>
      <c r="Q1297" s="9"/>
      <c r="R1297" s="18"/>
      <c r="S1297" s="18"/>
      <c r="T1297" s="18"/>
      <c r="U1297" s="18"/>
      <c r="V1297" s="18"/>
      <c r="W1297" s="15"/>
      <c r="X1297" s="15"/>
    </row>
    <row r="1298">
      <c r="A1298" s="7">
        <v>1297.0</v>
      </c>
      <c r="B1298" s="8" t="s">
        <v>5652</v>
      </c>
      <c r="C1298" s="9" t="s">
        <v>5653</v>
      </c>
      <c r="D1298" s="10" t="str">
        <f>HYPERLINK("https://facebook.com/367089020688300_395623134501555", "367089020688300_395623134501555")</f>
        <v>367089020688300_395623134501555</v>
      </c>
      <c r="E1298" s="11">
        <v>14.0</v>
      </c>
      <c r="F1298" s="11">
        <v>1.0</v>
      </c>
      <c r="G1298" s="11">
        <v>52.0</v>
      </c>
      <c r="H1298" s="9" t="s">
        <v>26</v>
      </c>
      <c r="I1298" s="9" t="s">
        <v>5654</v>
      </c>
      <c r="J1298" s="16" t="s">
        <v>5655</v>
      </c>
      <c r="K1298" s="9"/>
      <c r="L1298" s="9" t="s">
        <v>30</v>
      </c>
      <c r="M1298" s="9" t="s">
        <v>31</v>
      </c>
      <c r="N1298" s="9" t="s">
        <v>32</v>
      </c>
      <c r="O1298" s="12" t="s">
        <v>33</v>
      </c>
      <c r="P1298" s="12" t="s">
        <v>34</v>
      </c>
      <c r="Q1298" s="9"/>
      <c r="R1298" s="18"/>
      <c r="S1298" s="18"/>
      <c r="T1298" s="18"/>
      <c r="U1298" s="18"/>
      <c r="V1298" s="18"/>
      <c r="W1298" s="15"/>
      <c r="X1298" s="15"/>
    </row>
    <row r="1299">
      <c r="A1299" s="7">
        <v>1298.0</v>
      </c>
      <c r="B1299" s="8" t="s">
        <v>5656</v>
      </c>
      <c r="C1299" s="9" t="s">
        <v>5657</v>
      </c>
      <c r="D1299" s="10" t="str">
        <f>HYPERLINK("https://facebook.com/367089020688300_413097252754143", "367089020688300_413097252754143")</f>
        <v>367089020688300_413097252754143</v>
      </c>
      <c r="E1299" s="11">
        <v>298.0</v>
      </c>
      <c r="F1299" s="11">
        <v>8.0</v>
      </c>
      <c r="G1299" s="11">
        <v>341.0</v>
      </c>
      <c r="H1299" s="9" t="s">
        <v>26</v>
      </c>
      <c r="I1299" s="9" t="s">
        <v>5658</v>
      </c>
      <c r="J1299" s="9" t="s">
        <v>5659</v>
      </c>
      <c r="K1299" s="9" t="s">
        <v>5660</v>
      </c>
      <c r="L1299" s="9" t="s">
        <v>30</v>
      </c>
      <c r="M1299" s="9" t="s">
        <v>31</v>
      </c>
      <c r="N1299" s="9" t="s">
        <v>32</v>
      </c>
      <c r="O1299" s="12" t="s">
        <v>33</v>
      </c>
      <c r="P1299" s="12" t="s">
        <v>34</v>
      </c>
      <c r="Q1299" s="9"/>
      <c r="R1299" s="18"/>
      <c r="S1299" s="18"/>
      <c r="T1299" s="18"/>
      <c r="U1299" s="18"/>
      <c r="V1299" s="18"/>
      <c r="W1299" s="15"/>
      <c r="X1299" s="15"/>
    </row>
    <row r="1300">
      <c r="A1300" s="7">
        <v>1299.0</v>
      </c>
      <c r="B1300" s="8" t="s">
        <v>5661</v>
      </c>
      <c r="C1300" s="9" t="s">
        <v>5662</v>
      </c>
      <c r="D1300" s="10" t="str">
        <f>HYPERLINK("https://facebook.com/367089020688300_444989482898253", "367089020688300_444989482898253")</f>
        <v>367089020688300_444989482898253</v>
      </c>
      <c r="E1300" s="11">
        <v>64.0</v>
      </c>
      <c r="F1300" s="11">
        <v>0.0</v>
      </c>
      <c r="G1300" s="11">
        <v>17.0</v>
      </c>
      <c r="H1300" s="9" t="s">
        <v>26</v>
      </c>
      <c r="I1300" s="9" t="s">
        <v>5663</v>
      </c>
      <c r="J1300" s="9" t="s">
        <v>5664</v>
      </c>
      <c r="K1300" s="9" t="s">
        <v>5665</v>
      </c>
      <c r="L1300" s="9" t="s">
        <v>30</v>
      </c>
      <c r="M1300" s="9" t="s">
        <v>31</v>
      </c>
      <c r="N1300" s="9" t="s">
        <v>32</v>
      </c>
      <c r="O1300" s="12" t="s">
        <v>33</v>
      </c>
      <c r="P1300" s="12" t="s">
        <v>34</v>
      </c>
      <c r="Q1300" s="9"/>
      <c r="R1300" s="18"/>
      <c r="S1300" s="18"/>
      <c r="T1300" s="18"/>
      <c r="U1300" s="18"/>
      <c r="V1300" s="18"/>
      <c r="W1300" s="15"/>
      <c r="X1300" s="15"/>
    </row>
    <row r="1301">
      <c r="A1301" s="7">
        <v>1300.0</v>
      </c>
      <c r="B1301" s="8" t="s">
        <v>5666</v>
      </c>
      <c r="C1301" s="9" t="s">
        <v>5667</v>
      </c>
      <c r="D1301" s="10" t="str">
        <f>HYPERLINK("https://facebook.com/367089020688300_395588204505048", "367089020688300_395588204505048")</f>
        <v>367089020688300_395588204505048</v>
      </c>
      <c r="E1301" s="11">
        <v>409.0</v>
      </c>
      <c r="F1301" s="11">
        <v>10.0</v>
      </c>
      <c r="G1301" s="11">
        <v>528.0</v>
      </c>
      <c r="H1301" s="9" t="s">
        <v>26</v>
      </c>
      <c r="I1301" s="9" t="s">
        <v>5668</v>
      </c>
      <c r="J1301" s="9" t="s">
        <v>5669</v>
      </c>
      <c r="K1301" s="9" t="s">
        <v>5670</v>
      </c>
      <c r="L1301" s="9" t="s">
        <v>30</v>
      </c>
      <c r="M1301" s="9" t="s">
        <v>31</v>
      </c>
      <c r="N1301" s="9" t="s">
        <v>32</v>
      </c>
      <c r="O1301" s="12" t="s">
        <v>33</v>
      </c>
      <c r="P1301" s="12" t="s">
        <v>34</v>
      </c>
      <c r="Q1301" s="9"/>
      <c r="R1301" s="18"/>
      <c r="S1301" s="18"/>
      <c r="T1301" s="18"/>
      <c r="U1301" s="18"/>
      <c r="V1301" s="18"/>
      <c r="W1301" s="15"/>
      <c r="X1301" s="15"/>
    </row>
    <row r="1302">
      <c r="A1302" s="7">
        <v>1301.0</v>
      </c>
      <c r="B1302" s="8" t="s">
        <v>5671</v>
      </c>
      <c r="C1302" s="9" t="s">
        <v>5672</v>
      </c>
      <c r="D1302" s="10" t="str">
        <f>HYPERLINK("https://facebook.com/367089020688300_503256633738204", "367089020688300_503256633738204")</f>
        <v>367089020688300_503256633738204</v>
      </c>
      <c r="E1302" s="11">
        <v>145.0</v>
      </c>
      <c r="F1302" s="11">
        <v>5.0</v>
      </c>
      <c r="G1302" s="11">
        <v>160.0</v>
      </c>
      <c r="H1302" s="9" t="s">
        <v>26</v>
      </c>
      <c r="I1302" s="9" t="s">
        <v>5673</v>
      </c>
      <c r="J1302" s="9" t="s">
        <v>5674</v>
      </c>
      <c r="K1302" s="9" t="s">
        <v>1286</v>
      </c>
      <c r="L1302" s="9" t="s">
        <v>30</v>
      </c>
      <c r="M1302" s="9" t="s">
        <v>31</v>
      </c>
      <c r="N1302" s="9" t="s">
        <v>32</v>
      </c>
      <c r="O1302" s="12" t="s">
        <v>33</v>
      </c>
      <c r="P1302" s="12" t="s">
        <v>34</v>
      </c>
      <c r="Q1302" s="9"/>
      <c r="R1302" s="18"/>
      <c r="S1302" s="18"/>
      <c r="T1302" s="18"/>
      <c r="U1302" s="18"/>
      <c r="V1302" s="18"/>
      <c r="W1302" s="15"/>
      <c r="X1302" s="15"/>
    </row>
    <row r="1303">
      <c r="A1303" s="7">
        <v>1302.0</v>
      </c>
      <c r="B1303" s="8" t="s">
        <v>5675</v>
      </c>
      <c r="C1303" s="9" t="s">
        <v>5676</v>
      </c>
      <c r="D1303" s="10" t="str">
        <f>HYPERLINK("https://facebook.com/367089020688300_459088634821671", "367089020688300_459088634821671")</f>
        <v>367089020688300_459088634821671</v>
      </c>
      <c r="E1303" s="11">
        <v>40.0</v>
      </c>
      <c r="F1303" s="11">
        <v>1.0</v>
      </c>
      <c r="G1303" s="11">
        <v>88.0</v>
      </c>
      <c r="H1303" s="9" t="s">
        <v>26</v>
      </c>
      <c r="I1303" s="9" t="s">
        <v>5677</v>
      </c>
      <c r="J1303" s="9" t="s">
        <v>5678</v>
      </c>
      <c r="K1303" s="9" t="s">
        <v>249</v>
      </c>
      <c r="L1303" s="9" t="s">
        <v>30</v>
      </c>
      <c r="M1303" s="9" t="s">
        <v>31</v>
      </c>
      <c r="N1303" s="9" t="s">
        <v>32</v>
      </c>
      <c r="O1303" s="12" t="s">
        <v>33</v>
      </c>
      <c r="P1303" s="12" t="s">
        <v>34</v>
      </c>
      <c r="Q1303" s="9"/>
      <c r="R1303" s="18"/>
      <c r="S1303" s="18"/>
      <c r="T1303" s="18"/>
      <c r="U1303" s="18"/>
      <c r="V1303" s="18"/>
      <c r="W1303" s="15"/>
      <c r="X1303" s="15"/>
    </row>
    <row r="1304">
      <c r="A1304" s="7">
        <v>1303.0</v>
      </c>
      <c r="B1304" s="8" t="s">
        <v>5679</v>
      </c>
      <c r="C1304" s="9" t="s">
        <v>5680</v>
      </c>
      <c r="D1304" s="10" t="str">
        <f>HYPERLINK("https://facebook.com/367089020688300_393684344695434", "367089020688300_393684344695434")</f>
        <v>367089020688300_393684344695434</v>
      </c>
      <c r="E1304" s="11">
        <v>629.0</v>
      </c>
      <c r="F1304" s="11">
        <v>53.0</v>
      </c>
      <c r="G1304" s="11">
        <v>590.0</v>
      </c>
      <c r="H1304" s="9" t="s">
        <v>26</v>
      </c>
      <c r="I1304" s="9" t="s">
        <v>1668</v>
      </c>
      <c r="J1304" s="9" t="s">
        <v>5681</v>
      </c>
      <c r="K1304" s="9" t="s">
        <v>214</v>
      </c>
      <c r="L1304" s="9" t="s">
        <v>30</v>
      </c>
      <c r="M1304" s="9" t="s">
        <v>31</v>
      </c>
      <c r="N1304" s="9" t="s">
        <v>32</v>
      </c>
      <c r="O1304" s="12" t="s">
        <v>33</v>
      </c>
      <c r="P1304" s="12" t="s">
        <v>34</v>
      </c>
      <c r="Q1304" s="9"/>
      <c r="R1304" s="18"/>
      <c r="S1304" s="18"/>
      <c r="T1304" s="18"/>
      <c r="U1304" s="18"/>
      <c r="V1304" s="18"/>
      <c r="W1304" s="15"/>
      <c r="X1304" s="15"/>
    </row>
    <row r="1305">
      <c r="A1305" s="7">
        <v>1304.0</v>
      </c>
      <c r="B1305" s="8" t="s">
        <v>5682</v>
      </c>
      <c r="C1305" s="9" t="s">
        <v>5683</v>
      </c>
      <c r="D1305" s="10" t="str">
        <f>HYPERLINK("https://facebook.com/367089020688300_540803846650149", "367089020688300_540803846650149")</f>
        <v>367089020688300_540803846650149</v>
      </c>
      <c r="E1305" s="11">
        <v>7.0</v>
      </c>
      <c r="F1305" s="11">
        <v>0.0</v>
      </c>
      <c r="G1305" s="11">
        <v>7.0</v>
      </c>
      <c r="H1305" s="9" t="s">
        <v>26</v>
      </c>
      <c r="I1305" s="9" t="s">
        <v>5684</v>
      </c>
      <c r="J1305" s="16" t="s">
        <v>5685</v>
      </c>
      <c r="K1305" s="9"/>
      <c r="L1305" s="9" t="s">
        <v>30</v>
      </c>
      <c r="M1305" s="9" t="s">
        <v>31</v>
      </c>
      <c r="N1305" s="9" t="s">
        <v>32</v>
      </c>
      <c r="O1305" s="12" t="s">
        <v>33</v>
      </c>
      <c r="P1305" s="12" t="s">
        <v>34</v>
      </c>
      <c r="Q1305" s="9"/>
      <c r="R1305" s="18"/>
      <c r="S1305" s="18"/>
      <c r="T1305" s="18"/>
      <c r="U1305" s="18"/>
      <c r="V1305" s="18"/>
      <c r="W1305" s="15"/>
      <c r="X1305" s="15"/>
    </row>
    <row r="1306">
      <c r="A1306" s="7">
        <v>1305.0</v>
      </c>
      <c r="B1306" s="8" t="s">
        <v>5686</v>
      </c>
      <c r="C1306" s="9" t="s">
        <v>5687</v>
      </c>
      <c r="D1306" s="10" t="str">
        <f>HYPERLINK("https://facebook.com/367089020688300_554530445277489", "367089020688300_554530445277489")</f>
        <v>367089020688300_554530445277489</v>
      </c>
      <c r="E1306" s="11">
        <v>63.0</v>
      </c>
      <c r="F1306" s="11">
        <v>2.0</v>
      </c>
      <c r="G1306" s="11">
        <v>30.0</v>
      </c>
      <c r="H1306" s="9" t="s">
        <v>26</v>
      </c>
      <c r="I1306" s="9" t="s">
        <v>5688</v>
      </c>
      <c r="J1306" s="9" t="s">
        <v>5689</v>
      </c>
      <c r="K1306" s="9" t="s">
        <v>5690</v>
      </c>
      <c r="L1306" s="9" t="s">
        <v>30</v>
      </c>
      <c r="M1306" s="9" t="s">
        <v>31</v>
      </c>
      <c r="N1306" s="9" t="s">
        <v>32</v>
      </c>
      <c r="O1306" s="12" t="s">
        <v>33</v>
      </c>
      <c r="P1306" s="12" t="s">
        <v>34</v>
      </c>
      <c r="Q1306" s="9"/>
      <c r="R1306" s="18"/>
      <c r="S1306" s="18"/>
      <c r="T1306" s="18"/>
      <c r="U1306" s="18"/>
      <c r="V1306" s="18"/>
      <c r="W1306" s="15"/>
      <c r="X1306" s="15"/>
    </row>
    <row r="1307">
      <c r="A1307" s="7">
        <v>1306.0</v>
      </c>
      <c r="B1307" s="8" t="s">
        <v>5691</v>
      </c>
      <c r="C1307" s="9" t="s">
        <v>5692</v>
      </c>
      <c r="D1307" s="10" t="str">
        <f>HYPERLINK("https://facebook.com/367089020688300_560291704701363", "367089020688300_560291704701363")</f>
        <v>367089020688300_560291704701363</v>
      </c>
      <c r="E1307" s="11">
        <v>215.0</v>
      </c>
      <c r="F1307" s="11">
        <v>1.0</v>
      </c>
      <c r="G1307" s="11">
        <v>58.0</v>
      </c>
      <c r="H1307" s="9" t="s">
        <v>26</v>
      </c>
      <c r="I1307" s="9" t="s">
        <v>5693</v>
      </c>
      <c r="J1307" s="16" t="s">
        <v>5694</v>
      </c>
      <c r="K1307" s="9"/>
      <c r="L1307" s="9" t="s">
        <v>30</v>
      </c>
      <c r="M1307" s="9" t="s">
        <v>31</v>
      </c>
      <c r="N1307" s="9" t="s">
        <v>32</v>
      </c>
      <c r="O1307" s="12" t="s">
        <v>33</v>
      </c>
      <c r="P1307" s="12" t="s">
        <v>34</v>
      </c>
      <c r="Q1307" s="9"/>
      <c r="R1307" s="18"/>
      <c r="S1307" s="18"/>
      <c r="T1307" s="18"/>
      <c r="U1307" s="18"/>
      <c r="V1307" s="18"/>
      <c r="W1307" s="15"/>
      <c r="X1307" s="15"/>
    </row>
    <row r="1308">
      <c r="A1308" s="7">
        <v>1307.0</v>
      </c>
      <c r="B1308" s="8" t="s">
        <v>5695</v>
      </c>
      <c r="C1308" s="9" t="s">
        <v>5696</v>
      </c>
      <c r="D1308" s="10" t="str">
        <f>HYPERLINK("https://facebook.com/367089020688300_537802883616912", "367089020688300_537802883616912")</f>
        <v>367089020688300_537802883616912</v>
      </c>
      <c r="E1308" s="11">
        <v>30.0</v>
      </c>
      <c r="F1308" s="11">
        <v>0.0</v>
      </c>
      <c r="G1308" s="11">
        <v>23.0</v>
      </c>
      <c r="H1308" s="9" t="s">
        <v>26</v>
      </c>
      <c r="I1308" s="9" t="s">
        <v>5697</v>
      </c>
      <c r="J1308" s="16" t="s">
        <v>5698</v>
      </c>
      <c r="K1308" s="9"/>
      <c r="L1308" s="9" t="s">
        <v>30</v>
      </c>
      <c r="M1308" s="9" t="s">
        <v>31</v>
      </c>
      <c r="N1308" s="9" t="s">
        <v>32</v>
      </c>
      <c r="O1308" s="12" t="s">
        <v>33</v>
      </c>
      <c r="P1308" s="12" t="s">
        <v>34</v>
      </c>
      <c r="Q1308" s="9"/>
      <c r="R1308" s="18"/>
      <c r="S1308" s="18"/>
      <c r="T1308" s="18"/>
      <c r="U1308" s="18"/>
      <c r="V1308" s="18"/>
      <c r="W1308" s="15"/>
      <c r="X1308" s="15"/>
    </row>
    <row r="1309">
      <c r="A1309" s="7">
        <v>1308.0</v>
      </c>
      <c r="B1309" s="8" t="s">
        <v>5699</v>
      </c>
      <c r="C1309" s="9" t="s">
        <v>5700</v>
      </c>
      <c r="D1309" s="10" t="str">
        <f>HYPERLINK("https://facebook.com/367089020688300_555980208465846", "367089020688300_555980208465846")</f>
        <v>367089020688300_555980208465846</v>
      </c>
      <c r="E1309" s="11">
        <v>1482.0</v>
      </c>
      <c r="F1309" s="11">
        <v>28.0</v>
      </c>
      <c r="G1309" s="11">
        <v>1264.0</v>
      </c>
      <c r="H1309" s="9" t="s">
        <v>26</v>
      </c>
      <c r="I1309" s="9" t="s">
        <v>751</v>
      </c>
      <c r="J1309" s="9" t="s">
        <v>5701</v>
      </c>
      <c r="K1309" s="9" t="s">
        <v>5702</v>
      </c>
      <c r="L1309" s="9" t="s">
        <v>30</v>
      </c>
      <c r="M1309" s="9" t="s">
        <v>31</v>
      </c>
      <c r="N1309" s="9" t="s">
        <v>32</v>
      </c>
      <c r="O1309" s="12" t="s">
        <v>33</v>
      </c>
      <c r="P1309" s="12" t="s">
        <v>34</v>
      </c>
      <c r="Q1309" s="9"/>
      <c r="R1309" s="18"/>
      <c r="S1309" s="18"/>
      <c r="T1309" s="18"/>
      <c r="U1309" s="18"/>
      <c r="V1309" s="18"/>
      <c r="W1309" s="15"/>
      <c r="X1309" s="15"/>
    </row>
    <row r="1310">
      <c r="A1310" s="7">
        <v>1309.0</v>
      </c>
      <c r="B1310" s="8" t="s">
        <v>5703</v>
      </c>
      <c r="C1310" s="9" t="s">
        <v>5704</v>
      </c>
      <c r="D1310" s="10" t="str">
        <f>HYPERLINK("https://facebook.com/367089020688300_367885827275286", "367089020688300_367885827275286")</f>
        <v>367089020688300_367885827275286</v>
      </c>
      <c r="E1310" s="11">
        <v>100.0</v>
      </c>
      <c r="F1310" s="11">
        <v>2.0</v>
      </c>
      <c r="G1310" s="11">
        <v>62.0</v>
      </c>
      <c r="H1310" s="9" t="s">
        <v>26</v>
      </c>
      <c r="I1310" s="9" t="s">
        <v>5705</v>
      </c>
      <c r="J1310" s="9" t="s">
        <v>5706</v>
      </c>
      <c r="K1310" s="9" t="s">
        <v>249</v>
      </c>
      <c r="L1310" s="9" t="s">
        <v>30</v>
      </c>
      <c r="M1310" s="9" t="s">
        <v>31</v>
      </c>
      <c r="N1310" s="9" t="s">
        <v>32</v>
      </c>
      <c r="O1310" s="12" t="s">
        <v>33</v>
      </c>
      <c r="P1310" s="12" t="s">
        <v>34</v>
      </c>
      <c r="Q1310" s="9"/>
      <c r="R1310" s="18"/>
      <c r="S1310" s="18"/>
      <c r="T1310" s="18"/>
      <c r="U1310" s="18"/>
      <c r="V1310" s="18"/>
      <c r="W1310" s="15"/>
      <c r="X1310" s="15"/>
    </row>
    <row r="1311">
      <c r="A1311" s="7">
        <v>1310.0</v>
      </c>
      <c r="B1311" s="8" t="s">
        <v>5707</v>
      </c>
      <c r="C1311" s="9" t="s">
        <v>5708</v>
      </c>
      <c r="D1311" s="10" t="str">
        <f>HYPERLINK("https://facebook.com/367089020688300_546296799434187", "367089020688300_546296799434187")</f>
        <v>367089020688300_546296799434187</v>
      </c>
      <c r="E1311" s="11">
        <v>6.0</v>
      </c>
      <c r="F1311" s="11">
        <v>0.0</v>
      </c>
      <c r="G1311" s="11">
        <v>13.0</v>
      </c>
      <c r="H1311" s="9" t="s">
        <v>26</v>
      </c>
      <c r="I1311" s="9" t="s">
        <v>1965</v>
      </c>
      <c r="J1311" s="16" t="s">
        <v>5709</v>
      </c>
      <c r="K1311" s="9"/>
      <c r="L1311" s="9" t="s">
        <v>30</v>
      </c>
      <c r="M1311" s="9" t="s">
        <v>31</v>
      </c>
      <c r="N1311" s="9" t="s">
        <v>32</v>
      </c>
      <c r="O1311" s="12" t="s">
        <v>33</v>
      </c>
      <c r="P1311" s="12" t="s">
        <v>34</v>
      </c>
      <c r="Q1311" s="9"/>
      <c r="R1311" s="18"/>
      <c r="S1311" s="18"/>
      <c r="T1311" s="18"/>
      <c r="U1311" s="18"/>
      <c r="V1311" s="18"/>
      <c r="W1311" s="15"/>
      <c r="X1311" s="15"/>
    </row>
    <row r="1312">
      <c r="A1312" s="7">
        <v>1311.0</v>
      </c>
      <c r="B1312" s="8" t="s">
        <v>5710</v>
      </c>
      <c r="C1312" s="9" t="s">
        <v>5711</v>
      </c>
      <c r="D1312" s="10" t="str">
        <f>HYPERLINK("https://facebook.com/367089020688300_503492130381321", "367089020688300_503492130381321")</f>
        <v>367089020688300_503492130381321</v>
      </c>
      <c r="E1312" s="11">
        <v>761.0</v>
      </c>
      <c r="F1312" s="11">
        <v>50.0</v>
      </c>
      <c r="G1312" s="11">
        <v>923.0</v>
      </c>
      <c r="H1312" s="9" t="s">
        <v>26</v>
      </c>
      <c r="I1312" s="9" t="s">
        <v>5712</v>
      </c>
      <c r="J1312" s="9" t="s">
        <v>5713</v>
      </c>
      <c r="K1312" s="9" t="s">
        <v>5714</v>
      </c>
      <c r="L1312" s="9" t="s">
        <v>30</v>
      </c>
      <c r="M1312" s="9" t="s">
        <v>31</v>
      </c>
      <c r="N1312" s="9" t="s">
        <v>32</v>
      </c>
      <c r="O1312" s="12" t="s">
        <v>33</v>
      </c>
      <c r="P1312" s="12" t="s">
        <v>34</v>
      </c>
      <c r="Q1312" s="9"/>
      <c r="R1312" s="18"/>
      <c r="S1312" s="18"/>
      <c r="T1312" s="18"/>
      <c r="U1312" s="18"/>
      <c r="V1312" s="18"/>
      <c r="W1312" s="15"/>
      <c r="X1312" s="15"/>
    </row>
    <row r="1313">
      <c r="A1313" s="7">
        <v>1312.0</v>
      </c>
      <c r="B1313" s="8" t="s">
        <v>5715</v>
      </c>
      <c r="C1313" s="9" t="s">
        <v>5716</v>
      </c>
      <c r="D1313" s="10" t="str">
        <f>HYPERLINK("https://facebook.com/367089020688300_547836579280209", "367089020688300_547836579280209")</f>
        <v>367089020688300_547836579280209</v>
      </c>
      <c r="E1313" s="11">
        <v>338.0</v>
      </c>
      <c r="F1313" s="11">
        <v>9.0</v>
      </c>
      <c r="G1313" s="11">
        <v>207.0</v>
      </c>
      <c r="H1313" s="9" t="s">
        <v>26</v>
      </c>
      <c r="I1313" s="9" t="s">
        <v>5717</v>
      </c>
      <c r="J1313" s="9" t="s">
        <v>5718</v>
      </c>
      <c r="K1313" s="9" t="s">
        <v>493</v>
      </c>
      <c r="L1313" s="9" t="s">
        <v>30</v>
      </c>
      <c r="M1313" s="9" t="s">
        <v>31</v>
      </c>
      <c r="N1313" s="9" t="s">
        <v>32</v>
      </c>
      <c r="O1313" s="12" t="s">
        <v>33</v>
      </c>
      <c r="P1313" s="12" t="s">
        <v>34</v>
      </c>
      <c r="Q1313" s="9"/>
      <c r="R1313" s="18"/>
      <c r="S1313" s="18"/>
      <c r="T1313" s="18"/>
      <c r="U1313" s="18"/>
      <c r="V1313" s="18"/>
      <c r="W1313" s="15"/>
      <c r="X1313" s="15"/>
    </row>
    <row r="1314">
      <c r="A1314" s="7">
        <v>1313.0</v>
      </c>
      <c r="B1314" s="8" t="s">
        <v>5719</v>
      </c>
      <c r="C1314" s="9" t="s">
        <v>5720</v>
      </c>
      <c r="D1314" s="10" t="str">
        <f>HYPERLINK("https://facebook.com/367089020688300_537695056961028", "367089020688300_537695056961028")</f>
        <v>367089020688300_537695056961028</v>
      </c>
      <c r="E1314" s="11">
        <v>48.0</v>
      </c>
      <c r="F1314" s="11">
        <v>1.0</v>
      </c>
      <c r="G1314" s="11">
        <v>13.0</v>
      </c>
      <c r="H1314" s="9" t="s">
        <v>26</v>
      </c>
      <c r="I1314" s="9" t="s">
        <v>5721</v>
      </c>
      <c r="J1314" s="16" t="s">
        <v>5722</v>
      </c>
      <c r="K1314" s="9"/>
      <c r="L1314" s="9" t="s">
        <v>30</v>
      </c>
      <c r="M1314" s="9" t="s">
        <v>31</v>
      </c>
      <c r="N1314" s="9" t="s">
        <v>32</v>
      </c>
      <c r="O1314" s="12" t="s">
        <v>33</v>
      </c>
      <c r="P1314" s="12" t="s">
        <v>34</v>
      </c>
      <c r="Q1314" s="9"/>
      <c r="R1314" s="18"/>
      <c r="S1314" s="18"/>
      <c r="T1314" s="18"/>
      <c r="U1314" s="18"/>
      <c r="V1314" s="18"/>
      <c r="W1314" s="15"/>
      <c r="X1314" s="15"/>
    </row>
    <row r="1315">
      <c r="A1315" s="7">
        <v>1314.0</v>
      </c>
      <c r="B1315" s="8" t="s">
        <v>5723</v>
      </c>
      <c r="C1315" s="9" t="s">
        <v>5724</v>
      </c>
      <c r="D1315" s="10" t="str">
        <f>HYPERLINK("https://facebook.com/367089020688300_461836731213528", "367089020688300_461836731213528")</f>
        <v>367089020688300_461836731213528</v>
      </c>
      <c r="E1315" s="11">
        <v>292.0</v>
      </c>
      <c r="F1315" s="11">
        <v>8.0</v>
      </c>
      <c r="G1315" s="11">
        <v>147.0</v>
      </c>
      <c r="H1315" s="9" t="s">
        <v>26</v>
      </c>
      <c r="I1315" s="9" t="s">
        <v>5725</v>
      </c>
      <c r="J1315" s="9" t="s">
        <v>5726</v>
      </c>
      <c r="K1315" s="9" t="s">
        <v>5727</v>
      </c>
      <c r="L1315" s="9" t="s">
        <v>30</v>
      </c>
      <c r="M1315" s="9" t="s">
        <v>31</v>
      </c>
      <c r="N1315" s="9" t="s">
        <v>32</v>
      </c>
      <c r="O1315" s="12" t="s">
        <v>33</v>
      </c>
      <c r="P1315" s="12" t="s">
        <v>34</v>
      </c>
      <c r="Q1315" s="9"/>
      <c r="R1315" s="18"/>
      <c r="S1315" s="18"/>
      <c r="T1315" s="18"/>
      <c r="U1315" s="18"/>
      <c r="V1315" s="18"/>
      <c r="W1315" s="15"/>
      <c r="X1315" s="15"/>
    </row>
    <row r="1316">
      <c r="A1316" s="7">
        <v>1315.0</v>
      </c>
      <c r="B1316" s="8" t="s">
        <v>5728</v>
      </c>
      <c r="C1316" s="9" t="s">
        <v>5729</v>
      </c>
      <c r="D1316" s="10" t="str">
        <f>HYPERLINK("https://facebook.com/367089020688300_553031268760740", "367089020688300_553031268760740")</f>
        <v>367089020688300_553031268760740</v>
      </c>
      <c r="E1316" s="11">
        <v>45.0</v>
      </c>
      <c r="F1316" s="11">
        <v>1.0</v>
      </c>
      <c r="G1316" s="11">
        <v>7.0</v>
      </c>
      <c r="H1316" s="9" t="s">
        <v>26</v>
      </c>
      <c r="I1316" s="9" t="s">
        <v>5730</v>
      </c>
      <c r="J1316" s="9" t="s">
        <v>5731</v>
      </c>
      <c r="K1316" s="9" t="s">
        <v>219</v>
      </c>
      <c r="L1316" s="9" t="s">
        <v>30</v>
      </c>
      <c r="M1316" s="9" t="s">
        <v>31</v>
      </c>
      <c r="N1316" s="9" t="s">
        <v>32</v>
      </c>
      <c r="O1316" s="12" t="s">
        <v>33</v>
      </c>
      <c r="P1316" s="12" t="s">
        <v>34</v>
      </c>
      <c r="Q1316" s="9"/>
      <c r="R1316" s="18"/>
      <c r="S1316" s="18"/>
      <c r="T1316" s="18"/>
      <c r="U1316" s="18"/>
      <c r="V1316" s="18"/>
      <c r="W1316" s="15"/>
      <c r="X1316" s="15"/>
    </row>
    <row r="1317">
      <c r="A1317" s="7">
        <v>1316.0</v>
      </c>
      <c r="B1317" s="8" t="s">
        <v>5732</v>
      </c>
      <c r="C1317" s="9" t="s">
        <v>5733</v>
      </c>
      <c r="D1317" s="10" t="str">
        <f>HYPERLINK("https://facebook.com/367089020688300_506259630104571", "367089020688300_506259630104571")</f>
        <v>367089020688300_506259630104571</v>
      </c>
      <c r="E1317" s="11">
        <v>324.0</v>
      </c>
      <c r="F1317" s="11">
        <v>14.0</v>
      </c>
      <c r="G1317" s="11">
        <v>412.0</v>
      </c>
      <c r="H1317" s="9" t="s">
        <v>26</v>
      </c>
      <c r="I1317" s="9" t="s">
        <v>5734</v>
      </c>
      <c r="J1317" s="9" t="s">
        <v>5735</v>
      </c>
      <c r="K1317" s="9" t="s">
        <v>5736</v>
      </c>
      <c r="L1317" s="9" t="s">
        <v>30</v>
      </c>
      <c r="M1317" s="9" t="s">
        <v>31</v>
      </c>
      <c r="N1317" s="9" t="s">
        <v>32</v>
      </c>
      <c r="O1317" s="12" t="s">
        <v>33</v>
      </c>
      <c r="P1317" s="12" t="s">
        <v>34</v>
      </c>
      <c r="Q1317" s="9"/>
      <c r="R1317" s="18"/>
      <c r="S1317" s="18"/>
      <c r="T1317" s="18"/>
      <c r="U1317" s="18"/>
      <c r="V1317" s="18"/>
      <c r="W1317" s="15"/>
      <c r="X1317" s="15"/>
    </row>
    <row r="1318">
      <c r="A1318" s="7">
        <v>1317.0</v>
      </c>
      <c r="B1318" s="8" t="s">
        <v>5737</v>
      </c>
      <c r="C1318" s="9" t="s">
        <v>5738</v>
      </c>
      <c r="D1318" s="10" t="str">
        <f>HYPERLINK("https://facebook.com/367089020688300_496229024440965", "367089020688300_496229024440965")</f>
        <v>367089020688300_496229024440965</v>
      </c>
      <c r="E1318" s="11">
        <v>421.0</v>
      </c>
      <c r="F1318" s="11">
        <v>11.0</v>
      </c>
      <c r="G1318" s="11">
        <v>262.0</v>
      </c>
      <c r="H1318" s="9" t="s">
        <v>26</v>
      </c>
      <c r="I1318" s="9" t="s">
        <v>5739</v>
      </c>
      <c r="J1318" s="9" t="s">
        <v>5740</v>
      </c>
      <c r="K1318" s="9" t="s">
        <v>5741</v>
      </c>
      <c r="L1318" s="9" t="s">
        <v>30</v>
      </c>
      <c r="M1318" s="9" t="s">
        <v>31</v>
      </c>
      <c r="N1318" s="9" t="s">
        <v>32</v>
      </c>
      <c r="O1318" s="12" t="s">
        <v>33</v>
      </c>
      <c r="P1318" s="12" t="s">
        <v>34</v>
      </c>
      <c r="Q1318" s="9"/>
      <c r="R1318" s="18"/>
      <c r="S1318" s="18"/>
      <c r="T1318" s="18"/>
      <c r="U1318" s="18"/>
      <c r="V1318" s="18"/>
      <c r="W1318" s="15"/>
      <c r="X1318" s="15"/>
    </row>
    <row r="1319">
      <c r="A1319" s="7">
        <v>1318.0</v>
      </c>
      <c r="B1319" s="8" t="s">
        <v>5742</v>
      </c>
      <c r="C1319" s="9" t="s">
        <v>5743</v>
      </c>
      <c r="D1319" s="10" t="str">
        <f>HYPERLINK("https://facebook.com/367089020688300_375375386526330", "367089020688300_375375386526330")</f>
        <v>367089020688300_375375386526330</v>
      </c>
      <c r="E1319" s="11">
        <v>104.0</v>
      </c>
      <c r="F1319" s="11">
        <v>1.0</v>
      </c>
      <c r="G1319" s="11">
        <v>135.0</v>
      </c>
      <c r="H1319" s="9" t="s">
        <v>26</v>
      </c>
      <c r="I1319" s="9" t="s">
        <v>5744</v>
      </c>
      <c r="J1319" s="9" t="s">
        <v>5745</v>
      </c>
      <c r="K1319" s="9" t="s">
        <v>5746</v>
      </c>
      <c r="L1319" s="9" t="s">
        <v>30</v>
      </c>
      <c r="M1319" s="9" t="s">
        <v>31</v>
      </c>
      <c r="N1319" s="9" t="s">
        <v>32</v>
      </c>
      <c r="O1319" s="12" t="s">
        <v>33</v>
      </c>
      <c r="P1319" s="12" t="s">
        <v>34</v>
      </c>
      <c r="Q1319" s="9"/>
      <c r="R1319" s="18"/>
      <c r="S1319" s="18"/>
      <c r="T1319" s="18"/>
      <c r="U1319" s="18"/>
      <c r="V1319" s="18"/>
      <c r="W1319" s="15"/>
      <c r="X1319" s="15"/>
    </row>
    <row r="1320">
      <c r="A1320" s="7">
        <v>1319.0</v>
      </c>
      <c r="B1320" s="8" t="s">
        <v>5747</v>
      </c>
      <c r="C1320" s="9" t="s">
        <v>5748</v>
      </c>
      <c r="D1320" s="10" t="str">
        <f>HYPERLINK("https://facebook.com/367089020688300_464194767644391", "367089020688300_464194767644391")</f>
        <v>367089020688300_464194767644391</v>
      </c>
      <c r="E1320" s="11">
        <v>270.0</v>
      </c>
      <c r="F1320" s="11">
        <v>6.0</v>
      </c>
      <c r="G1320" s="11">
        <v>318.0</v>
      </c>
      <c r="H1320" s="9" t="s">
        <v>26</v>
      </c>
      <c r="I1320" s="9" t="s">
        <v>5749</v>
      </c>
      <c r="J1320" s="9" t="s">
        <v>5750</v>
      </c>
      <c r="K1320" s="9" t="s">
        <v>663</v>
      </c>
      <c r="L1320" s="9" t="s">
        <v>30</v>
      </c>
      <c r="M1320" s="9" t="s">
        <v>31</v>
      </c>
      <c r="N1320" s="9" t="s">
        <v>32</v>
      </c>
      <c r="O1320" s="12" t="s">
        <v>33</v>
      </c>
      <c r="P1320" s="12" t="s">
        <v>34</v>
      </c>
      <c r="Q1320" s="9"/>
      <c r="R1320" s="18"/>
      <c r="S1320" s="18"/>
      <c r="T1320" s="18"/>
      <c r="U1320" s="18"/>
      <c r="V1320" s="18"/>
      <c r="W1320" s="15"/>
      <c r="X1320" s="15"/>
    </row>
    <row r="1321">
      <c r="A1321" s="7">
        <v>1320.0</v>
      </c>
      <c r="B1321" s="8" t="s">
        <v>5751</v>
      </c>
      <c r="C1321" s="9" t="s">
        <v>5752</v>
      </c>
      <c r="D1321" s="10" t="str">
        <f>HYPERLINK("https://facebook.com/367089020688300_561981387865728", "367089020688300_561981387865728")</f>
        <v>367089020688300_561981387865728</v>
      </c>
      <c r="E1321" s="11">
        <v>2273.0</v>
      </c>
      <c r="F1321" s="11">
        <v>151.0</v>
      </c>
      <c r="G1321" s="11">
        <v>348.0</v>
      </c>
      <c r="H1321" s="9" t="s">
        <v>26</v>
      </c>
      <c r="I1321" s="9" t="s">
        <v>5753</v>
      </c>
      <c r="J1321" s="9" t="s">
        <v>5754</v>
      </c>
      <c r="K1321" s="9" t="s">
        <v>51</v>
      </c>
      <c r="L1321" s="9" t="s">
        <v>30</v>
      </c>
      <c r="M1321" s="9" t="s">
        <v>31</v>
      </c>
      <c r="N1321" s="9" t="s">
        <v>32</v>
      </c>
      <c r="O1321" s="12" t="s">
        <v>33</v>
      </c>
      <c r="P1321" s="12" t="s">
        <v>34</v>
      </c>
      <c r="Q1321" s="9"/>
      <c r="R1321" s="18"/>
      <c r="S1321" s="18"/>
      <c r="T1321" s="18"/>
      <c r="U1321" s="18"/>
      <c r="V1321" s="18"/>
      <c r="W1321" s="15"/>
      <c r="X1321" s="15"/>
    </row>
    <row r="1322">
      <c r="A1322" s="7">
        <v>1321.0</v>
      </c>
      <c r="B1322" s="8" t="s">
        <v>5755</v>
      </c>
      <c r="C1322" s="9" t="s">
        <v>5756</v>
      </c>
      <c r="D1322" s="10" t="str">
        <f>HYPERLINK("https://facebook.com/367089020688300_479091702821364", "367089020688300_479091702821364")</f>
        <v>367089020688300_479091702821364</v>
      </c>
      <c r="E1322" s="11">
        <v>244.0</v>
      </c>
      <c r="F1322" s="11">
        <v>10.0</v>
      </c>
      <c r="G1322" s="11">
        <v>270.0</v>
      </c>
      <c r="H1322" s="9" t="s">
        <v>26</v>
      </c>
      <c r="I1322" s="9" t="s">
        <v>1173</v>
      </c>
      <c r="J1322" s="16" t="s">
        <v>5249</v>
      </c>
      <c r="K1322" s="9"/>
      <c r="L1322" s="9" t="s">
        <v>30</v>
      </c>
      <c r="M1322" s="9" t="s">
        <v>31</v>
      </c>
      <c r="N1322" s="9" t="s">
        <v>32</v>
      </c>
      <c r="O1322" s="12" t="s">
        <v>33</v>
      </c>
      <c r="P1322" s="12" t="s">
        <v>34</v>
      </c>
      <c r="Q1322" s="9"/>
      <c r="R1322" s="18"/>
      <c r="S1322" s="18"/>
      <c r="T1322" s="18"/>
      <c r="U1322" s="18"/>
      <c r="V1322" s="18"/>
      <c r="W1322" s="15"/>
      <c r="X1322" s="15"/>
    </row>
    <row r="1323">
      <c r="A1323" s="7">
        <v>1322.0</v>
      </c>
      <c r="B1323" s="8" t="s">
        <v>5757</v>
      </c>
      <c r="C1323" s="9" t="s">
        <v>5758</v>
      </c>
      <c r="D1323" s="10" t="str">
        <f>HYPERLINK("https://facebook.com/367089020688300_542400489823818", "367089020688300_542400489823818")</f>
        <v>367089020688300_542400489823818</v>
      </c>
      <c r="E1323" s="11">
        <v>4.0</v>
      </c>
      <c r="F1323" s="11">
        <v>0.0</v>
      </c>
      <c r="G1323" s="11">
        <v>3.0</v>
      </c>
      <c r="H1323" s="9" t="s">
        <v>26</v>
      </c>
      <c r="I1323" s="9" t="s">
        <v>5759</v>
      </c>
      <c r="J1323" s="16" t="s">
        <v>5760</v>
      </c>
      <c r="K1323" s="9"/>
      <c r="L1323" s="9" t="s">
        <v>30</v>
      </c>
      <c r="M1323" s="9" t="s">
        <v>31</v>
      </c>
      <c r="N1323" s="9" t="s">
        <v>32</v>
      </c>
      <c r="O1323" s="12" t="s">
        <v>33</v>
      </c>
      <c r="P1323" s="12" t="s">
        <v>34</v>
      </c>
      <c r="Q1323" s="9"/>
      <c r="R1323" s="18"/>
      <c r="S1323" s="18"/>
      <c r="T1323" s="18"/>
      <c r="U1323" s="18"/>
      <c r="V1323" s="18"/>
      <c r="W1323" s="15"/>
      <c r="X1323" s="15"/>
    </row>
    <row r="1324">
      <c r="A1324" s="7">
        <v>1323.0</v>
      </c>
      <c r="B1324" s="8" t="s">
        <v>5761</v>
      </c>
      <c r="C1324" s="9" t="s">
        <v>5762</v>
      </c>
      <c r="D1324" s="10" t="str">
        <f>HYPERLINK("https://facebook.com/367089020688300_537950826935451", "367089020688300_537950826935451")</f>
        <v>367089020688300_537950826935451</v>
      </c>
      <c r="E1324" s="11">
        <v>18.0</v>
      </c>
      <c r="F1324" s="11">
        <v>0.0</v>
      </c>
      <c r="G1324" s="11">
        <v>2.0</v>
      </c>
      <c r="H1324" s="9" t="s">
        <v>26</v>
      </c>
      <c r="I1324" s="9" t="s">
        <v>606</v>
      </c>
      <c r="J1324" s="9" t="s">
        <v>5763</v>
      </c>
      <c r="K1324" s="9" t="s">
        <v>219</v>
      </c>
      <c r="L1324" s="9" t="s">
        <v>30</v>
      </c>
      <c r="M1324" s="9" t="s">
        <v>31</v>
      </c>
      <c r="N1324" s="9" t="s">
        <v>32</v>
      </c>
      <c r="O1324" s="12" t="s">
        <v>33</v>
      </c>
      <c r="P1324" s="12" t="s">
        <v>34</v>
      </c>
      <c r="Q1324" s="9"/>
      <c r="R1324" s="18"/>
      <c r="S1324" s="18"/>
      <c r="T1324" s="18"/>
      <c r="U1324" s="18"/>
      <c r="V1324" s="18"/>
      <c r="W1324" s="15"/>
      <c r="X1324" s="15"/>
    </row>
    <row r="1325">
      <c r="A1325" s="7">
        <v>1324.0</v>
      </c>
      <c r="B1325" s="8" t="s">
        <v>5764</v>
      </c>
      <c r="C1325" s="9" t="s">
        <v>5765</v>
      </c>
      <c r="D1325" s="10" t="str">
        <f>HYPERLINK("https://facebook.com/367089020688300_543192653077935", "367089020688300_543192653077935")</f>
        <v>367089020688300_543192653077935</v>
      </c>
      <c r="E1325" s="11">
        <v>320.0</v>
      </c>
      <c r="F1325" s="11">
        <v>5.0</v>
      </c>
      <c r="G1325" s="11">
        <v>283.0</v>
      </c>
      <c r="H1325" s="9" t="s">
        <v>26</v>
      </c>
      <c r="I1325" s="9" t="s">
        <v>5766</v>
      </c>
      <c r="J1325" s="16" t="s">
        <v>5767</v>
      </c>
      <c r="K1325" s="9"/>
      <c r="L1325" s="9" t="s">
        <v>30</v>
      </c>
      <c r="M1325" s="9" t="s">
        <v>31</v>
      </c>
      <c r="N1325" s="9" t="s">
        <v>32</v>
      </c>
      <c r="O1325" s="12" t="s">
        <v>33</v>
      </c>
      <c r="P1325" s="12" t="s">
        <v>34</v>
      </c>
      <c r="Q1325" s="9"/>
      <c r="R1325" s="18"/>
      <c r="S1325" s="18"/>
      <c r="T1325" s="18"/>
      <c r="U1325" s="18"/>
      <c r="V1325" s="18"/>
      <c r="W1325" s="15"/>
      <c r="X1325" s="15"/>
    </row>
    <row r="1326">
      <c r="A1326" s="7">
        <v>1325.0</v>
      </c>
      <c r="B1326" s="8" t="s">
        <v>5768</v>
      </c>
      <c r="C1326" s="9" t="s">
        <v>5769</v>
      </c>
      <c r="D1326" s="10" t="str">
        <f>HYPERLINK("https://facebook.com/367089020688300_558019318261935", "367089020688300_558019318261935")</f>
        <v>367089020688300_558019318261935</v>
      </c>
      <c r="E1326" s="11">
        <v>48.0</v>
      </c>
      <c r="F1326" s="11">
        <v>0.0</v>
      </c>
      <c r="G1326" s="11">
        <v>18.0</v>
      </c>
      <c r="H1326" s="9" t="s">
        <v>26</v>
      </c>
      <c r="I1326" s="9" t="s">
        <v>5770</v>
      </c>
      <c r="J1326" s="16" t="s">
        <v>5771</v>
      </c>
      <c r="K1326" s="9"/>
      <c r="L1326" s="9" t="s">
        <v>30</v>
      </c>
      <c r="M1326" s="9" t="s">
        <v>31</v>
      </c>
      <c r="N1326" s="9" t="s">
        <v>32</v>
      </c>
      <c r="O1326" s="12" t="s">
        <v>33</v>
      </c>
      <c r="P1326" s="12" t="s">
        <v>34</v>
      </c>
      <c r="Q1326" s="9"/>
      <c r="R1326" s="18"/>
      <c r="S1326" s="18"/>
      <c r="T1326" s="18"/>
      <c r="U1326" s="18"/>
      <c r="V1326" s="18"/>
      <c r="W1326" s="15"/>
      <c r="X1326" s="15"/>
    </row>
    <row r="1327">
      <c r="A1327" s="7">
        <v>1326.0</v>
      </c>
      <c r="B1327" s="8" t="s">
        <v>5772</v>
      </c>
      <c r="C1327" s="9" t="s">
        <v>5773</v>
      </c>
      <c r="D1327" s="10" t="str">
        <f>HYPERLINK("https://facebook.com/367089020688300_554417835288750", "367089020688300_554417835288750")</f>
        <v>367089020688300_554417835288750</v>
      </c>
      <c r="E1327" s="11">
        <v>190.0</v>
      </c>
      <c r="F1327" s="11">
        <v>8.0</v>
      </c>
      <c r="G1327" s="11">
        <v>111.0</v>
      </c>
      <c r="H1327" s="9" t="s">
        <v>26</v>
      </c>
      <c r="I1327" s="9" t="s">
        <v>5774</v>
      </c>
      <c r="J1327" s="16" t="s">
        <v>5775</v>
      </c>
      <c r="K1327" s="9"/>
      <c r="L1327" s="9" t="s">
        <v>30</v>
      </c>
      <c r="M1327" s="9" t="s">
        <v>31</v>
      </c>
      <c r="N1327" s="9" t="s">
        <v>32</v>
      </c>
      <c r="O1327" s="12" t="s">
        <v>33</v>
      </c>
      <c r="P1327" s="12" t="s">
        <v>34</v>
      </c>
      <c r="Q1327" s="9"/>
      <c r="R1327" s="18"/>
      <c r="S1327" s="18"/>
      <c r="T1327" s="18"/>
      <c r="U1327" s="18"/>
      <c r="V1327" s="18"/>
      <c r="W1327" s="15"/>
      <c r="X1327" s="15"/>
    </row>
    <row r="1328">
      <c r="A1328" s="7">
        <v>1327.0</v>
      </c>
      <c r="B1328" s="8" t="s">
        <v>5776</v>
      </c>
      <c r="C1328" s="9" t="s">
        <v>5777</v>
      </c>
      <c r="D1328" s="10" t="str">
        <f>HYPERLINK("https://facebook.com/367089020688300_536507817079752", "367089020688300_536507817079752")</f>
        <v>367089020688300_536507817079752</v>
      </c>
      <c r="E1328" s="11">
        <v>6.0</v>
      </c>
      <c r="F1328" s="11">
        <v>1.0</v>
      </c>
      <c r="G1328" s="11">
        <v>18.0</v>
      </c>
      <c r="H1328" s="9" t="s">
        <v>26</v>
      </c>
      <c r="I1328" s="9" t="s">
        <v>5778</v>
      </c>
      <c r="J1328" s="16" t="s">
        <v>5779</v>
      </c>
      <c r="K1328" s="9"/>
      <c r="L1328" s="9" t="s">
        <v>30</v>
      </c>
      <c r="M1328" s="9" t="s">
        <v>31</v>
      </c>
      <c r="N1328" s="9" t="s">
        <v>32</v>
      </c>
      <c r="O1328" s="12" t="s">
        <v>33</v>
      </c>
      <c r="P1328" s="12" t="s">
        <v>34</v>
      </c>
      <c r="Q1328" s="9"/>
      <c r="R1328" s="18"/>
      <c r="S1328" s="18"/>
      <c r="T1328" s="18"/>
      <c r="U1328" s="18"/>
      <c r="V1328" s="18"/>
      <c r="W1328" s="15"/>
      <c r="X1328" s="15"/>
    </row>
    <row r="1329">
      <c r="A1329" s="7">
        <v>1328.0</v>
      </c>
      <c r="B1329" s="8" t="s">
        <v>5780</v>
      </c>
      <c r="C1329" s="9" t="s">
        <v>5781</v>
      </c>
      <c r="D1329" s="10" t="str">
        <f>HYPERLINK("https://facebook.com/367089020688300_536473067083227", "367089020688300_536473067083227")</f>
        <v>367089020688300_536473067083227</v>
      </c>
      <c r="E1329" s="11">
        <v>410.0</v>
      </c>
      <c r="F1329" s="11">
        <v>2.0</v>
      </c>
      <c r="G1329" s="11">
        <v>507.0</v>
      </c>
      <c r="H1329" s="9" t="s">
        <v>26</v>
      </c>
      <c r="I1329" s="9" t="s">
        <v>5782</v>
      </c>
      <c r="J1329" s="9" t="s">
        <v>5783</v>
      </c>
      <c r="K1329" s="9" t="s">
        <v>5784</v>
      </c>
      <c r="L1329" s="9" t="s">
        <v>30</v>
      </c>
      <c r="M1329" s="9" t="s">
        <v>31</v>
      </c>
      <c r="N1329" s="9" t="s">
        <v>32</v>
      </c>
      <c r="O1329" s="12" t="s">
        <v>33</v>
      </c>
      <c r="P1329" s="12" t="s">
        <v>34</v>
      </c>
      <c r="Q1329" s="9"/>
      <c r="R1329" s="18"/>
      <c r="S1329" s="18"/>
      <c r="T1329" s="18"/>
      <c r="U1329" s="18"/>
      <c r="V1329" s="18"/>
      <c r="W1329" s="15"/>
      <c r="X1329" s="15"/>
    </row>
    <row r="1330">
      <c r="A1330" s="7">
        <v>1329.0</v>
      </c>
      <c r="B1330" s="8" t="s">
        <v>5785</v>
      </c>
      <c r="C1330" s="9" t="s">
        <v>5786</v>
      </c>
      <c r="D1330" s="10" t="str">
        <f>HYPERLINK("https://facebook.com/367089020688300_539842226746311", "367089020688300_539842226746311")</f>
        <v>367089020688300_539842226746311</v>
      </c>
      <c r="E1330" s="11">
        <v>29.0</v>
      </c>
      <c r="F1330" s="11">
        <v>4.0</v>
      </c>
      <c r="G1330" s="11">
        <v>54.0</v>
      </c>
      <c r="H1330" s="9" t="s">
        <v>26</v>
      </c>
      <c r="I1330" s="9" t="s">
        <v>5787</v>
      </c>
      <c r="J1330" s="16" t="s">
        <v>5788</v>
      </c>
      <c r="K1330" s="9"/>
      <c r="L1330" s="9" t="s">
        <v>30</v>
      </c>
      <c r="M1330" s="9" t="s">
        <v>31</v>
      </c>
      <c r="N1330" s="9" t="s">
        <v>32</v>
      </c>
      <c r="O1330" s="12" t="s">
        <v>33</v>
      </c>
      <c r="P1330" s="12" t="s">
        <v>34</v>
      </c>
      <c r="Q1330" s="9"/>
      <c r="R1330" s="18"/>
      <c r="S1330" s="18"/>
      <c r="T1330" s="18"/>
      <c r="U1330" s="18"/>
      <c r="V1330" s="18"/>
      <c r="W1330" s="15"/>
      <c r="X1330" s="15"/>
    </row>
    <row r="1331">
      <c r="A1331" s="7">
        <v>1330.0</v>
      </c>
      <c r="B1331" s="8" t="s">
        <v>5789</v>
      </c>
      <c r="C1331" s="9" t="s">
        <v>5790</v>
      </c>
      <c r="D1331" s="10" t="str">
        <f>HYPERLINK("https://facebook.com/367089020688300_528642047866329", "367089020688300_528642047866329")</f>
        <v>367089020688300_528642047866329</v>
      </c>
      <c r="E1331" s="11">
        <v>672.0</v>
      </c>
      <c r="F1331" s="11">
        <v>7.0</v>
      </c>
      <c r="G1331" s="11">
        <v>357.0</v>
      </c>
      <c r="H1331" s="9" t="s">
        <v>26</v>
      </c>
      <c r="I1331" s="9" t="s">
        <v>5791</v>
      </c>
      <c r="J1331" s="16" t="s">
        <v>5792</v>
      </c>
      <c r="K1331" s="9"/>
      <c r="L1331" s="9" t="s">
        <v>30</v>
      </c>
      <c r="M1331" s="9" t="s">
        <v>31</v>
      </c>
      <c r="N1331" s="9" t="s">
        <v>32</v>
      </c>
      <c r="O1331" s="12" t="s">
        <v>33</v>
      </c>
      <c r="P1331" s="12" t="s">
        <v>34</v>
      </c>
      <c r="Q1331" s="9"/>
      <c r="R1331" s="18"/>
      <c r="S1331" s="18"/>
      <c r="T1331" s="18"/>
      <c r="U1331" s="18"/>
      <c r="V1331" s="18"/>
      <c r="W1331" s="15"/>
      <c r="X1331" s="15"/>
    </row>
    <row r="1332">
      <c r="A1332" s="7">
        <v>1331.0</v>
      </c>
      <c r="B1332" s="8" t="s">
        <v>5793</v>
      </c>
      <c r="C1332" s="9" t="s">
        <v>5794</v>
      </c>
      <c r="D1332" s="10" t="str">
        <f>HYPERLINK("https://facebook.com/367089020688300_517217312342136", "367089020688300_517217312342136")</f>
        <v>367089020688300_517217312342136</v>
      </c>
      <c r="E1332" s="11">
        <v>79.0</v>
      </c>
      <c r="F1332" s="11">
        <v>1.0</v>
      </c>
      <c r="G1332" s="11">
        <v>43.0</v>
      </c>
      <c r="H1332" s="9" t="s">
        <v>26</v>
      </c>
      <c r="I1332" s="9" t="s">
        <v>5795</v>
      </c>
      <c r="J1332" s="16" t="s">
        <v>5796</v>
      </c>
      <c r="K1332" s="9"/>
      <c r="L1332" s="9" t="s">
        <v>30</v>
      </c>
      <c r="M1332" s="9" t="s">
        <v>31</v>
      </c>
      <c r="N1332" s="9" t="s">
        <v>32</v>
      </c>
      <c r="O1332" s="12" t="s">
        <v>33</v>
      </c>
      <c r="P1332" s="12" t="s">
        <v>34</v>
      </c>
      <c r="Q1332" s="9"/>
      <c r="R1332" s="18"/>
      <c r="S1332" s="18"/>
      <c r="T1332" s="18"/>
      <c r="U1332" s="18"/>
      <c r="V1332" s="18"/>
      <c r="W1332" s="15"/>
      <c r="X1332" s="15"/>
    </row>
    <row r="1333">
      <c r="A1333" s="7">
        <v>1332.0</v>
      </c>
      <c r="B1333" s="8" t="s">
        <v>5797</v>
      </c>
      <c r="C1333" s="9" t="s">
        <v>5798</v>
      </c>
      <c r="D1333" s="10" t="str">
        <f>HYPERLINK("https://facebook.com/367089020688300_518172695579931", "367089020688300_518172695579931")</f>
        <v>367089020688300_518172695579931</v>
      </c>
      <c r="E1333" s="11">
        <v>158.0</v>
      </c>
      <c r="F1333" s="11">
        <v>1.0</v>
      </c>
      <c r="G1333" s="11">
        <v>137.0</v>
      </c>
      <c r="H1333" s="9" t="s">
        <v>26</v>
      </c>
      <c r="I1333" s="9" t="s">
        <v>5799</v>
      </c>
      <c r="J1333" s="9" t="s">
        <v>5800</v>
      </c>
      <c r="K1333" s="9" t="s">
        <v>5801</v>
      </c>
      <c r="L1333" s="9" t="s">
        <v>30</v>
      </c>
      <c r="M1333" s="9" t="s">
        <v>31</v>
      </c>
      <c r="N1333" s="9" t="s">
        <v>32</v>
      </c>
      <c r="O1333" s="12" t="s">
        <v>33</v>
      </c>
      <c r="P1333" s="12" t="s">
        <v>34</v>
      </c>
      <c r="Q1333" s="9"/>
      <c r="R1333" s="18"/>
      <c r="S1333" s="18"/>
      <c r="T1333" s="18"/>
      <c r="U1333" s="18"/>
      <c r="V1333" s="18"/>
      <c r="W1333" s="15"/>
      <c r="X1333" s="15"/>
    </row>
    <row r="1334">
      <c r="A1334" s="7">
        <v>1333.0</v>
      </c>
      <c r="B1334" s="8" t="s">
        <v>5802</v>
      </c>
      <c r="C1334" s="9" t="s">
        <v>5803</v>
      </c>
      <c r="D1334" s="10" t="str">
        <f>HYPERLINK("https://facebook.com/367089020688300_545077996222734", "367089020688300_545077996222734")</f>
        <v>367089020688300_545077996222734</v>
      </c>
      <c r="E1334" s="11">
        <v>35.0</v>
      </c>
      <c r="F1334" s="11">
        <v>0.0</v>
      </c>
      <c r="G1334" s="11">
        <v>46.0</v>
      </c>
      <c r="H1334" s="9" t="s">
        <v>26</v>
      </c>
      <c r="I1334" s="9" t="s">
        <v>5804</v>
      </c>
      <c r="J1334" s="16" t="s">
        <v>5805</v>
      </c>
      <c r="K1334" s="9"/>
      <c r="L1334" s="9" t="s">
        <v>30</v>
      </c>
      <c r="M1334" s="9" t="s">
        <v>31</v>
      </c>
      <c r="N1334" s="9" t="s">
        <v>32</v>
      </c>
      <c r="O1334" s="12" t="s">
        <v>33</v>
      </c>
      <c r="P1334" s="12" t="s">
        <v>34</v>
      </c>
      <c r="Q1334" s="9"/>
      <c r="R1334" s="18"/>
      <c r="S1334" s="18"/>
      <c r="T1334" s="18"/>
      <c r="U1334" s="18"/>
      <c r="V1334" s="18"/>
      <c r="W1334" s="15"/>
      <c r="X1334" s="15"/>
    </row>
    <row r="1335">
      <c r="A1335" s="7">
        <v>1334.0</v>
      </c>
      <c r="B1335" s="8" t="s">
        <v>5806</v>
      </c>
      <c r="C1335" s="9" t="s">
        <v>5807</v>
      </c>
      <c r="D1335" s="10" t="str">
        <f>HYPERLINK("https://facebook.com/367089020688300_537815866948947", "367089020688300_537815866948947")</f>
        <v>367089020688300_537815866948947</v>
      </c>
      <c r="E1335" s="11">
        <v>38.0</v>
      </c>
      <c r="F1335" s="11">
        <v>0.0</v>
      </c>
      <c r="G1335" s="11">
        <v>73.0</v>
      </c>
      <c r="H1335" s="9" t="s">
        <v>26</v>
      </c>
      <c r="I1335" s="9" t="s">
        <v>5808</v>
      </c>
      <c r="J1335" s="9" t="s">
        <v>5809</v>
      </c>
      <c r="K1335" s="9" t="s">
        <v>3495</v>
      </c>
      <c r="L1335" s="9" t="s">
        <v>30</v>
      </c>
      <c r="M1335" s="9" t="s">
        <v>31</v>
      </c>
      <c r="N1335" s="9" t="s">
        <v>32</v>
      </c>
      <c r="O1335" s="12" t="s">
        <v>33</v>
      </c>
      <c r="P1335" s="12" t="s">
        <v>34</v>
      </c>
      <c r="Q1335" s="9"/>
      <c r="R1335" s="18"/>
      <c r="S1335" s="18"/>
      <c r="T1335" s="18"/>
      <c r="U1335" s="18"/>
      <c r="V1335" s="18"/>
      <c r="W1335" s="15"/>
      <c r="X1335" s="15"/>
    </row>
    <row r="1336">
      <c r="A1336" s="7">
        <v>1335.0</v>
      </c>
      <c r="B1336" s="8" t="s">
        <v>5810</v>
      </c>
      <c r="C1336" s="9" t="s">
        <v>5811</v>
      </c>
      <c r="D1336" s="10" t="str">
        <f>HYPERLINK("https://facebook.com/367089020688300_465812697482598", "367089020688300_465812697482598")</f>
        <v>367089020688300_465812697482598</v>
      </c>
      <c r="E1336" s="11">
        <v>99.0</v>
      </c>
      <c r="F1336" s="11">
        <v>0.0</v>
      </c>
      <c r="G1336" s="11">
        <v>66.0</v>
      </c>
      <c r="H1336" s="9" t="s">
        <v>26</v>
      </c>
      <c r="I1336" s="9" t="s">
        <v>5812</v>
      </c>
      <c r="J1336" s="16" t="s">
        <v>5813</v>
      </c>
      <c r="K1336" s="9"/>
      <c r="L1336" s="9" t="s">
        <v>30</v>
      </c>
      <c r="M1336" s="9" t="s">
        <v>31</v>
      </c>
      <c r="N1336" s="9" t="s">
        <v>32</v>
      </c>
      <c r="O1336" s="12" t="s">
        <v>33</v>
      </c>
      <c r="P1336" s="12" t="s">
        <v>34</v>
      </c>
      <c r="Q1336" s="9"/>
      <c r="R1336" s="18"/>
      <c r="S1336" s="18"/>
      <c r="T1336" s="18"/>
      <c r="U1336" s="18"/>
      <c r="V1336" s="18"/>
      <c r="W1336" s="15"/>
      <c r="X1336" s="15"/>
    </row>
    <row r="1337">
      <c r="A1337" s="7">
        <v>1336.0</v>
      </c>
      <c r="B1337" s="8" t="s">
        <v>5814</v>
      </c>
      <c r="C1337" s="9" t="s">
        <v>5815</v>
      </c>
      <c r="D1337" s="10" t="str">
        <f>HYPERLINK("https://facebook.com/367089020688300_414638862599982", "367089020688300_414638862599982")</f>
        <v>367089020688300_414638862599982</v>
      </c>
      <c r="E1337" s="11">
        <v>269.0</v>
      </c>
      <c r="F1337" s="11">
        <v>8.0</v>
      </c>
      <c r="G1337" s="11">
        <v>248.0</v>
      </c>
      <c r="H1337" s="9" t="s">
        <v>26</v>
      </c>
      <c r="I1337" s="9" t="s">
        <v>5816</v>
      </c>
      <c r="J1337" s="9" t="s">
        <v>5817</v>
      </c>
      <c r="K1337" s="9" t="s">
        <v>5818</v>
      </c>
      <c r="L1337" s="9" t="s">
        <v>30</v>
      </c>
      <c r="M1337" s="9" t="s">
        <v>31</v>
      </c>
      <c r="N1337" s="9" t="s">
        <v>32</v>
      </c>
      <c r="O1337" s="12" t="s">
        <v>33</v>
      </c>
      <c r="P1337" s="12" t="s">
        <v>34</v>
      </c>
      <c r="Q1337" s="9"/>
      <c r="R1337" s="18"/>
      <c r="S1337" s="18"/>
      <c r="T1337" s="18"/>
      <c r="U1337" s="18"/>
      <c r="V1337" s="18"/>
      <c r="W1337" s="15"/>
      <c r="X1337" s="15"/>
    </row>
    <row r="1338">
      <c r="A1338" s="7">
        <v>1337.0</v>
      </c>
      <c r="B1338" s="8" t="s">
        <v>5819</v>
      </c>
      <c r="C1338" s="9" t="s">
        <v>5820</v>
      </c>
      <c r="D1338" s="10" t="str">
        <f>HYPERLINK("https://facebook.com/367089020688300_538836866846847", "367089020688300_538836866846847")</f>
        <v>367089020688300_538836866846847</v>
      </c>
      <c r="E1338" s="11">
        <v>165.0</v>
      </c>
      <c r="F1338" s="11">
        <v>6.0</v>
      </c>
      <c r="G1338" s="11">
        <v>70.0</v>
      </c>
      <c r="H1338" s="9" t="s">
        <v>26</v>
      </c>
      <c r="I1338" s="9" t="s">
        <v>5821</v>
      </c>
      <c r="J1338" s="9" t="s">
        <v>5822</v>
      </c>
      <c r="K1338" s="9" t="s">
        <v>5823</v>
      </c>
      <c r="L1338" s="9" t="s">
        <v>30</v>
      </c>
      <c r="M1338" s="9" t="s">
        <v>31</v>
      </c>
      <c r="N1338" s="9" t="s">
        <v>32</v>
      </c>
      <c r="O1338" s="12" t="s">
        <v>33</v>
      </c>
      <c r="P1338" s="12" t="s">
        <v>34</v>
      </c>
      <c r="Q1338" s="9"/>
      <c r="R1338" s="18"/>
      <c r="S1338" s="18"/>
      <c r="T1338" s="18"/>
      <c r="U1338" s="18"/>
      <c r="V1338" s="18"/>
      <c r="W1338" s="15"/>
      <c r="X1338" s="15"/>
    </row>
    <row r="1339">
      <c r="A1339" s="7">
        <v>1338.0</v>
      </c>
      <c r="B1339" s="8" t="s">
        <v>5824</v>
      </c>
      <c r="C1339" s="9" t="s">
        <v>5825</v>
      </c>
      <c r="D1339" s="10" t="str">
        <f>HYPERLINK("https://facebook.com/367089020688300_545963312800869", "367089020688300_545963312800869")</f>
        <v>367089020688300_545963312800869</v>
      </c>
      <c r="E1339" s="11">
        <v>6.0</v>
      </c>
      <c r="F1339" s="11">
        <v>0.0</v>
      </c>
      <c r="G1339" s="11">
        <v>7.0</v>
      </c>
      <c r="H1339" s="9" t="s">
        <v>26</v>
      </c>
      <c r="I1339" s="9" t="s">
        <v>5826</v>
      </c>
      <c r="J1339" s="9" t="s">
        <v>5827</v>
      </c>
      <c r="K1339" s="9" t="s">
        <v>789</v>
      </c>
      <c r="L1339" s="9" t="s">
        <v>30</v>
      </c>
      <c r="M1339" s="9" t="s">
        <v>31</v>
      </c>
      <c r="N1339" s="9" t="s">
        <v>32</v>
      </c>
      <c r="O1339" s="12" t="s">
        <v>33</v>
      </c>
      <c r="P1339" s="12" t="s">
        <v>34</v>
      </c>
      <c r="Q1339" s="9"/>
      <c r="R1339" s="18"/>
      <c r="S1339" s="18"/>
      <c r="T1339" s="18"/>
      <c r="U1339" s="18"/>
      <c r="V1339" s="18"/>
      <c r="W1339" s="15"/>
      <c r="X1339" s="15"/>
    </row>
    <row r="1340">
      <c r="A1340" s="7">
        <v>1339.0</v>
      </c>
      <c r="B1340" s="8" t="s">
        <v>5828</v>
      </c>
      <c r="C1340" s="9" t="s">
        <v>5829</v>
      </c>
      <c r="D1340" s="10" t="str">
        <f>HYPERLINK("https://facebook.com/367089020688300_527287284668472", "367089020688300_527287284668472")</f>
        <v>367089020688300_527287284668472</v>
      </c>
      <c r="E1340" s="11">
        <v>249.0</v>
      </c>
      <c r="F1340" s="11">
        <v>7.0</v>
      </c>
      <c r="G1340" s="11">
        <v>195.0</v>
      </c>
      <c r="H1340" s="9" t="s">
        <v>26</v>
      </c>
      <c r="I1340" s="9" t="s">
        <v>5830</v>
      </c>
      <c r="J1340" s="9" t="s">
        <v>5831</v>
      </c>
      <c r="K1340" s="9" t="s">
        <v>5832</v>
      </c>
      <c r="L1340" s="9" t="s">
        <v>30</v>
      </c>
      <c r="M1340" s="9" t="s">
        <v>31</v>
      </c>
      <c r="N1340" s="9" t="s">
        <v>32</v>
      </c>
      <c r="O1340" s="12" t="s">
        <v>33</v>
      </c>
      <c r="P1340" s="12" t="s">
        <v>34</v>
      </c>
      <c r="Q1340" s="9"/>
      <c r="R1340" s="18"/>
      <c r="S1340" s="18"/>
      <c r="T1340" s="18"/>
      <c r="U1340" s="18"/>
      <c r="V1340" s="18"/>
      <c r="W1340" s="15"/>
      <c r="X1340" s="15"/>
    </row>
    <row r="1341">
      <c r="A1341" s="7">
        <v>1340.0</v>
      </c>
      <c r="B1341" s="8" t="s">
        <v>5833</v>
      </c>
      <c r="C1341" s="9" t="s">
        <v>5834</v>
      </c>
      <c r="D1341" s="10" t="str">
        <f>HYPERLINK("https://facebook.com/367089020688300_546765642720636", "367089020688300_546765642720636")</f>
        <v>367089020688300_546765642720636</v>
      </c>
      <c r="E1341" s="11">
        <v>101.0</v>
      </c>
      <c r="F1341" s="11">
        <v>5.0</v>
      </c>
      <c r="G1341" s="11">
        <v>82.0</v>
      </c>
      <c r="H1341" s="9" t="s">
        <v>26</v>
      </c>
      <c r="I1341" s="9" t="s">
        <v>5835</v>
      </c>
      <c r="J1341" s="9" t="s">
        <v>5836</v>
      </c>
      <c r="K1341" s="9" t="s">
        <v>5837</v>
      </c>
      <c r="L1341" s="9" t="s">
        <v>30</v>
      </c>
      <c r="M1341" s="9" t="s">
        <v>31</v>
      </c>
      <c r="N1341" s="9" t="s">
        <v>32</v>
      </c>
      <c r="O1341" s="12" t="s">
        <v>33</v>
      </c>
      <c r="P1341" s="12" t="s">
        <v>34</v>
      </c>
      <c r="Q1341" s="9"/>
      <c r="R1341" s="18"/>
      <c r="S1341" s="18"/>
      <c r="T1341" s="18"/>
      <c r="U1341" s="18"/>
      <c r="V1341" s="18"/>
      <c r="W1341" s="15"/>
      <c r="X1341" s="15"/>
    </row>
    <row r="1342">
      <c r="A1342" s="7">
        <v>1341.0</v>
      </c>
      <c r="B1342" s="8" t="s">
        <v>5838</v>
      </c>
      <c r="C1342" s="9" t="s">
        <v>5839</v>
      </c>
      <c r="D1342" s="10" t="str">
        <f>HYPERLINK("https://facebook.com/367089020688300_536178623779338", "367089020688300_536178623779338")</f>
        <v>367089020688300_536178623779338</v>
      </c>
      <c r="E1342" s="11">
        <v>26.0</v>
      </c>
      <c r="F1342" s="11">
        <v>0.0</v>
      </c>
      <c r="G1342" s="11">
        <v>26.0</v>
      </c>
      <c r="H1342" s="9" t="s">
        <v>26</v>
      </c>
      <c r="I1342" s="9" t="s">
        <v>5840</v>
      </c>
      <c r="J1342" s="9" t="s">
        <v>5841</v>
      </c>
      <c r="K1342" s="9" t="s">
        <v>5842</v>
      </c>
      <c r="L1342" s="9" t="s">
        <v>30</v>
      </c>
      <c r="M1342" s="9" t="s">
        <v>31</v>
      </c>
      <c r="N1342" s="9" t="s">
        <v>32</v>
      </c>
      <c r="O1342" s="12" t="s">
        <v>33</v>
      </c>
      <c r="P1342" s="12" t="s">
        <v>34</v>
      </c>
      <c r="Q1342" s="9"/>
      <c r="R1342" s="18"/>
      <c r="S1342" s="18"/>
      <c r="T1342" s="18"/>
      <c r="U1342" s="18"/>
      <c r="V1342" s="18"/>
      <c r="W1342" s="15"/>
      <c r="X1342" s="15"/>
    </row>
    <row r="1343">
      <c r="A1343" s="7">
        <v>1342.0</v>
      </c>
      <c r="B1343" s="8" t="s">
        <v>5843</v>
      </c>
      <c r="C1343" s="9" t="s">
        <v>5844</v>
      </c>
      <c r="D1343" s="10" t="str">
        <f>HYPERLINK("https://facebook.com/367089020688300_537409943656206", "367089020688300_537409943656206")</f>
        <v>367089020688300_537409943656206</v>
      </c>
      <c r="E1343" s="11">
        <v>65.0</v>
      </c>
      <c r="F1343" s="11">
        <v>0.0</v>
      </c>
      <c r="G1343" s="11">
        <v>66.0</v>
      </c>
      <c r="H1343" s="9" t="s">
        <v>26</v>
      </c>
      <c r="I1343" s="9" t="s">
        <v>4762</v>
      </c>
      <c r="J1343" s="16" t="s">
        <v>4763</v>
      </c>
      <c r="K1343" s="9"/>
      <c r="L1343" s="9" t="s">
        <v>30</v>
      </c>
      <c r="M1343" s="9" t="s">
        <v>31</v>
      </c>
      <c r="N1343" s="9" t="s">
        <v>32</v>
      </c>
      <c r="O1343" s="12" t="s">
        <v>33</v>
      </c>
      <c r="P1343" s="12" t="s">
        <v>34</v>
      </c>
      <c r="Q1343" s="9"/>
      <c r="R1343" s="18"/>
      <c r="S1343" s="18"/>
      <c r="T1343" s="18"/>
      <c r="U1343" s="18"/>
      <c r="V1343" s="18"/>
      <c r="W1343" s="15"/>
      <c r="X1343" s="15"/>
    </row>
    <row r="1344">
      <c r="A1344" s="7">
        <v>1343.0</v>
      </c>
      <c r="B1344" s="8" t="s">
        <v>5845</v>
      </c>
      <c r="C1344" s="9" t="s">
        <v>5846</v>
      </c>
      <c r="D1344" s="10" t="str">
        <f>HYPERLINK("https://facebook.com/367089020688300_547788115951722", "367089020688300_547788115951722")</f>
        <v>367089020688300_547788115951722</v>
      </c>
      <c r="E1344" s="11">
        <v>401.0</v>
      </c>
      <c r="F1344" s="11">
        <v>4.0</v>
      </c>
      <c r="G1344" s="11">
        <v>652.0</v>
      </c>
      <c r="H1344" s="9" t="s">
        <v>26</v>
      </c>
      <c r="I1344" s="9" t="s">
        <v>1893</v>
      </c>
      <c r="J1344" s="9" t="s">
        <v>5847</v>
      </c>
      <c r="K1344" s="9" t="s">
        <v>5848</v>
      </c>
      <c r="L1344" s="9" t="s">
        <v>30</v>
      </c>
      <c r="M1344" s="9" t="s">
        <v>31</v>
      </c>
      <c r="N1344" s="9" t="s">
        <v>32</v>
      </c>
      <c r="O1344" s="12" t="s">
        <v>33</v>
      </c>
      <c r="P1344" s="12" t="s">
        <v>34</v>
      </c>
      <c r="Q1344" s="9"/>
      <c r="R1344" s="18"/>
      <c r="S1344" s="18"/>
      <c r="T1344" s="18"/>
      <c r="U1344" s="18"/>
      <c r="V1344" s="18"/>
      <c r="W1344" s="15"/>
      <c r="X1344" s="15"/>
    </row>
    <row r="1345">
      <c r="A1345" s="7">
        <v>1344.0</v>
      </c>
      <c r="B1345" s="8" t="s">
        <v>5849</v>
      </c>
      <c r="C1345" s="9" t="s">
        <v>5850</v>
      </c>
      <c r="D1345" s="10" t="str">
        <f>HYPERLINK("https://facebook.com/367089020688300_478191162911418", "367089020688300_478191162911418")</f>
        <v>367089020688300_478191162911418</v>
      </c>
      <c r="E1345" s="11">
        <v>3901.0</v>
      </c>
      <c r="F1345" s="11">
        <v>94.0</v>
      </c>
      <c r="G1345" s="11">
        <v>907.0</v>
      </c>
      <c r="H1345" s="9" t="s">
        <v>26</v>
      </c>
      <c r="I1345" s="9" t="s">
        <v>5851</v>
      </c>
      <c r="J1345" s="16" t="s">
        <v>5852</v>
      </c>
      <c r="K1345" s="9"/>
      <c r="L1345" s="9" t="s">
        <v>30</v>
      </c>
      <c r="M1345" s="9" t="s">
        <v>31</v>
      </c>
      <c r="N1345" s="9" t="s">
        <v>32</v>
      </c>
      <c r="O1345" s="12" t="s">
        <v>33</v>
      </c>
      <c r="P1345" s="12" t="s">
        <v>34</v>
      </c>
      <c r="Q1345" s="9"/>
      <c r="R1345" s="18"/>
      <c r="S1345" s="18"/>
      <c r="T1345" s="18"/>
      <c r="U1345" s="18"/>
      <c r="V1345" s="18"/>
      <c r="W1345" s="15"/>
      <c r="X1345" s="15"/>
    </row>
    <row r="1346">
      <c r="A1346" s="7">
        <v>1345.0</v>
      </c>
      <c r="B1346" s="8" t="s">
        <v>5853</v>
      </c>
      <c r="C1346" s="9" t="s">
        <v>5854</v>
      </c>
      <c r="D1346" s="10" t="str">
        <f>HYPERLINK("https://facebook.com/367089020688300_537849853612215", "367089020688300_537849853612215")</f>
        <v>367089020688300_537849853612215</v>
      </c>
      <c r="E1346" s="11">
        <v>33.0</v>
      </c>
      <c r="F1346" s="11">
        <v>0.0</v>
      </c>
      <c r="G1346" s="11">
        <v>35.0</v>
      </c>
      <c r="H1346" s="9" t="s">
        <v>26</v>
      </c>
      <c r="I1346" s="9" t="s">
        <v>5855</v>
      </c>
      <c r="J1346" s="16" t="s">
        <v>5856</v>
      </c>
      <c r="K1346" s="9"/>
      <c r="L1346" s="9" t="s">
        <v>30</v>
      </c>
      <c r="M1346" s="9" t="s">
        <v>31</v>
      </c>
      <c r="N1346" s="9" t="s">
        <v>32</v>
      </c>
      <c r="O1346" s="12" t="s">
        <v>33</v>
      </c>
      <c r="P1346" s="12" t="s">
        <v>34</v>
      </c>
      <c r="Q1346" s="9"/>
      <c r="R1346" s="18"/>
      <c r="S1346" s="18"/>
      <c r="T1346" s="18"/>
      <c r="U1346" s="18"/>
      <c r="V1346" s="18"/>
      <c r="W1346" s="15"/>
      <c r="X1346" s="15"/>
    </row>
    <row r="1347">
      <c r="A1347" s="7">
        <v>1346.0</v>
      </c>
      <c r="B1347" s="8" t="s">
        <v>5857</v>
      </c>
      <c r="C1347" s="9" t="s">
        <v>5858</v>
      </c>
      <c r="D1347" s="10" t="str">
        <f>HYPERLINK("https://facebook.com/367089020688300_486458195418048", "367089020688300_486458195418048")</f>
        <v>367089020688300_486458195418048</v>
      </c>
      <c r="E1347" s="11">
        <v>421.0</v>
      </c>
      <c r="F1347" s="11">
        <v>5.0</v>
      </c>
      <c r="G1347" s="11">
        <v>393.0</v>
      </c>
      <c r="H1347" s="9" t="s">
        <v>26</v>
      </c>
      <c r="I1347" s="9" t="s">
        <v>5859</v>
      </c>
      <c r="J1347" s="16" t="s">
        <v>5860</v>
      </c>
      <c r="K1347" s="9"/>
      <c r="L1347" s="9" t="s">
        <v>30</v>
      </c>
      <c r="M1347" s="9" t="s">
        <v>31</v>
      </c>
      <c r="N1347" s="9" t="s">
        <v>32</v>
      </c>
      <c r="O1347" s="12" t="s">
        <v>33</v>
      </c>
      <c r="P1347" s="12" t="s">
        <v>34</v>
      </c>
      <c r="Q1347" s="9"/>
      <c r="R1347" s="18"/>
      <c r="S1347" s="18"/>
      <c r="T1347" s="18"/>
      <c r="U1347" s="18"/>
      <c r="V1347" s="18"/>
      <c r="W1347" s="15"/>
      <c r="X1347" s="15"/>
    </row>
    <row r="1348">
      <c r="A1348" s="7">
        <v>1347.0</v>
      </c>
      <c r="B1348" s="8" t="s">
        <v>5861</v>
      </c>
      <c r="C1348" s="9" t="s">
        <v>5862</v>
      </c>
      <c r="D1348" s="10" t="str">
        <f>HYPERLINK("https://facebook.com/367089020688300_516142972449570", "367089020688300_516142972449570")</f>
        <v>367089020688300_516142972449570</v>
      </c>
      <c r="E1348" s="11">
        <v>4.0</v>
      </c>
      <c r="F1348" s="11">
        <v>0.0</v>
      </c>
      <c r="G1348" s="11">
        <v>31.0</v>
      </c>
      <c r="H1348" s="9" t="s">
        <v>26</v>
      </c>
      <c r="I1348" s="9" t="s">
        <v>316</v>
      </c>
      <c r="J1348" s="9" t="s">
        <v>5863</v>
      </c>
      <c r="K1348" s="9" t="s">
        <v>5864</v>
      </c>
      <c r="L1348" s="9" t="s">
        <v>30</v>
      </c>
      <c r="M1348" s="9" t="s">
        <v>31</v>
      </c>
      <c r="N1348" s="9" t="s">
        <v>32</v>
      </c>
      <c r="O1348" s="12" t="s">
        <v>33</v>
      </c>
      <c r="P1348" s="12" t="s">
        <v>34</v>
      </c>
      <c r="Q1348" s="9"/>
      <c r="R1348" s="18"/>
      <c r="S1348" s="18"/>
      <c r="T1348" s="18"/>
      <c r="U1348" s="18"/>
      <c r="V1348" s="18"/>
      <c r="W1348" s="15"/>
      <c r="X1348" s="15"/>
    </row>
    <row r="1349">
      <c r="A1349" s="7">
        <v>1348.0</v>
      </c>
      <c r="B1349" s="8" t="s">
        <v>5865</v>
      </c>
      <c r="C1349" s="9" t="s">
        <v>5866</v>
      </c>
      <c r="D1349" s="10" t="str">
        <f>HYPERLINK("https://facebook.com/367089020688300_460169074713627", "367089020688300_460169074713627")</f>
        <v>367089020688300_460169074713627</v>
      </c>
      <c r="E1349" s="11">
        <v>548.0</v>
      </c>
      <c r="F1349" s="11">
        <v>3.0</v>
      </c>
      <c r="G1349" s="11">
        <v>267.0</v>
      </c>
      <c r="H1349" s="9" t="s">
        <v>26</v>
      </c>
      <c r="I1349" s="9" t="s">
        <v>5867</v>
      </c>
      <c r="J1349" s="9" t="s">
        <v>5868</v>
      </c>
      <c r="K1349" s="9" t="s">
        <v>51</v>
      </c>
      <c r="L1349" s="9" t="s">
        <v>30</v>
      </c>
      <c r="M1349" s="9" t="s">
        <v>31</v>
      </c>
      <c r="N1349" s="9" t="s">
        <v>32</v>
      </c>
      <c r="O1349" s="12" t="s">
        <v>33</v>
      </c>
      <c r="P1349" s="12" t="s">
        <v>34</v>
      </c>
      <c r="Q1349" s="9"/>
      <c r="R1349" s="18"/>
      <c r="S1349" s="18"/>
      <c r="T1349" s="18"/>
      <c r="U1349" s="18"/>
      <c r="V1349" s="18"/>
      <c r="W1349" s="15"/>
      <c r="X1349" s="15"/>
    </row>
    <row r="1350">
      <c r="A1350" s="7">
        <v>1349.0</v>
      </c>
      <c r="B1350" s="8" t="s">
        <v>5869</v>
      </c>
      <c r="C1350" s="9" t="s">
        <v>5870</v>
      </c>
      <c r="D1350" s="10" t="str">
        <f>HYPERLINK("https://facebook.com/367089020688300_509681219762412", "367089020688300_509681219762412")</f>
        <v>367089020688300_509681219762412</v>
      </c>
      <c r="E1350" s="11">
        <v>198.0</v>
      </c>
      <c r="F1350" s="11">
        <v>8.0</v>
      </c>
      <c r="G1350" s="11">
        <v>224.0</v>
      </c>
      <c r="H1350" s="9" t="s">
        <v>26</v>
      </c>
      <c r="I1350" s="9" t="s">
        <v>5816</v>
      </c>
      <c r="J1350" s="9" t="s">
        <v>5817</v>
      </c>
      <c r="K1350" s="9" t="s">
        <v>5871</v>
      </c>
      <c r="L1350" s="9" t="s">
        <v>30</v>
      </c>
      <c r="M1350" s="9" t="s">
        <v>31</v>
      </c>
      <c r="N1350" s="9" t="s">
        <v>32</v>
      </c>
      <c r="O1350" s="12" t="s">
        <v>33</v>
      </c>
      <c r="P1350" s="12" t="s">
        <v>34</v>
      </c>
      <c r="Q1350" s="9"/>
      <c r="R1350" s="18"/>
      <c r="S1350" s="18"/>
      <c r="T1350" s="18"/>
      <c r="U1350" s="18"/>
      <c r="V1350" s="18"/>
      <c r="W1350" s="15"/>
      <c r="X1350" s="15"/>
    </row>
    <row r="1351">
      <c r="A1351" s="7">
        <v>1350.0</v>
      </c>
      <c r="B1351" s="8" t="s">
        <v>5872</v>
      </c>
      <c r="C1351" s="9" t="s">
        <v>5873</v>
      </c>
      <c r="D1351" s="10" t="str">
        <f>HYPERLINK("https://facebook.com/367089020688300_553325448731322", "367089020688300_553325448731322")</f>
        <v>367089020688300_553325448731322</v>
      </c>
      <c r="E1351" s="11">
        <v>650.0</v>
      </c>
      <c r="F1351" s="11">
        <v>10.0</v>
      </c>
      <c r="G1351" s="11">
        <v>961.0</v>
      </c>
      <c r="H1351" s="9" t="s">
        <v>26</v>
      </c>
      <c r="I1351" s="9" t="s">
        <v>5874</v>
      </c>
      <c r="J1351" s="16" t="s">
        <v>5875</v>
      </c>
      <c r="K1351" s="9"/>
      <c r="L1351" s="9" t="s">
        <v>30</v>
      </c>
      <c r="M1351" s="9" t="s">
        <v>31</v>
      </c>
      <c r="N1351" s="9" t="s">
        <v>32</v>
      </c>
      <c r="O1351" s="12" t="s">
        <v>33</v>
      </c>
      <c r="P1351" s="12" t="s">
        <v>34</v>
      </c>
      <c r="Q1351" s="9"/>
      <c r="R1351" s="18"/>
      <c r="S1351" s="18"/>
      <c r="T1351" s="18"/>
      <c r="U1351" s="18"/>
      <c r="V1351" s="18"/>
      <c r="W1351" s="15"/>
      <c r="X1351" s="15"/>
    </row>
    <row r="1352">
      <c r="A1352" s="7">
        <v>1351.0</v>
      </c>
      <c r="B1352" s="8" t="s">
        <v>5876</v>
      </c>
      <c r="C1352" s="9" t="s">
        <v>5877</v>
      </c>
      <c r="D1352" s="10" t="str">
        <f>HYPERLINK("https://facebook.com/367089020688300_520752428655291", "367089020688300_520752428655291")</f>
        <v>367089020688300_520752428655291</v>
      </c>
      <c r="E1352" s="11">
        <v>99.0</v>
      </c>
      <c r="F1352" s="11">
        <v>2.0</v>
      </c>
      <c r="G1352" s="11">
        <v>111.0</v>
      </c>
      <c r="H1352" s="9" t="s">
        <v>26</v>
      </c>
      <c r="I1352" s="9" t="s">
        <v>5878</v>
      </c>
      <c r="J1352" s="16" t="s">
        <v>5879</v>
      </c>
      <c r="K1352" s="9"/>
      <c r="L1352" s="9" t="s">
        <v>30</v>
      </c>
      <c r="M1352" s="9" t="s">
        <v>31</v>
      </c>
      <c r="N1352" s="9" t="s">
        <v>32</v>
      </c>
      <c r="O1352" s="12" t="s">
        <v>33</v>
      </c>
      <c r="P1352" s="12" t="s">
        <v>34</v>
      </c>
      <c r="Q1352" s="9"/>
      <c r="R1352" s="18"/>
      <c r="S1352" s="18"/>
      <c r="T1352" s="18"/>
      <c r="U1352" s="18"/>
      <c r="V1352" s="18"/>
      <c r="W1352" s="15"/>
      <c r="X1352" s="15"/>
    </row>
    <row r="1353">
      <c r="A1353" s="7">
        <v>1352.0</v>
      </c>
      <c r="B1353" s="8" t="s">
        <v>5880</v>
      </c>
      <c r="C1353" s="9" t="s">
        <v>5881</v>
      </c>
      <c r="D1353" s="10" t="str">
        <f>HYPERLINK("https://facebook.com/367089020688300_541346736595860", "367089020688300_541346736595860")</f>
        <v>367089020688300_541346736595860</v>
      </c>
      <c r="E1353" s="11">
        <v>738.0</v>
      </c>
      <c r="F1353" s="11">
        <v>11.0</v>
      </c>
      <c r="G1353" s="11">
        <v>241.0</v>
      </c>
      <c r="H1353" s="9" t="s">
        <v>26</v>
      </c>
      <c r="I1353" s="9" t="s">
        <v>5882</v>
      </c>
      <c r="J1353" s="9" t="s">
        <v>5883</v>
      </c>
      <c r="K1353" s="9" t="s">
        <v>3003</v>
      </c>
      <c r="L1353" s="9" t="s">
        <v>30</v>
      </c>
      <c r="M1353" s="9" t="s">
        <v>31</v>
      </c>
      <c r="N1353" s="9" t="s">
        <v>32</v>
      </c>
      <c r="O1353" s="12" t="s">
        <v>33</v>
      </c>
      <c r="P1353" s="12" t="s">
        <v>34</v>
      </c>
      <c r="Q1353" s="9"/>
      <c r="R1353" s="18"/>
      <c r="S1353" s="18"/>
      <c r="T1353" s="18"/>
      <c r="U1353" s="18"/>
      <c r="V1353" s="18"/>
      <c r="W1353" s="15"/>
      <c r="X1353" s="15"/>
    </row>
    <row r="1354">
      <c r="A1354" s="7">
        <v>1353.0</v>
      </c>
      <c r="B1354" s="8" t="s">
        <v>5884</v>
      </c>
      <c r="C1354" s="9" t="s">
        <v>5885</v>
      </c>
      <c r="D1354" s="10" t="str">
        <f>HYPERLINK("https://facebook.com/367089020688300_545340079529859", "367089020688300_545340079529859")</f>
        <v>367089020688300_545340079529859</v>
      </c>
      <c r="E1354" s="11">
        <v>143.0</v>
      </c>
      <c r="F1354" s="11">
        <v>1.0</v>
      </c>
      <c r="G1354" s="11">
        <v>184.0</v>
      </c>
      <c r="H1354" s="9" t="s">
        <v>26</v>
      </c>
      <c r="I1354" s="9" t="s">
        <v>5886</v>
      </c>
      <c r="J1354" s="9" t="s">
        <v>5887</v>
      </c>
      <c r="K1354" s="9" t="s">
        <v>663</v>
      </c>
      <c r="L1354" s="9" t="s">
        <v>30</v>
      </c>
      <c r="M1354" s="9" t="s">
        <v>31</v>
      </c>
      <c r="N1354" s="9" t="s">
        <v>32</v>
      </c>
      <c r="O1354" s="12" t="s">
        <v>33</v>
      </c>
      <c r="P1354" s="12" t="s">
        <v>34</v>
      </c>
      <c r="Q1354" s="9"/>
      <c r="R1354" s="18"/>
      <c r="S1354" s="18"/>
      <c r="T1354" s="18"/>
      <c r="U1354" s="18"/>
      <c r="V1354" s="18"/>
      <c r="W1354" s="15"/>
      <c r="X1354" s="15"/>
    </row>
    <row r="1355">
      <c r="A1355" s="7">
        <v>1354.0</v>
      </c>
      <c r="B1355" s="8" t="s">
        <v>5888</v>
      </c>
      <c r="C1355" s="9" t="s">
        <v>5889</v>
      </c>
      <c r="D1355" s="10" t="str">
        <f>HYPERLINK("https://facebook.com/367089020688300_544190826311451", "367089020688300_544190826311451")</f>
        <v>367089020688300_544190826311451</v>
      </c>
      <c r="E1355" s="11">
        <v>75.0</v>
      </c>
      <c r="F1355" s="11">
        <v>0.0</v>
      </c>
      <c r="G1355" s="11">
        <v>97.0</v>
      </c>
      <c r="H1355" s="9" t="s">
        <v>26</v>
      </c>
      <c r="I1355" s="9" t="s">
        <v>5890</v>
      </c>
      <c r="J1355" s="9" t="s">
        <v>5891</v>
      </c>
      <c r="K1355" s="9" t="s">
        <v>5892</v>
      </c>
      <c r="L1355" s="9" t="s">
        <v>30</v>
      </c>
      <c r="M1355" s="9" t="s">
        <v>31</v>
      </c>
      <c r="N1355" s="9" t="s">
        <v>32</v>
      </c>
      <c r="O1355" s="12" t="s">
        <v>33</v>
      </c>
      <c r="P1355" s="12" t="s">
        <v>34</v>
      </c>
      <c r="Q1355" s="9"/>
      <c r="R1355" s="18"/>
      <c r="S1355" s="18"/>
      <c r="T1355" s="18"/>
      <c r="U1355" s="18"/>
      <c r="V1355" s="18"/>
      <c r="W1355" s="15"/>
      <c r="X1355" s="15"/>
    </row>
    <row r="1356">
      <c r="A1356" s="7">
        <v>1355.0</v>
      </c>
      <c r="B1356" s="8" t="s">
        <v>5893</v>
      </c>
      <c r="C1356" s="9" t="s">
        <v>5894</v>
      </c>
      <c r="D1356" s="10" t="str">
        <f>HYPERLINK("https://facebook.com/367089020688300_558391848224682", "367089020688300_558391848224682")</f>
        <v>367089020688300_558391848224682</v>
      </c>
      <c r="E1356" s="11">
        <v>31.0</v>
      </c>
      <c r="F1356" s="11">
        <v>0.0</v>
      </c>
      <c r="G1356" s="11">
        <v>23.0</v>
      </c>
      <c r="H1356" s="9" t="s">
        <v>26</v>
      </c>
      <c r="I1356" s="9" t="s">
        <v>5895</v>
      </c>
      <c r="J1356" s="16" t="s">
        <v>5896</v>
      </c>
      <c r="K1356" s="9"/>
      <c r="L1356" s="9" t="s">
        <v>30</v>
      </c>
      <c r="M1356" s="9" t="s">
        <v>31</v>
      </c>
      <c r="N1356" s="9" t="s">
        <v>32</v>
      </c>
      <c r="O1356" s="12" t="s">
        <v>33</v>
      </c>
      <c r="P1356" s="12" t="s">
        <v>34</v>
      </c>
      <c r="Q1356" s="9"/>
      <c r="R1356" s="18"/>
      <c r="S1356" s="18"/>
      <c r="T1356" s="18"/>
      <c r="U1356" s="18"/>
      <c r="V1356" s="18"/>
      <c r="W1356" s="15"/>
      <c r="X1356" s="15"/>
    </row>
    <row r="1357">
      <c r="A1357" s="7">
        <v>1356.0</v>
      </c>
      <c r="B1357" s="8" t="s">
        <v>5897</v>
      </c>
      <c r="C1357" s="9" t="s">
        <v>5898</v>
      </c>
      <c r="D1357" s="10" t="str">
        <f>HYPERLINK("https://facebook.com/367089020688300_545493779514489", "367089020688300_545493779514489")</f>
        <v>367089020688300_545493779514489</v>
      </c>
      <c r="E1357" s="11">
        <v>62.0</v>
      </c>
      <c r="F1357" s="11">
        <v>0.0</v>
      </c>
      <c r="G1357" s="11">
        <v>54.0</v>
      </c>
      <c r="H1357" s="9" t="s">
        <v>26</v>
      </c>
      <c r="I1357" s="9" t="s">
        <v>5899</v>
      </c>
      <c r="J1357" s="9" t="s">
        <v>5900</v>
      </c>
      <c r="K1357" s="9" t="s">
        <v>5901</v>
      </c>
      <c r="L1357" s="9" t="s">
        <v>30</v>
      </c>
      <c r="M1357" s="9" t="s">
        <v>31</v>
      </c>
      <c r="N1357" s="9" t="s">
        <v>32</v>
      </c>
      <c r="O1357" s="12" t="s">
        <v>33</v>
      </c>
      <c r="P1357" s="12" t="s">
        <v>34</v>
      </c>
      <c r="Q1357" s="9"/>
      <c r="R1357" s="18"/>
      <c r="S1357" s="18"/>
      <c r="T1357" s="18"/>
      <c r="U1357" s="18"/>
      <c r="V1357" s="18"/>
      <c r="W1357" s="15"/>
      <c r="X1357" s="15"/>
    </row>
    <row r="1358">
      <c r="A1358" s="7">
        <v>1357.0</v>
      </c>
      <c r="B1358" s="8" t="s">
        <v>5902</v>
      </c>
      <c r="C1358" s="9" t="s">
        <v>5903</v>
      </c>
      <c r="D1358" s="10" t="str">
        <f>HYPERLINK("https://facebook.com/367089020688300_561917274538806", "367089020688300_561917274538806")</f>
        <v>367089020688300_561917274538806</v>
      </c>
      <c r="E1358" s="11">
        <v>151.0</v>
      </c>
      <c r="F1358" s="11">
        <v>6.0</v>
      </c>
      <c r="G1358" s="11">
        <v>176.0</v>
      </c>
      <c r="H1358" s="9" t="s">
        <v>26</v>
      </c>
      <c r="I1358" s="9" t="s">
        <v>5904</v>
      </c>
      <c r="J1358" s="9" t="s">
        <v>5905</v>
      </c>
      <c r="K1358" s="9" t="s">
        <v>5906</v>
      </c>
      <c r="L1358" s="9" t="s">
        <v>30</v>
      </c>
      <c r="M1358" s="9" t="s">
        <v>31</v>
      </c>
      <c r="N1358" s="9" t="s">
        <v>32</v>
      </c>
      <c r="O1358" s="12" t="s">
        <v>33</v>
      </c>
      <c r="P1358" s="12" t="s">
        <v>34</v>
      </c>
      <c r="Q1358" s="9"/>
      <c r="R1358" s="18"/>
      <c r="S1358" s="18"/>
      <c r="T1358" s="18"/>
      <c r="U1358" s="18"/>
      <c r="V1358" s="18"/>
      <c r="W1358" s="15"/>
      <c r="X1358" s="15"/>
    </row>
    <row r="1359">
      <c r="A1359" s="7">
        <v>1358.0</v>
      </c>
      <c r="B1359" s="8" t="s">
        <v>5907</v>
      </c>
      <c r="C1359" s="9" t="s">
        <v>5908</v>
      </c>
      <c r="D1359" s="10" t="str">
        <f>HYPERLINK("https://facebook.com/367089020688300_414811189249416", "367089020688300_414811189249416")</f>
        <v>367089020688300_414811189249416</v>
      </c>
      <c r="E1359" s="11">
        <v>317.0</v>
      </c>
      <c r="F1359" s="11">
        <v>12.0</v>
      </c>
      <c r="G1359" s="11">
        <v>324.0</v>
      </c>
      <c r="H1359" s="9" t="s">
        <v>26</v>
      </c>
      <c r="I1359" s="9" t="s">
        <v>5909</v>
      </c>
      <c r="J1359" s="16" t="s">
        <v>5910</v>
      </c>
      <c r="K1359" s="9"/>
      <c r="L1359" s="9" t="s">
        <v>30</v>
      </c>
      <c r="M1359" s="9" t="s">
        <v>31</v>
      </c>
      <c r="N1359" s="9" t="s">
        <v>32</v>
      </c>
      <c r="O1359" s="12" t="s">
        <v>33</v>
      </c>
      <c r="P1359" s="12" t="s">
        <v>34</v>
      </c>
      <c r="Q1359" s="9"/>
      <c r="R1359" s="18"/>
      <c r="S1359" s="18"/>
      <c r="T1359" s="18"/>
      <c r="U1359" s="18"/>
      <c r="V1359" s="18"/>
      <c r="W1359" s="15"/>
      <c r="X1359" s="15"/>
    </row>
    <row r="1360">
      <c r="A1360" s="7">
        <v>1359.0</v>
      </c>
      <c r="B1360" s="8" t="s">
        <v>5911</v>
      </c>
      <c r="C1360" s="9" t="s">
        <v>5912</v>
      </c>
      <c r="D1360" s="10" t="str">
        <f>HYPERLINK("https://facebook.com/367089020688300_555257275204806", "367089020688300_555257275204806")</f>
        <v>367089020688300_555257275204806</v>
      </c>
      <c r="E1360" s="11">
        <v>19.0</v>
      </c>
      <c r="F1360" s="11">
        <v>1.0</v>
      </c>
      <c r="G1360" s="11">
        <v>1.0</v>
      </c>
      <c r="H1360" s="9" t="s">
        <v>26</v>
      </c>
      <c r="I1360" s="9" t="s">
        <v>1380</v>
      </c>
      <c r="J1360" s="16" t="s">
        <v>1381</v>
      </c>
      <c r="K1360" s="9"/>
      <c r="L1360" s="9" t="s">
        <v>30</v>
      </c>
      <c r="M1360" s="9" t="s">
        <v>31</v>
      </c>
      <c r="N1360" s="9" t="s">
        <v>32</v>
      </c>
      <c r="O1360" s="12" t="s">
        <v>33</v>
      </c>
      <c r="P1360" s="12" t="s">
        <v>34</v>
      </c>
      <c r="Q1360" s="9"/>
      <c r="R1360" s="18"/>
      <c r="S1360" s="18"/>
      <c r="T1360" s="18"/>
      <c r="U1360" s="18"/>
      <c r="V1360" s="18"/>
      <c r="W1360" s="15"/>
      <c r="X1360" s="15"/>
    </row>
    <row r="1361">
      <c r="A1361" s="7">
        <v>1360.0</v>
      </c>
      <c r="B1361" s="8" t="s">
        <v>5913</v>
      </c>
      <c r="C1361" s="9" t="s">
        <v>5914</v>
      </c>
      <c r="D1361" s="10" t="str">
        <f>HYPERLINK("https://facebook.com/367089020688300_494820234581844", "367089020688300_494820234581844")</f>
        <v>367089020688300_494820234581844</v>
      </c>
      <c r="E1361" s="11">
        <v>539.0</v>
      </c>
      <c r="F1361" s="11">
        <v>24.0</v>
      </c>
      <c r="G1361" s="11">
        <v>330.0</v>
      </c>
      <c r="H1361" s="9" t="s">
        <v>26</v>
      </c>
      <c r="I1361" s="9" t="s">
        <v>5915</v>
      </c>
      <c r="J1361" s="9" t="s">
        <v>5916</v>
      </c>
      <c r="K1361" s="9" t="s">
        <v>5917</v>
      </c>
      <c r="L1361" s="9" t="s">
        <v>30</v>
      </c>
      <c r="M1361" s="9" t="s">
        <v>31</v>
      </c>
      <c r="N1361" s="9" t="s">
        <v>32</v>
      </c>
      <c r="O1361" s="12" t="s">
        <v>33</v>
      </c>
      <c r="P1361" s="12" t="s">
        <v>34</v>
      </c>
      <c r="Q1361" s="9"/>
      <c r="R1361" s="18"/>
      <c r="S1361" s="18"/>
      <c r="T1361" s="18"/>
      <c r="U1361" s="18"/>
      <c r="V1361" s="18"/>
      <c r="W1361" s="15"/>
      <c r="X1361" s="15"/>
    </row>
    <row r="1362">
      <c r="A1362" s="7">
        <v>1361.0</v>
      </c>
      <c r="B1362" s="8" t="s">
        <v>5918</v>
      </c>
      <c r="C1362" s="9" t="s">
        <v>5919</v>
      </c>
      <c r="D1362" s="10" t="str">
        <f>HYPERLINK("https://facebook.com/367089020688300_554025495327984", "367089020688300_554025495327984")</f>
        <v>367089020688300_554025495327984</v>
      </c>
      <c r="E1362" s="11">
        <v>27.0</v>
      </c>
      <c r="F1362" s="11">
        <v>2.0</v>
      </c>
      <c r="G1362" s="11">
        <v>31.0</v>
      </c>
      <c r="H1362" s="9" t="s">
        <v>26</v>
      </c>
      <c r="I1362" s="9" t="s">
        <v>5920</v>
      </c>
      <c r="J1362" s="9" t="s">
        <v>5921</v>
      </c>
      <c r="K1362" s="9" t="s">
        <v>5922</v>
      </c>
      <c r="L1362" s="9" t="s">
        <v>30</v>
      </c>
      <c r="M1362" s="9" t="s">
        <v>31</v>
      </c>
      <c r="N1362" s="9" t="s">
        <v>32</v>
      </c>
      <c r="O1362" s="12" t="s">
        <v>33</v>
      </c>
      <c r="P1362" s="12" t="s">
        <v>34</v>
      </c>
      <c r="Q1362" s="9"/>
      <c r="R1362" s="18"/>
      <c r="S1362" s="18"/>
      <c r="T1362" s="18"/>
      <c r="U1362" s="18"/>
      <c r="V1362" s="18"/>
      <c r="W1362" s="15"/>
      <c r="X1362" s="15"/>
    </row>
    <row r="1363">
      <c r="A1363" s="7">
        <v>1362.0</v>
      </c>
      <c r="B1363" s="8" t="s">
        <v>5923</v>
      </c>
      <c r="C1363" s="9" t="s">
        <v>5924</v>
      </c>
      <c r="D1363" s="10" t="str">
        <f>HYPERLINK("https://facebook.com/367089020688300_548041202593080", "367089020688300_548041202593080")</f>
        <v>367089020688300_548041202593080</v>
      </c>
      <c r="E1363" s="11">
        <v>30.0</v>
      </c>
      <c r="F1363" s="11">
        <v>0.0</v>
      </c>
      <c r="G1363" s="11">
        <v>18.0</v>
      </c>
      <c r="H1363" s="9" t="s">
        <v>26</v>
      </c>
      <c r="I1363" s="9" t="s">
        <v>5925</v>
      </c>
      <c r="J1363" s="16" t="s">
        <v>5926</v>
      </c>
      <c r="K1363" s="9"/>
      <c r="L1363" s="9" t="s">
        <v>30</v>
      </c>
      <c r="M1363" s="9" t="s">
        <v>31</v>
      </c>
      <c r="N1363" s="9" t="s">
        <v>32</v>
      </c>
      <c r="O1363" s="12" t="s">
        <v>33</v>
      </c>
      <c r="P1363" s="12" t="s">
        <v>34</v>
      </c>
      <c r="Q1363" s="9"/>
      <c r="R1363" s="18"/>
      <c r="S1363" s="18"/>
      <c r="T1363" s="18"/>
      <c r="U1363" s="18"/>
      <c r="V1363" s="18"/>
      <c r="W1363" s="15"/>
      <c r="X1363" s="15"/>
    </row>
    <row r="1364">
      <c r="A1364" s="7">
        <v>1363.0</v>
      </c>
      <c r="B1364" s="8" t="s">
        <v>5927</v>
      </c>
      <c r="C1364" s="9" t="s">
        <v>5928</v>
      </c>
      <c r="D1364" s="10" t="str">
        <f>HYPERLINK("https://facebook.com/367089020688300_399724817424720", "367089020688300_399724817424720")</f>
        <v>367089020688300_399724817424720</v>
      </c>
      <c r="E1364" s="11">
        <v>122.0</v>
      </c>
      <c r="F1364" s="11">
        <v>0.0</v>
      </c>
      <c r="G1364" s="11">
        <v>60.0</v>
      </c>
      <c r="H1364" s="9" t="s">
        <v>26</v>
      </c>
      <c r="I1364" s="9" t="s">
        <v>4749</v>
      </c>
      <c r="J1364" s="9" t="s">
        <v>5929</v>
      </c>
      <c r="K1364" s="9" t="s">
        <v>5930</v>
      </c>
      <c r="L1364" s="9" t="s">
        <v>30</v>
      </c>
      <c r="M1364" s="9" t="s">
        <v>31</v>
      </c>
      <c r="N1364" s="9" t="s">
        <v>32</v>
      </c>
      <c r="O1364" s="12" t="s">
        <v>33</v>
      </c>
      <c r="P1364" s="12" t="s">
        <v>34</v>
      </c>
      <c r="Q1364" s="9"/>
      <c r="R1364" s="18"/>
      <c r="S1364" s="18"/>
      <c r="T1364" s="18"/>
      <c r="U1364" s="18"/>
      <c r="V1364" s="18"/>
      <c r="W1364" s="15"/>
      <c r="X1364" s="15"/>
    </row>
    <row r="1365">
      <c r="A1365" s="7">
        <v>1364.0</v>
      </c>
      <c r="B1365" s="8" t="s">
        <v>5931</v>
      </c>
      <c r="C1365" s="9" t="s">
        <v>5932</v>
      </c>
      <c r="D1365" s="10" t="str">
        <f>HYPERLINK("https://facebook.com/367089020688300_442125223184679", "367089020688300_442125223184679")</f>
        <v>367089020688300_442125223184679</v>
      </c>
      <c r="E1365" s="11">
        <v>208.0</v>
      </c>
      <c r="F1365" s="11">
        <v>6.0</v>
      </c>
      <c r="G1365" s="11">
        <v>193.0</v>
      </c>
      <c r="H1365" s="9" t="s">
        <v>26</v>
      </c>
      <c r="I1365" s="9" t="s">
        <v>5933</v>
      </c>
      <c r="J1365" s="9" t="s">
        <v>5934</v>
      </c>
      <c r="K1365" s="9" t="s">
        <v>471</v>
      </c>
      <c r="L1365" s="9" t="s">
        <v>30</v>
      </c>
      <c r="M1365" s="9" t="s">
        <v>31</v>
      </c>
      <c r="N1365" s="9" t="s">
        <v>32</v>
      </c>
      <c r="O1365" s="12" t="s">
        <v>33</v>
      </c>
      <c r="P1365" s="12" t="s">
        <v>34</v>
      </c>
      <c r="Q1365" s="9"/>
      <c r="R1365" s="18"/>
      <c r="S1365" s="18"/>
      <c r="T1365" s="18"/>
      <c r="U1365" s="18"/>
      <c r="V1365" s="18"/>
      <c r="W1365" s="15"/>
      <c r="X1365" s="15"/>
    </row>
    <row r="1366">
      <c r="A1366" s="7">
        <v>1365.0</v>
      </c>
      <c r="B1366" s="8" t="s">
        <v>5935</v>
      </c>
      <c r="C1366" s="9" t="s">
        <v>5936</v>
      </c>
      <c r="D1366" s="10" t="str">
        <f>HYPERLINK("https://facebook.com/367089020688300_511985322865335", "367089020688300_511985322865335")</f>
        <v>367089020688300_511985322865335</v>
      </c>
      <c r="E1366" s="11">
        <v>16.0</v>
      </c>
      <c r="F1366" s="11">
        <v>2.0</v>
      </c>
      <c r="G1366" s="11">
        <v>26.0</v>
      </c>
      <c r="H1366" s="9" t="s">
        <v>26</v>
      </c>
      <c r="I1366" s="9" t="s">
        <v>5937</v>
      </c>
      <c r="J1366" s="16" t="s">
        <v>5938</v>
      </c>
      <c r="K1366" s="9"/>
      <c r="L1366" s="9" t="s">
        <v>30</v>
      </c>
      <c r="M1366" s="9" t="s">
        <v>31</v>
      </c>
      <c r="N1366" s="9" t="s">
        <v>32</v>
      </c>
      <c r="O1366" s="12" t="s">
        <v>33</v>
      </c>
      <c r="P1366" s="12" t="s">
        <v>34</v>
      </c>
      <c r="Q1366" s="9"/>
      <c r="R1366" s="18"/>
      <c r="S1366" s="18"/>
      <c r="T1366" s="18"/>
      <c r="U1366" s="18"/>
      <c r="V1366" s="18"/>
      <c r="W1366" s="15"/>
      <c r="X1366" s="15"/>
    </row>
    <row r="1367">
      <c r="A1367" s="7">
        <v>1366.0</v>
      </c>
      <c r="B1367" s="8" t="s">
        <v>5939</v>
      </c>
      <c r="C1367" s="9" t="s">
        <v>5940</v>
      </c>
      <c r="D1367" s="10" t="str">
        <f>HYPERLINK("https://facebook.com/367089020688300_556190288444838", "367089020688300_556190288444838")</f>
        <v>367089020688300_556190288444838</v>
      </c>
      <c r="E1367" s="11">
        <v>141.0</v>
      </c>
      <c r="F1367" s="11">
        <v>0.0</v>
      </c>
      <c r="G1367" s="11">
        <v>54.0</v>
      </c>
      <c r="H1367" s="9" t="s">
        <v>26</v>
      </c>
      <c r="I1367" s="9" t="s">
        <v>3991</v>
      </c>
      <c r="J1367" s="16" t="s">
        <v>5941</v>
      </c>
      <c r="K1367" s="9"/>
      <c r="L1367" s="9" t="s">
        <v>30</v>
      </c>
      <c r="M1367" s="9" t="s">
        <v>31</v>
      </c>
      <c r="N1367" s="9" t="s">
        <v>32</v>
      </c>
      <c r="O1367" s="12" t="s">
        <v>33</v>
      </c>
      <c r="P1367" s="12" t="s">
        <v>34</v>
      </c>
      <c r="Q1367" s="9"/>
      <c r="R1367" s="18"/>
      <c r="S1367" s="18"/>
      <c r="T1367" s="18"/>
      <c r="U1367" s="18"/>
      <c r="V1367" s="18"/>
      <c r="W1367" s="15"/>
      <c r="X1367" s="15"/>
    </row>
    <row r="1368">
      <c r="A1368" s="7">
        <v>1367.0</v>
      </c>
      <c r="B1368" s="8" t="s">
        <v>5942</v>
      </c>
      <c r="C1368" s="9" t="s">
        <v>5943</v>
      </c>
      <c r="D1368" s="10" t="str">
        <f>HYPERLINK("https://facebook.com/367089020688300_554075205323013", "367089020688300_554075205323013")</f>
        <v>367089020688300_554075205323013</v>
      </c>
      <c r="E1368" s="11">
        <v>192.0</v>
      </c>
      <c r="F1368" s="11">
        <v>0.0</v>
      </c>
      <c r="G1368" s="11">
        <v>126.0</v>
      </c>
      <c r="H1368" s="9" t="s">
        <v>26</v>
      </c>
      <c r="I1368" s="9" t="s">
        <v>5944</v>
      </c>
      <c r="J1368" s="9" t="s">
        <v>5945</v>
      </c>
      <c r="K1368" s="9" t="s">
        <v>5946</v>
      </c>
      <c r="L1368" s="9" t="s">
        <v>30</v>
      </c>
      <c r="M1368" s="9" t="s">
        <v>31</v>
      </c>
      <c r="N1368" s="9" t="s">
        <v>32</v>
      </c>
      <c r="O1368" s="12" t="s">
        <v>33</v>
      </c>
      <c r="P1368" s="12" t="s">
        <v>34</v>
      </c>
      <c r="Q1368" s="9"/>
      <c r="R1368" s="18"/>
      <c r="S1368" s="18"/>
      <c r="T1368" s="18"/>
      <c r="U1368" s="18"/>
      <c r="V1368" s="18"/>
      <c r="W1368" s="15"/>
      <c r="X1368" s="15"/>
    </row>
    <row r="1369">
      <c r="A1369" s="7">
        <v>1368.0</v>
      </c>
      <c r="B1369" s="8" t="s">
        <v>5947</v>
      </c>
      <c r="C1369" s="9" t="s">
        <v>5948</v>
      </c>
      <c r="D1369" s="10" t="str">
        <f>HYPERLINK("https://facebook.com/367089020688300_541058949957972", "367089020688300_541058949957972")</f>
        <v>367089020688300_541058949957972</v>
      </c>
      <c r="E1369" s="11">
        <v>30.0</v>
      </c>
      <c r="F1369" s="11">
        <v>0.0</v>
      </c>
      <c r="G1369" s="11">
        <v>27.0</v>
      </c>
      <c r="H1369" s="9" t="s">
        <v>26</v>
      </c>
      <c r="I1369" s="9" t="s">
        <v>5949</v>
      </c>
      <c r="J1369" s="9" t="s">
        <v>5950</v>
      </c>
      <c r="K1369" s="9" t="s">
        <v>5951</v>
      </c>
      <c r="L1369" s="9" t="s">
        <v>30</v>
      </c>
      <c r="M1369" s="9" t="s">
        <v>31</v>
      </c>
      <c r="N1369" s="9" t="s">
        <v>32</v>
      </c>
      <c r="O1369" s="12" t="s">
        <v>33</v>
      </c>
      <c r="P1369" s="12" t="s">
        <v>34</v>
      </c>
      <c r="Q1369" s="9"/>
      <c r="R1369" s="18"/>
      <c r="S1369" s="18"/>
      <c r="T1369" s="18"/>
      <c r="U1369" s="18"/>
      <c r="V1369" s="18"/>
      <c r="W1369" s="15"/>
      <c r="X1369" s="15"/>
    </row>
    <row r="1370">
      <c r="A1370" s="7">
        <v>1369.0</v>
      </c>
      <c r="B1370" s="8" t="s">
        <v>5952</v>
      </c>
      <c r="C1370" s="9" t="s">
        <v>5953</v>
      </c>
      <c r="D1370" s="10" t="str">
        <f>HYPERLINK("https://facebook.com/367089020688300_481092662621268", "367089020688300_481092662621268")</f>
        <v>367089020688300_481092662621268</v>
      </c>
      <c r="E1370" s="11">
        <v>314.0</v>
      </c>
      <c r="F1370" s="11">
        <v>26.0</v>
      </c>
      <c r="G1370" s="11">
        <v>278.0</v>
      </c>
      <c r="H1370" s="9" t="s">
        <v>26</v>
      </c>
      <c r="I1370" s="9" t="s">
        <v>5954</v>
      </c>
      <c r="J1370" s="9" t="s">
        <v>5955</v>
      </c>
      <c r="K1370" s="9" t="s">
        <v>5956</v>
      </c>
      <c r="L1370" s="9" t="s">
        <v>30</v>
      </c>
      <c r="M1370" s="9" t="s">
        <v>31</v>
      </c>
      <c r="N1370" s="9" t="s">
        <v>32</v>
      </c>
      <c r="O1370" s="12" t="s">
        <v>33</v>
      </c>
      <c r="P1370" s="12" t="s">
        <v>34</v>
      </c>
      <c r="Q1370" s="9"/>
      <c r="R1370" s="18"/>
      <c r="S1370" s="18"/>
      <c r="T1370" s="18"/>
      <c r="U1370" s="18"/>
      <c r="V1370" s="18"/>
      <c r="W1370" s="15"/>
      <c r="X1370" s="15"/>
    </row>
    <row r="1371">
      <c r="A1371" s="7">
        <v>1370.0</v>
      </c>
      <c r="B1371" s="8" t="s">
        <v>5957</v>
      </c>
      <c r="C1371" s="9" t="s">
        <v>5958</v>
      </c>
      <c r="D1371" s="10" t="str">
        <f>HYPERLINK("https://facebook.com/367089020688300_537458366984697", "367089020688300_537458366984697")</f>
        <v>367089020688300_537458366984697</v>
      </c>
      <c r="E1371" s="11">
        <v>193.0</v>
      </c>
      <c r="F1371" s="11">
        <v>1.0</v>
      </c>
      <c r="G1371" s="11">
        <v>318.0</v>
      </c>
      <c r="H1371" s="9" t="s">
        <v>26</v>
      </c>
      <c r="I1371" s="9" t="s">
        <v>5959</v>
      </c>
      <c r="J1371" s="9" t="s">
        <v>5960</v>
      </c>
      <c r="K1371" s="9" t="s">
        <v>577</v>
      </c>
      <c r="L1371" s="9" t="s">
        <v>30</v>
      </c>
      <c r="M1371" s="9" t="s">
        <v>31</v>
      </c>
      <c r="N1371" s="9" t="s">
        <v>32</v>
      </c>
      <c r="O1371" s="12" t="s">
        <v>33</v>
      </c>
      <c r="P1371" s="12" t="s">
        <v>34</v>
      </c>
      <c r="Q1371" s="9"/>
      <c r="R1371" s="18"/>
      <c r="S1371" s="18"/>
      <c r="T1371" s="18"/>
      <c r="U1371" s="18"/>
      <c r="V1371" s="18"/>
      <c r="W1371" s="15"/>
      <c r="X1371" s="15"/>
    </row>
    <row r="1372">
      <c r="A1372" s="7">
        <v>1371.0</v>
      </c>
      <c r="B1372" s="8" t="s">
        <v>5961</v>
      </c>
      <c r="C1372" s="9" t="s">
        <v>5962</v>
      </c>
      <c r="D1372" s="10" t="str">
        <f>HYPERLINK("https://facebook.com/367089020688300_497039121026622", "367089020688300_497039121026622")</f>
        <v>367089020688300_497039121026622</v>
      </c>
      <c r="E1372" s="11">
        <v>1009.0</v>
      </c>
      <c r="F1372" s="11">
        <v>13.0</v>
      </c>
      <c r="G1372" s="11">
        <v>724.0</v>
      </c>
      <c r="H1372" s="9" t="s">
        <v>26</v>
      </c>
      <c r="I1372" s="9" t="s">
        <v>5963</v>
      </c>
      <c r="J1372" s="9" t="s">
        <v>5964</v>
      </c>
      <c r="K1372" s="9" t="s">
        <v>5965</v>
      </c>
      <c r="L1372" s="9" t="s">
        <v>30</v>
      </c>
      <c r="M1372" s="9" t="s">
        <v>31</v>
      </c>
      <c r="N1372" s="9" t="s">
        <v>32</v>
      </c>
      <c r="O1372" s="12" t="s">
        <v>33</v>
      </c>
      <c r="P1372" s="12" t="s">
        <v>34</v>
      </c>
      <c r="Q1372" s="9"/>
      <c r="R1372" s="18"/>
      <c r="S1372" s="18"/>
      <c r="T1372" s="18"/>
      <c r="U1372" s="18"/>
      <c r="V1372" s="18"/>
      <c r="W1372" s="15"/>
      <c r="X1372" s="15"/>
    </row>
    <row r="1373">
      <c r="A1373" s="7">
        <v>1372.0</v>
      </c>
      <c r="B1373" s="8" t="s">
        <v>5966</v>
      </c>
      <c r="C1373" s="9" t="s">
        <v>5967</v>
      </c>
      <c r="D1373" s="10" t="str">
        <f>HYPERLINK("https://facebook.com/367089020688300_554072698656597", "367089020688300_554072698656597")</f>
        <v>367089020688300_554072698656597</v>
      </c>
      <c r="E1373" s="11">
        <v>64.0</v>
      </c>
      <c r="F1373" s="11">
        <v>2.0</v>
      </c>
      <c r="G1373" s="11">
        <v>76.0</v>
      </c>
      <c r="H1373" s="9" t="s">
        <v>26</v>
      </c>
      <c r="I1373" s="9" t="s">
        <v>5968</v>
      </c>
      <c r="J1373" s="9" t="s">
        <v>5969</v>
      </c>
      <c r="K1373" s="9" t="s">
        <v>5970</v>
      </c>
      <c r="L1373" s="9" t="s">
        <v>30</v>
      </c>
      <c r="M1373" s="9" t="s">
        <v>31</v>
      </c>
      <c r="N1373" s="9" t="s">
        <v>32</v>
      </c>
      <c r="O1373" s="12" t="s">
        <v>33</v>
      </c>
      <c r="P1373" s="12" t="s">
        <v>34</v>
      </c>
      <c r="Q1373" s="9"/>
      <c r="R1373" s="18"/>
      <c r="S1373" s="18"/>
      <c r="T1373" s="18"/>
      <c r="U1373" s="18"/>
      <c r="V1373" s="18"/>
      <c r="W1373" s="15"/>
      <c r="X1373" s="15"/>
    </row>
    <row r="1374">
      <c r="A1374" s="7">
        <v>1373.0</v>
      </c>
      <c r="B1374" s="8" t="s">
        <v>5971</v>
      </c>
      <c r="C1374" s="9" t="s">
        <v>5972</v>
      </c>
      <c r="D1374" s="10" t="str">
        <f>HYPERLINK("https://facebook.com/367089020688300_544480739615793", "367089020688300_544480739615793")</f>
        <v>367089020688300_544480739615793</v>
      </c>
      <c r="E1374" s="11">
        <v>45.0</v>
      </c>
      <c r="F1374" s="11">
        <v>0.0</v>
      </c>
      <c r="G1374" s="11">
        <v>77.0</v>
      </c>
      <c r="H1374" s="9" t="s">
        <v>26</v>
      </c>
      <c r="I1374" s="9" t="s">
        <v>5973</v>
      </c>
      <c r="J1374" s="16" t="s">
        <v>5974</v>
      </c>
      <c r="K1374" s="9"/>
      <c r="L1374" s="9" t="s">
        <v>30</v>
      </c>
      <c r="M1374" s="9" t="s">
        <v>31</v>
      </c>
      <c r="N1374" s="9" t="s">
        <v>32</v>
      </c>
      <c r="O1374" s="12" t="s">
        <v>33</v>
      </c>
      <c r="P1374" s="12" t="s">
        <v>34</v>
      </c>
      <c r="Q1374" s="9"/>
      <c r="R1374" s="18"/>
      <c r="S1374" s="18"/>
      <c r="T1374" s="18"/>
      <c r="U1374" s="18"/>
      <c r="V1374" s="18"/>
      <c r="W1374" s="15"/>
      <c r="X1374" s="15"/>
    </row>
    <row r="1375">
      <c r="A1375" s="7">
        <v>1374.0</v>
      </c>
      <c r="B1375" s="8" t="s">
        <v>5975</v>
      </c>
      <c r="C1375" s="9" t="s">
        <v>5976</v>
      </c>
      <c r="D1375" s="10" t="str">
        <f>HYPERLINK("https://facebook.com/367089020688300_493175038079697", "367089020688300_493175038079697")</f>
        <v>367089020688300_493175038079697</v>
      </c>
      <c r="E1375" s="11">
        <v>250.0</v>
      </c>
      <c r="F1375" s="11">
        <v>5.0</v>
      </c>
      <c r="G1375" s="11">
        <v>512.0</v>
      </c>
      <c r="H1375" s="9" t="s">
        <v>26</v>
      </c>
      <c r="I1375" s="9" t="s">
        <v>5977</v>
      </c>
      <c r="J1375" s="16" t="s">
        <v>5978</v>
      </c>
      <c r="K1375" s="9"/>
      <c r="L1375" s="9" t="s">
        <v>30</v>
      </c>
      <c r="M1375" s="9" t="s">
        <v>31</v>
      </c>
      <c r="N1375" s="9" t="s">
        <v>32</v>
      </c>
      <c r="O1375" s="12" t="s">
        <v>33</v>
      </c>
      <c r="P1375" s="12" t="s">
        <v>34</v>
      </c>
      <c r="Q1375" s="9"/>
      <c r="R1375" s="18"/>
      <c r="S1375" s="18"/>
      <c r="T1375" s="18"/>
      <c r="U1375" s="18"/>
      <c r="V1375" s="18"/>
      <c r="W1375" s="15"/>
      <c r="X1375" s="15"/>
    </row>
    <row r="1376">
      <c r="A1376" s="7">
        <v>1375.0</v>
      </c>
      <c r="B1376" s="8" t="s">
        <v>5979</v>
      </c>
      <c r="C1376" s="9" t="s">
        <v>5980</v>
      </c>
      <c r="D1376" s="10" t="str">
        <f>HYPERLINK("https://facebook.com/367089020688300_537930323604168", "367089020688300_537930323604168")</f>
        <v>367089020688300_537930323604168</v>
      </c>
      <c r="E1376" s="11">
        <v>12.0</v>
      </c>
      <c r="F1376" s="11">
        <v>0.0</v>
      </c>
      <c r="G1376" s="11">
        <v>14.0</v>
      </c>
      <c r="H1376" s="9" t="s">
        <v>26</v>
      </c>
      <c r="I1376" s="9" t="s">
        <v>5981</v>
      </c>
      <c r="J1376" s="9" t="s">
        <v>5982</v>
      </c>
      <c r="K1376" s="9" t="s">
        <v>577</v>
      </c>
      <c r="L1376" s="9" t="s">
        <v>30</v>
      </c>
      <c r="M1376" s="9" t="s">
        <v>31</v>
      </c>
      <c r="N1376" s="9" t="s">
        <v>32</v>
      </c>
      <c r="O1376" s="12" t="s">
        <v>33</v>
      </c>
      <c r="P1376" s="12" t="s">
        <v>34</v>
      </c>
      <c r="Q1376" s="9"/>
      <c r="R1376" s="18"/>
      <c r="S1376" s="18"/>
      <c r="T1376" s="18"/>
      <c r="U1376" s="18"/>
      <c r="V1376" s="18"/>
      <c r="W1376" s="15"/>
      <c r="X1376" s="15"/>
    </row>
    <row r="1377">
      <c r="A1377" s="7">
        <v>1376.0</v>
      </c>
      <c r="B1377" s="8" t="s">
        <v>5983</v>
      </c>
      <c r="C1377" s="9" t="s">
        <v>5984</v>
      </c>
      <c r="D1377" s="10" t="str">
        <f>HYPERLINK("https://facebook.com/367089020688300_533833354013865", "367089020688300_533833354013865")</f>
        <v>367089020688300_533833354013865</v>
      </c>
      <c r="E1377" s="11">
        <v>1141.0</v>
      </c>
      <c r="F1377" s="11">
        <v>64.0</v>
      </c>
      <c r="G1377" s="11">
        <v>311.0</v>
      </c>
      <c r="H1377" s="9" t="s">
        <v>26</v>
      </c>
      <c r="I1377" s="9" t="s">
        <v>2520</v>
      </c>
      <c r="J1377" s="16" t="s">
        <v>2521</v>
      </c>
      <c r="K1377" s="9"/>
      <c r="L1377" s="9" t="s">
        <v>30</v>
      </c>
      <c r="M1377" s="9" t="s">
        <v>31</v>
      </c>
      <c r="N1377" s="9" t="s">
        <v>32</v>
      </c>
      <c r="O1377" s="12" t="s">
        <v>33</v>
      </c>
      <c r="P1377" s="12" t="s">
        <v>34</v>
      </c>
      <c r="Q1377" s="9"/>
      <c r="R1377" s="18"/>
      <c r="S1377" s="18"/>
      <c r="T1377" s="18"/>
      <c r="U1377" s="18"/>
      <c r="V1377" s="18"/>
      <c r="W1377" s="15"/>
      <c r="X1377" s="15"/>
    </row>
    <row r="1378">
      <c r="A1378" s="7">
        <v>1377.0</v>
      </c>
      <c r="B1378" s="8" t="s">
        <v>5985</v>
      </c>
      <c r="C1378" s="9" t="s">
        <v>5986</v>
      </c>
      <c r="D1378" s="10" t="str">
        <f>HYPERLINK("https://facebook.com/367089020688300_490507191679815", "367089020688300_490507191679815")</f>
        <v>367089020688300_490507191679815</v>
      </c>
      <c r="E1378" s="11">
        <v>168.0</v>
      </c>
      <c r="F1378" s="11">
        <v>30.0</v>
      </c>
      <c r="G1378" s="11">
        <v>186.0</v>
      </c>
      <c r="H1378" s="9" t="s">
        <v>26</v>
      </c>
      <c r="I1378" s="9" t="s">
        <v>5987</v>
      </c>
      <c r="J1378" s="9" t="s">
        <v>5988</v>
      </c>
      <c r="K1378" s="9" t="s">
        <v>5989</v>
      </c>
      <c r="L1378" s="9" t="s">
        <v>30</v>
      </c>
      <c r="M1378" s="9" t="s">
        <v>31</v>
      </c>
      <c r="N1378" s="9" t="s">
        <v>32</v>
      </c>
      <c r="O1378" s="12" t="s">
        <v>33</v>
      </c>
      <c r="P1378" s="12" t="s">
        <v>34</v>
      </c>
      <c r="Q1378" s="9"/>
      <c r="R1378" s="18"/>
      <c r="S1378" s="18"/>
      <c r="T1378" s="18"/>
      <c r="U1378" s="18"/>
      <c r="V1378" s="18"/>
      <c r="W1378" s="15"/>
      <c r="X1378" s="15"/>
    </row>
    <row r="1379">
      <c r="A1379" s="7">
        <v>1378.0</v>
      </c>
      <c r="B1379" s="8" t="s">
        <v>5990</v>
      </c>
      <c r="C1379" s="9" t="s">
        <v>5991</v>
      </c>
      <c r="D1379" s="10" t="str">
        <f>HYPERLINK("https://facebook.com/367089020688300_544513832945817", "367089020688300_544513832945817")</f>
        <v>367089020688300_544513832945817</v>
      </c>
      <c r="E1379" s="11">
        <v>149.0</v>
      </c>
      <c r="F1379" s="11">
        <v>5.0</v>
      </c>
      <c r="G1379" s="11">
        <v>57.0</v>
      </c>
      <c r="H1379" s="9" t="s">
        <v>26</v>
      </c>
      <c r="I1379" s="9" t="s">
        <v>5992</v>
      </c>
      <c r="J1379" s="9" t="s">
        <v>5993</v>
      </c>
      <c r="K1379" s="9" t="s">
        <v>5994</v>
      </c>
      <c r="L1379" s="9" t="s">
        <v>30</v>
      </c>
      <c r="M1379" s="9" t="s">
        <v>31</v>
      </c>
      <c r="N1379" s="9" t="s">
        <v>32</v>
      </c>
      <c r="O1379" s="12" t="s">
        <v>33</v>
      </c>
      <c r="P1379" s="12" t="s">
        <v>34</v>
      </c>
      <c r="Q1379" s="9"/>
      <c r="R1379" s="18"/>
      <c r="S1379" s="18"/>
      <c r="T1379" s="18"/>
      <c r="U1379" s="18"/>
      <c r="V1379" s="18"/>
      <c r="W1379" s="15"/>
      <c r="X1379" s="15"/>
    </row>
    <row r="1380">
      <c r="A1380" s="7">
        <v>1379.0</v>
      </c>
      <c r="B1380" s="8" t="s">
        <v>5995</v>
      </c>
      <c r="C1380" s="9" t="s">
        <v>5996</v>
      </c>
      <c r="D1380" s="10" t="str">
        <f>HYPERLINK("https://facebook.com/367089020688300_447910982606103", "367089020688300_447910982606103")</f>
        <v>367089020688300_447910982606103</v>
      </c>
      <c r="E1380" s="11">
        <v>206.0</v>
      </c>
      <c r="F1380" s="11">
        <v>4.0</v>
      </c>
      <c r="G1380" s="11">
        <v>235.0</v>
      </c>
      <c r="H1380" s="9" t="s">
        <v>26</v>
      </c>
      <c r="I1380" s="9" t="s">
        <v>5997</v>
      </c>
      <c r="J1380" s="9" t="s">
        <v>5998</v>
      </c>
      <c r="K1380" s="9" t="s">
        <v>1817</v>
      </c>
      <c r="L1380" s="9" t="s">
        <v>30</v>
      </c>
      <c r="M1380" s="9" t="s">
        <v>31</v>
      </c>
      <c r="N1380" s="9" t="s">
        <v>32</v>
      </c>
      <c r="O1380" s="12" t="s">
        <v>33</v>
      </c>
      <c r="P1380" s="12" t="s">
        <v>34</v>
      </c>
      <c r="Q1380" s="9"/>
      <c r="R1380" s="18"/>
      <c r="S1380" s="18"/>
      <c r="T1380" s="18"/>
      <c r="U1380" s="18"/>
      <c r="V1380" s="18"/>
      <c r="W1380" s="15"/>
      <c r="X1380" s="15"/>
    </row>
    <row r="1381">
      <c r="A1381" s="7">
        <v>1380.0</v>
      </c>
      <c r="B1381" s="8" t="s">
        <v>5999</v>
      </c>
      <c r="C1381" s="9" t="s">
        <v>6000</v>
      </c>
      <c r="D1381" s="10" t="str">
        <f>HYPERLINK("https://facebook.com/367089020688300_551254252271775", "367089020688300_551254252271775")</f>
        <v>367089020688300_551254252271775</v>
      </c>
      <c r="E1381" s="11">
        <v>68.0</v>
      </c>
      <c r="F1381" s="11">
        <v>0.0</v>
      </c>
      <c r="G1381" s="11">
        <v>104.0</v>
      </c>
      <c r="H1381" s="9" t="s">
        <v>26</v>
      </c>
      <c r="I1381" s="9" t="s">
        <v>6001</v>
      </c>
      <c r="J1381" s="16" t="s">
        <v>6002</v>
      </c>
      <c r="K1381" s="9"/>
      <c r="L1381" s="9" t="s">
        <v>30</v>
      </c>
      <c r="M1381" s="9" t="s">
        <v>31</v>
      </c>
      <c r="N1381" s="9" t="s">
        <v>32</v>
      </c>
      <c r="O1381" s="12" t="s">
        <v>33</v>
      </c>
      <c r="P1381" s="12" t="s">
        <v>34</v>
      </c>
      <c r="Q1381" s="9"/>
      <c r="R1381" s="18"/>
      <c r="S1381" s="18"/>
      <c r="T1381" s="18"/>
      <c r="U1381" s="18"/>
      <c r="V1381" s="18"/>
      <c r="W1381" s="15"/>
      <c r="X1381" s="15"/>
    </row>
    <row r="1382">
      <c r="A1382" s="7">
        <v>1381.0</v>
      </c>
      <c r="B1382" s="8" t="s">
        <v>6003</v>
      </c>
      <c r="C1382" s="9" t="s">
        <v>6004</v>
      </c>
      <c r="D1382" s="10" t="str">
        <f>HYPERLINK("https://facebook.com/367089020688300_513677436029457", "367089020688300_513677436029457")</f>
        <v>367089020688300_513677436029457</v>
      </c>
      <c r="E1382" s="11">
        <v>747.0</v>
      </c>
      <c r="F1382" s="11">
        <v>1.0</v>
      </c>
      <c r="G1382" s="11">
        <v>49.0</v>
      </c>
      <c r="H1382" s="9" t="s">
        <v>26</v>
      </c>
      <c r="I1382" s="9" t="s">
        <v>6005</v>
      </c>
      <c r="J1382" s="9" t="s">
        <v>6006</v>
      </c>
      <c r="K1382" s="9" t="s">
        <v>6007</v>
      </c>
      <c r="L1382" s="9" t="s">
        <v>30</v>
      </c>
      <c r="M1382" s="9" t="s">
        <v>31</v>
      </c>
      <c r="N1382" s="9" t="s">
        <v>32</v>
      </c>
      <c r="O1382" s="12" t="s">
        <v>33</v>
      </c>
      <c r="P1382" s="12" t="s">
        <v>34</v>
      </c>
      <c r="Q1382" s="9"/>
      <c r="R1382" s="18"/>
      <c r="S1382" s="18"/>
      <c r="T1382" s="18"/>
      <c r="U1382" s="18"/>
      <c r="V1382" s="18"/>
      <c r="W1382" s="15"/>
      <c r="X1382" s="15"/>
    </row>
    <row r="1383">
      <c r="A1383" s="7">
        <v>1382.0</v>
      </c>
      <c r="B1383" s="8" t="s">
        <v>6008</v>
      </c>
      <c r="C1383" s="9" t="s">
        <v>6009</v>
      </c>
      <c r="D1383" s="10" t="str">
        <f>HYPERLINK("https://facebook.com/367089020688300_539644500099417", "367089020688300_539644500099417")</f>
        <v>367089020688300_539644500099417</v>
      </c>
      <c r="E1383" s="11">
        <v>185.0</v>
      </c>
      <c r="F1383" s="11">
        <v>1.0</v>
      </c>
      <c r="G1383" s="11">
        <v>213.0</v>
      </c>
      <c r="H1383" s="9" t="s">
        <v>26</v>
      </c>
      <c r="I1383" s="9" t="s">
        <v>6010</v>
      </c>
      <c r="J1383" s="16" t="s">
        <v>6011</v>
      </c>
      <c r="K1383" s="9"/>
      <c r="L1383" s="9" t="s">
        <v>30</v>
      </c>
      <c r="M1383" s="9" t="s">
        <v>31</v>
      </c>
      <c r="N1383" s="9" t="s">
        <v>32</v>
      </c>
      <c r="O1383" s="12" t="s">
        <v>33</v>
      </c>
      <c r="P1383" s="12" t="s">
        <v>34</v>
      </c>
      <c r="Q1383" s="9"/>
      <c r="R1383" s="18"/>
      <c r="S1383" s="18"/>
      <c r="T1383" s="18"/>
      <c r="U1383" s="18"/>
      <c r="V1383" s="18"/>
      <c r="W1383" s="15"/>
      <c r="X1383" s="15"/>
    </row>
    <row r="1384">
      <c r="A1384" s="7">
        <v>1383.0</v>
      </c>
      <c r="B1384" s="8" t="s">
        <v>6012</v>
      </c>
      <c r="C1384" s="9" t="s">
        <v>6013</v>
      </c>
      <c r="D1384" s="10" t="str">
        <f>HYPERLINK("https://facebook.com/367089020688300_518198862243981", "367089020688300_518198862243981")</f>
        <v>367089020688300_518198862243981</v>
      </c>
      <c r="E1384" s="11">
        <v>326.0</v>
      </c>
      <c r="F1384" s="11">
        <v>6.0</v>
      </c>
      <c r="G1384" s="11">
        <v>460.0</v>
      </c>
      <c r="H1384" s="9" t="s">
        <v>26</v>
      </c>
      <c r="I1384" s="9" t="s">
        <v>6014</v>
      </c>
      <c r="J1384" s="16" t="s">
        <v>6015</v>
      </c>
      <c r="K1384" s="9"/>
      <c r="L1384" s="9" t="s">
        <v>30</v>
      </c>
      <c r="M1384" s="9" t="s">
        <v>31</v>
      </c>
      <c r="N1384" s="9" t="s">
        <v>32</v>
      </c>
      <c r="O1384" s="12" t="s">
        <v>33</v>
      </c>
      <c r="P1384" s="12" t="s">
        <v>34</v>
      </c>
      <c r="Q1384" s="9"/>
      <c r="R1384" s="18"/>
      <c r="S1384" s="18"/>
      <c r="T1384" s="18"/>
      <c r="U1384" s="18"/>
      <c r="V1384" s="18"/>
      <c r="W1384" s="15"/>
      <c r="X1384" s="15"/>
    </row>
    <row r="1385">
      <c r="A1385" s="7">
        <v>1384.0</v>
      </c>
      <c r="B1385" s="8" t="s">
        <v>6016</v>
      </c>
      <c r="C1385" s="9" t="s">
        <v>6017</v>
      </c>
      <c r="D1385" s="10" t="str">
        <f>HYPERLINK("https://facebook.com/367089020688300_538340860229781", "367089020688300_538340860229781")</f>
        <v>367089020688300_538340860229781</v>
      </c>
      <c r="E1385" s="11">
        <v>10.0</v>
      </c>
      <c r="F1385" s="11">
        <v>0.0</v>
      </c>
      <c r="G1385" s="11">
        <v>12.0</v>
      </c>
      <c r="H1385" s="9" t="s">
        <v>26</v>
      </c>
      <c r="I1385" s="9" t="s">
        <v>6018</v>
      </c>
      <c r="J1385" s="9" t="s">
        <v>6019</v>
      </c>
      <c r="K1385" s="9" t="s">
        <v>568</v>
      </c>
      <c r="L1385" s="9" t="s">
        <v>30</v>
      </c>
      <c r="M1385" s="9" t="s">
        <v>31</v>
      </c>
      <c r="N1385" s="9" t="s">
        <v>32</v>
      </c>
      <c r="O1385" s="12" t="s">
        <v>33</v>
      </c>
      <c r="P1385" s="12" t="s">
        <v>34</v>
      </c>
      <c r="Q1385" s="9"/>
      <c r="R1385" s="18"/>
      <c r="S1385" s="18"/>
      <c r="T1385" s="18"/>
      <c r="U1385" s="18"/>
      <c r="V1385" s="18"/>
      <c r="W1385" s="15"/>
      <c r="X1385" s="15"/>
    </row>
    <row r="1386">
      <c r="A1386" s="7">
        <v>1385.0</v>
      </c>
      <c r="B1386" s="8" t="s">
        <v>6020</v>
      </c>
      <c r="C1386" s="9" t="s">
        <v>6021</v>
      </c>
      <c r="D1386" s="10" t="str">
        <f>HYPERLINK("https://facebook.com/367089020688300_403064720424063", "367089020688300_403064720424063")</f>
        <v>367089020688300_403064720424063</v>
      </c>
      <c r="E1386" s="11">
        <v>365.0</v>
      </c>
      <c r="F1386" s="11">
        <v>13.0</v>
      </c>
      <c r="G1386" s="11">
        <v>390.0</v>
      </c>
      <c r="H1386" s="9" t="s">
        <v>26</v>
      </c>
      <c r="I1386" s="9" t="s">
        <v>6022</v>
      </c>
      <c r="J1386" s="9" t="s">
        <v>6023</v>
      </c>
      <c r="K1386" s="9" t="s">
        <v>219</v>
      </c>
      <c r="L1386" s="9" t="s">
        <v>30</v>
      </c>
      <c r="M1386" s="9" t="s">
        <v>31</v>
      </c>
      <c r="N1386" s="9" t="s">
        <v>32</v>
      </c>
      <c r="O1386" s="12" t="s">
        <v>33</v>
      </c>
      <c r="P1386" s="12" t="s">
        <v>34</v>
      </c>
      <c r="Q1386" s="9"/>
      <c r="R1386" s="18"/>
      <c r="S1386" s="18"/>
      <c r="T1386" s="18"/>
      <c r="U1386" s="18"/>
      <c r="V1386" s="18"/>
      <c r="W1386" s="15"/>
      <c r="X1386" s="15"/>
    </row>
    <row r="1387">
      <c r="A1387" s="7">
        <v>1386.0</v>
      </c>
      <c r="B1387" s="8" t="s">
        <v>6024</v>
      </c>
      <c r="C1387" s="9" t="s">
        <v>6025</v>
      </c>
      <c r="D1387" s="10" t="str">
        <f>HYPERLINK("https://facebook.com/367089020688300_523322891731578", "367089020688300_523322891731578")</f>
        <v>367089020688300_523322891731578</v>
      </c>
      <c r="E1387" s="11">
        <v>1153.0</v>
      </c>
      <c r="F1387" s="11">
        <v>21.0</v>
      </c>
      <c r="G1387" s="11">
        <v>713.0</v>
      </c>
      <c r="H1387" s="9" t="s">
        <v>26</v>
      </c>
      <c r="I1387" s="9" t="s">
        <v>6026</v>
      </c>
      <c r="J1387" s="16" t="s">
        <v>6027</v>
      </c>
      <c r="K1387" s="9"/>
      <c r="L1387" s="9" t="s">
        <v>30</v>
      </c>
      <c r="M1387" s="9" t="s">
        <v>31</v>
      </c>
      <c r="N1387" s="9" t="s">
        <v>32</v>
      </c>
      <c r="O1387" s="12" t="s">
        <v>33</v>
      </c>
      <c r="P1387" s="12" t="s">
        <v>34</v>
      </c>
      <c r="Q1387" s="9"/>
      <c r="R1387" s="18"/>
      <c r="S1387" s="18"/>
      <c r="T1387" s="18"/>
      <c r="U1387" s="18"/>
      <c r="V1387" s="18"/>
      <c r="W1387" s="15"/>
      <c r="X1387" s="15"/>
    </row>
    <row r="1388">
      <c r="A1388" s="7">
        <v>1387.0</v>
      </c>
      <c r="B1388" s="8" t="s">
        <v>6028</v>
      </c>
      <c r="C1388" s="9" t="s">
        <v>6029</v>
      </c>
      <c r="D1388" s="10" t="str">
        <f>HYPERLINK("https://facebook.com/367089020688300_541444096586124", "367089020688300_541444096586124")</f>
        <v>367089020688300_541444096586124</v>
      </c>
      <c r="E1388" s="11">
        <v>4.0</v>
      </c>
      <c r="F1388" s="11">
        <v>0.0</v>
      </c>
      <c r="G1388" s="11">
        <v>2.0</v>
      </c>
      <c r="H1388" s="9" t="s">
        <v>26</v>
      </c>
      <c r="I1388" s="9" t="s">
        <v>6030</v>
      </c>
      <c r="J1388" s="16" t="s">
        <v>6031</v>
      </c>
      <c r="K1388" s="9"/>
      <c r="L1388" s="9" t="s">
        <v>30</v>
      </c>
      <c r="M1388" s="9" t="s">
        <v>31</v>
      </c>
      <c r="N1388" s="9" t="s">
        <v>32</v>
      </c>
      <c r="O1388" s="12" t="s">
        <v>33</v>
      </c>
      <c r="P1388" s="12" t="s">
        <v>34</v>
      </c>
      <c r="Q1388" s="9"/>
      <c r="R1388" s="18"/>
      <c r="S1388" s="18"/>
      <c r="T1388" s="18"/>
      <c r="U1388" s="18"/>
      <c r="V1388" s="18"/>
      <c r="W1388" s="15"/>
      <c r="X1388" s="15"/>
    </row>
    <row r="1389">
      <c r="A1389" s="7">
        <v>1388.0</v>
      </c>
      <c r="B1389" s="8" t="s">
        <v>6032</v>
      </c>
      <c r="C1389" s="9" t="s">
        <v>6033</v>
      </c>
      <c r="D1389" s="10" t="str">
        <f>HYPERLINK("https://facebook.com/367089020688300_415271612536707", "367089020688300_415271612536707")</f>
        <v>367089020688300_415271612536707</v>
      </c>
      <c r="E1389" s="11">
        <v>864.0</v>
      </c>
      <c r="F1389" s="11">
        <v>19.0</v>
      </c>
      <c r="G1389" s="11">
        <v>391.0</v>
      </c>
      <c r="H1389" s="9" t="s">
        <v>26</v>
      </c>
      <c r="I1389" s="9" t="s">
        <v>6034</v>
      </c>
      <c r="J1389" s="9" t="s">
        <v>6035</v>
      </c>
      <c r="K1389" s="9" t="s">
        <v>6036</v>
      </c>
      <c r="L1389" s="9" t="s">
        <v>30</v>
      </c>
      <c r="M1389" s="9" t="s">
        <v>31</v>
      </c>
      <c r="N1389" s="9" t="s">
        <v>32</v>
      </c>
      <c r="O1389" s="12" t="s">
        <v>33</v>
      </c>
      <c r="P1389" s="12" t="s">
        <v>34</v>
      </c>
      <c r="Q1389" s="9"/>
      <c r="R1389" s="18"/>
      <c r="S1389" s="18"/>
      <c r="T1389" s="18"/>
      <c r="U1389" s="18"/>
      <c r="V1389" s="18"/>
      <c r="W1389" s="15"/>
      <c r="X1389" s="15"/>
    </row>
    <row r="1390">
      <c r="A1390" s="7">
        <v>1389.0</v>
      </c>
      <c r="B1390" s="8" t="s">
        <v>6037</v>
      </c>
      <c r="C1390" s="9" t="s">
        <v>6038</v>
      </c>
      <c r="D1390" s="10" t="str">
        <f>HYPERLINK("https://facebook.com/367089020688300_464682037595664", "367089020688300_464682037595664")</f>
        <v>367089020688300_464682037595664</v>
      </c>
      <c r="E1390" s="11">
        <v>975.0</v>
      </c>
      <c r="F1390" s="11">
        <v>54.0</v>
      </c>
      <c r="G1390" s="11">
        <v>777.0</v>
      </c>
      <c r="H1390" s="9" t="s">
        <v>26</v>
      </c>
      <c r="I1390" s="9" t="s">
        <v>6039</v>
      </c>
      <c r="J1390" s="9" t="s">
        <v>6040</v>
      </c>
      <c r="K1390" s="9" t="s">
        <v>6041</v>
      </c>
      <c r="L1390" s="9" t="s">
        <v>30</v>
      </c>
      <c r="M1390" s="9" t="s">
        <v>31</v>
      </c>
      <c r="N1390" s="9" t="s">
        <v>32</v>
      </c>
      <c r="O1390" s="12" t="s">
        <v>33</v>
      </c>
      <c r="P1390" s="12" t="s">
        <v>34</v>
      </c>
      <c r="Q1390" s="9"/>
      <c r="R1390" s="18"/>
      <c r="S1390" s="18"/>
      <c r="T1390" s="18"/>
      <c r="U1390" s="18"/>
      <c r="V1390" s="18"/>
      <c r="W1390" s="15"/>
      <c r="X1390" s="15"/>
    </row>
    <row r="1391">
      <c r="A1391" s="7">
        <v>1390.0</v>
      </c>
      <c r="B1391" s="8" t="s">
        <v>6042</v>
      </c>
      <c r="C1391" s="9" t="s">
        <v>6043</v>
      </c>
      <c r="D1391" s="10" t="str">
        <f>HYPERLINK("https://facebook.com/367089020688300_548456825884851", "367089020688300_548456825884851")</f>
        <v>367089020688300_548456825884851</v>
      </c>
      <c r="E1391" s="11">
        <v>12.0</v>
      </c>
      <c r="F1391" s="11">
        <v>1.0</v>
      </c>
      <c r="G1391" s="11">
        <v>5.0</v>
      </c>
      <c r="H1391" s="9" t="s">
        <v>26</v>
      </c>
      <c r="I1391" s="9" t="s">
        <v>3208</v>
      </c>
      <c r="J1391" s="9" t="s">
        <v>3209</v>
      </c>
      <c r="K1391" s="9" t="s">
        <v>6044</v>
      </c>
      <c r="L1391" s="9" t="s">
        <v>30</v>
      </c>
      <c r="M1391" s="9" t="s">
        <v>31</v>
      </c>
      <c r="N1391" s="9" t="s">
        <v>32</v>
      </c>
      <c r="O1391" s="12" t="s">
        <v>33</v>
      </c>
      <c r="P1391" s="12" t="s">
        <v>34</v>
      </c>
      <c r="Q1391" s="9"/>
      <c r="R1391" s="18"/>
      <c r="S1391" s="18"/>
      <c r="T1391" s="18"/>
      <c r="U1391" s="18"/>
      <c r="V1391" s="18"/>
      <c r="W1391" s="15"/>
      <c r="X1391" s="15"/>
    </row>
    <row r="1392">
      <c r="A1392" s="7">
        <v>1391.0</v>
      </c>
      <c r="B1392" s="8" t="s">
        <v>6045</v>
      </c>
      <c r="C1392" s="9" t="s">
        <v>6046</v>
      </c>
      <c r="D1392" s="10" t="str">
        <f>HYPERLINK("https://facebook.com/367089020688300_422304401833428", "367089020688300_422304401833428")</f>
        <v>367089020688300_422304401833428</v>
      </c>
      <c r="E1392" s="11">
        <v>1524.0</v>
      </c>
      <c r="F1392" s="11">
        <v>147.0</v>
      </c>
      <c r="G1392" s="11">
        <v>1092.0</v>
      </c>
      <c r="H1392" s="9" t="s">
        <v>26</v>
      </c>
      <c r="I1392" s="9" t="s">
        <v>6047</v>
      </c>
      <c r="J1392" s="9" t="s">
        <v>6048</v>
      </c>
      <c r="K1392" s="9" t="s">
        <v>219</v>
      </c>
      <c r="L1392" s="9" t="s">
        <v>30</v>
      </c>
      <c r="M1392" s="9" t="s">
        <v>31</v>
      </c>
      <c r="N1392" s="9" t="s">
        <v>32</v>
      </c>
      <c r="O1392" s="12" t="s">
        <v>33</v>
      </c>
      <c r="P1392" s="12" t="s">
        <v>34</v>
      </c>
      <c r="Q1392" s="9"/>
      <c r="R1392" s="18"/>
      <c r="S1392" s="18"/>
      <c r="T1392" s="18"/>
      <c r="U1392" s="18"/>
      <c r="V1392" s="18"/>
      <c r="W1392" s="15"/>
      <c r="X1392" s="15"/>
    </row>
    <row r="1393">
      <c r="A1393" s="7">
        <v>1392.0</v>
      </c>
      <c r="B1393" s="8" t="s">
        <v>6049</v>
      </c>
      <c r="C1393" s="9" t="s">
        <v>6050</v>
      </c>
      <c r="D1393" s="10" t="str">
        <f>HYPERLINK("https://facebook.com/367089020688300_447731885957346", "367089020688300_447731885957346")</f>
        <v>367089020688300_447731885957346</v>
      </c>
      <c r="E1393" s="11">
        <v>242.0</v>
      </c>
      <c r="F1393" s="11">
        <v>9.0</v>
      </c>
      <c r="G1393" s="11">
        <v>293.0</v>
      </c>
      <c r="H1393" s="9" t="s">
        <v>26</v>
      </c>
      <c r="I1393" s="9" t="s">
        <v>6051</v>
      </c>
      <c r="J1393" s="9" t="s">
        <v>6052</v>
      </c>
      <c r="K1393" s="9" t="s">
        <v>6053</v>
      </c>
      <c r="L1393" s="9" t="s">
        <v>30</v>
      </c>
      <c r="M1393" s="9" t="s">
        <v>31</v>
      </c>
      <c r="N1393" s="9" t="s">
        <v>32</v>
      </c>
      <c r="O1393" s="12" t="s">
        <v>33</v>
      </c>
      <c r="P1393" s="12" t="s">
        <v>34</v>
      </c>
      <c r="Q1393" s="9"/>
      <c r="R1393" s="18"/>
      <c r="S1393" s="18"/>
      <c r="T1393" s="18"/>
      <c r="U1393" s="18"/>
      <c r="V1393" s="18"/>
      <c r="W1393" s="15"/>
      <c r="X1393" s="15"/>
    </row>
    <row r="1394">
      <c r="A1394" s="7">
        <v>1393.0</v>
      </c>
      <c r="B1394" s="8" t="s">
        <v>6054</v>
      </c>
      <c r="C1394" s="9" t="s">
        <v>6055</v>
      </c>
      <c r="D1394" s="10" t="str">
        <f>HYPERLINK("https://facebook.com/367089020688300_509983249732209", "367089020688300_509983249732209")</f>
        <v>367089020688300_509983249732209</v>
      </c>
      <c r="E1394" s="11">
        <v>80.0</v>
      </c>
      <c r="F1394" s="11">
        <v>0.0</v>
      </c>
      <c r="G1394" s="11">
        <v>123.0</v>
      </c>
      <c r="H1394" s="9" t="s">
        <v>26</v>
      </c>
      <c r="I1394" s="9" t="s">
        <v>6056</v>
      </c>
      <c r="J1394" s="16" t="s">
        <v>6057</v>
      </c>
      <c r="K1394" s="9"/>
      <c r="L1394" s="9" t="s">
        <v>30</v>
      </c>
      <c r="M1394" s="9" t="s">
        <v>31</v>
      </c>
      <c r="N1394" s="9" t="s">
        <v>32</v>
      </c>
      <c r="O1394" s="12" t="s">
        <v>33</v>
      </c>
      <c r="P1394" s="12" t="s">
        <v>34</v>
      </c>
      <c r="Q1394" s="9"/>
      <c r="R1394" s="18"/>
      <c r="S1394" s="18"/>
      <c r="T1394" s="18"/>
      <c r="U1394" s="18"/>
      <c r="V1394" s="18"/>
      <c r="W1394" s="15"/>
      <c r="X1394" s="15"/>
    </row>
    <row r="1395">
      <c r="A1395" s="7">
        <v>1394.0</v>
      </c>
      <c r="B1395" s="8" t="s">
        <v>6058</v>
      </c>
      <c r="C1395" s="9" t="s">
        <v>6059</v>
      </c>
      <c r="D1395" s="10" t="str">
        <f>HYPERLINK("https://facebook.com/367089020688300_552515538812313", "367089020688300_552515538812313")</f>
        <v>367089020688300_552515538812313</v>
      </c>
      <c r="E1395" s="11">
        <v>2.0</v>
      </c>
      <c r="F1395" s="11">
        <v>0.0</v>
      </c>
      <c r="G1395" s="11">
        <v>16.0</v>
      </c>
      <c r="H1395" s="9" t="s">
        <v>26</v>
      </c>
      <c r="I1395" s="9" t="s">
        <v>1917</v>
      </c>
      <c r="J1395" s="16" t="s">
        <v>6060</v>
      </c>
      <c r="K1395" s="9"/>
      <c r="L1395" s="9" t="s">
        <v>30</v>
      </c>
      <c r="M1395" s="9" t="s">
        <v>31</v>
      </c>
      <c r="N1395" s="9" t="s">
        <v>32</v>
      </c>
      <c r="O1395" s="12" t="s">
        <v>33</v>
      </c>
      <c r="P1395" s="12" t="s">
        <v>34</v>
      </c>
      <c r="Q1395" s="9"/>
      <c r="R1395" s="18"/>
      <c r="S1395" s="18"/>
      <c r="T1395" s="18"/>
      <c r="U1395" s="18"/>
      <c r="V1395" s="18"/>
      <c r="W1395" s="15"/>
      <c r="X1395" s="15"/>
    </row>
    <row r="1396">
      <c r="A1396" s="7">
        <v>1395.0</v>
      </c>
      <c r="B1396" s="8" t="s">
        <v>6061</v>
      </c>
      <c r="C1396" s="9" t="s">
        <v>6062</v>
      </c>
      <c r="D1396" s="10" t="str">
        <f>HYPERLINK("https://facebook.com/367089020688300_418336092230259", "367089020688300_418336092230259")</f>
        <v>367089020688300_418336092230259</v>
      </c>
      <c r="E1396" s="11">
        <v>371.0</v>
      </c>
      <c r="F1396" s="11">
        <v>36.0</v>
      </c>
      <c r="G1396" s="11">
        <v>188.0</v>
      </c>
      <c r="H1396" s="9" t="s">
        <v>26</v>
      </c>
      <c r="I1396" s="9" t="s">
        <v>6063</v>
      </c>
      <c r="J1396" s="9" t="s">
        <v>6064</v>
      </c>
      <c r="K1396" s="9" t="s">
        <v>5328</v>
      </c>
      <c r="L1396" s="9" t="s">
        <v>30</v>
      </c>
      <c r="M1396" s="9" t="s">
        <v>31</v>
      </c>
      <c r="N1396" s="9" t="s">
        <v>32</v>
      </c>
      <c r="O1396" s="12" t="s">
        <v>33</v>
      </c>
      <c r="P1396" s="12" t="s">
        <v>34</v>
      </c>
      <c r="Q1396" s="9"/>
      <c r="R1396" s="18"/>
      <c r="S1396" s="18"/>
      <c r="T1396" s="18"/>
      <c r="U1396" s="18"/>
      <c r="V1396" s="18"/>
      <c r="W1396" s="15"/>
      <c r="X1396" s="15"/>
    </row>
    <row r="1397">
      <c r="A1397" s="7">
        <v>1396.0</v>
      </c>
      <c r="B1397" s="8" t="s">
        <v>6065</v>
      </c>
      <c r="C1397" s="9" t="s">
        <v>6066</v>
      </c>
      <c r="D1397" s="10" t="str">
        <f>HYPERLINK("https://facebook.com/367089020688300_559369434793590", "367089020688300_559369434793590")</f>
        <v>367089020688300_559369434793590</v>
      </c>
      <c r="E1397" s="11">
        <v>149.0</v>
      </c>
      <c r="F1397" s="11">
        <v>0.0</v>
      </c>
      <c r="G1397" s="11">
        <v>164.0</v>
      </c>
      <c r="H1397" s="9" t="s">
        <v>26</v>
      </c>
      <c r="I1397" s="9" t="s">
        <v>6067</v>
      </c>
      <c r="J1397" s="9" t="s">
        <v>6068</v>
      </c>
      <c r="K1397" s="9" t="s">
        <v>6069</v>
      </c>
      <c r="L1397" s="9" t="s">
        <v>30</v>
      </c>
      <c r="M1397" s="9" t="s">
        <v>31</v>
      </c>
      <c r="N1397" s="9" t="s">
        <v>32</v>
      </c>
      <c r="O1397" s="12" t="s">
        <v>33</v>
      </c>
      <c r="P1397" s="12" t="s">
        <v>34</v>
      </c>
      <c r="Q1397" s="9"/>
      <c r="R1397" s="18"/>
      <c r="S1397" s="18"/>
      <c r="T1397" s="18"/>
      <c r="U1397" s="18"/>
      <c r="V1397" s="18"/>
      <c r="W1397" s="15"/>
      <c r="X1397" s="15"/>
    </row>
    <row r="1398">
      <c r="A1398" s="7">
        <v>1397.0</v>
      </c>
      <c r="B1398" s="8" t="s">
        <v>6070</v>
      </c>
      <c r="C1398" s="9" t="s">
        <v>6071</v>
      </c>
      <c r="D1398" s="10" t="str">
        <f>HYPERLINK("https://facebook.com/367089020688300_523184198412114", "367089020688300_523184198412114")</f>
        <v>367089020688300_523184198412114</v>
      </c>
      <c r="E1398" s="11">
        <v>10.0</v>
      </c>
      <c r="F1398" s="11">
        <v>0.0</v>
      </c>
      <c r="G1398" s="11">
        <v>31.0</v>
      </c>
      <c r="H1398" s="9" t="s">
        <v>26</v>
      </c>
      <c r="I1398" s="9" t="s">
        <v>6072</v>
      </c>
      <c r="J1398" s="9" t="s">
        <v>6073</v>
      </c>
      <c r="K1398" s="9" t="s">
        <v>6074</v>
      </c>
      <c r="L1398" s="9" t="s">
        <v>30</v>
      </c>
      <c r="M1398" s="9" t="s">
        <v>31</v>
      </c>
      <c r="N1398" s="9" t="s">
        <v>32</v>
      </c>
      <c r="O1398" s="12" t="s">
        <v>33</v>
      </c>
      <c r="P1398" s="12" t="s">
        <v>34</v>
      </c>
      <c r="Q1398" s="9"/>
      <c r="R1398" s="18"/>
      <c r="S1398" s="18"/>
      <c r="T1398" s="18"/>
      <c r="U1398" s="18"/>
      <c r="V1398" s="18"/>
      <c r="W1398" s="15"/>
      <c r="X1398" s="15"/>
    </row>
    <row r="1399">
      <c r="A1399" s="7">
        <v>1398.0</v>
      </c>
      <c r="B1399" s="8" t="s">
        <v>6075</v>
      </c>
      <c r="C1399" s="9" t="s">
        <v>6076</v>
      </c>
      <c r="D1399" s="10" t="str">
        <f>HYPERLINK("https://facebook.com/367089020688300_461349787928889", "367089020688300_461349787928889")</f>
        <v>367089020688300_461349787928889</v>
      </c>
      <c r="E1399" s="11">
        <v>147.0</v>
      </c>
      <c r="F1399" s="11">
        <v>3.0</v>
      </c>
      <c r="G1399" s="11">
        <v>223.0</v>
      </c>
      <c r="H1399" s="9" t="s">
        <v>26</v>
      </c>
      <c r="I1399" s="9" t="s">
        <v>6077</v>
      </c>
      <c r="J1399" s="9" t="s">
        <v>6078</v>
      </c>
      <c r="K1399" s="9" t="s">
        <v>249</v>
      </c>
      <c r="L1399" s="9" t="s">
        <v>30</v>
      </c>
      <c r="M1399" s="9" t="s">
        <v>31</v>
      </c>
      <c r="N1399" s="9" t="s">
        <v>32</v>
      </c>
      <c r="O1399" s="12" t="s">
        <v>33</v>
      </c>
      <c r="P1399" s="12" t="s">
        <v>34</v>
      </c>
      <c r="Q1399" s="9"/>
      <c r="R1399" s="18"/>
      <c r="S1399" s="18"/>
      <c r="T1399" s="18"/>
      <c r="U1399" s="18"/>
      <c r="V1399" s="18"/>
      <c r="W1399" s="15"/>
      <c r="X1399" s="15"/>
    </row>
    <row r="1400">
      <c r="A1400" s="7">
        <v>1399.0</v>
      </c>
      <c r="B1400" s="8" t="s">
        <v>6079</v>
      </c>
      <c r="C1400" s="9" t="s">
        <v>6080</v>
      </c>
      <c r="D1400" s="10" t="str">
        <f>HYPERLINK("https://facebook.com/367089020688300_495834384480429", "367089020688300_495834384480429")</f>
        <v>367089020688300_495834384480429</v>
      </c>
      <c r="E1400" s="11">
        <v>793.0</v>
      </c>
      <c r="F1400" s="11">
        <v>70.0</v>
      </c>
      <c r="G1400" s="11">
        <v>568.0</v>
      </c>
      <c r="H1400" s="9" t="s">
        <v>26</v>
      </c>
      <c r="I1400" s="9" t="s">
        <v>6081</v>
      </c>
      <c r="J1400" s="9" t="s">
        <v>6082</v>
      </c>
      <c r="K1400" s="9" t="s">
        <v>6083</v>
      </c>
      <c r="L1400" s="9" t="s">
        <v>30</v>
      </c>
      <c r="M1400" s="9" t="s">
        <v>31</v>
      </c>
      <c r="N1400" s="9" t="s">
        <v>32</v>
      </c>
      <c r="O1400" s="12" t="s">
        <v>33</v>
      </c>
      <c r="P1400" s="12" t="s">
        <v>34</v>
      </c>
      <c r="Q1400" s="9"/>
      <c r="R1400" s="18"/>
      <c r="S1400" s="18"/>
      <c r="T1400" s="18"/>
      <c r="U1400" s="18"/>
      <c r="V1400" s="18"/>
      <c r="W1400" s="15"/>
      <c r="X1400" s="15"/>
    </row>
    <row r="1401">
      <c r="A1401" s="7">
        <v>1400.0</v>
      </c>
      <c r="B1401" s="8" t="s">
        <v>6084</v>
      </c>
      <c r="C1401" s="9" t="s">
        <v>6085</v>
      </c>
      <c r="D1401" s="10" t="str">
        <f>HYPERLINK("https://facebook.com/367089020688300_478090956254772", "367089020688300_478090956254772")</f>
        <v>367089020688300_478090956254772</v>
      </c>
      <c r="E1401" s="11">
        <v>201.0</v>
      </c>
      <c r="F1401" s="11">
        <v>13.0</v>
      </c>
      <c r="G1401" s="11">
        <v>555.0</v>
      </c>
      <c r="H1401" s="9" t="s">
        <v>26</v>
      </c>
      <c r="I1401" s="9" t="s">
        <v>4810</v>
      </c>
      <c r="J1401" s="9" t="s">
        <v>6086</v>
      </c>
      <c r="K1401" s="9" t="s">
        <v>6087</v>
      </c>
      <c r="L1401" s="9" t="s">
        <v>30</v>
      </c>
      <c r="M1401" s="9" t="s">
        <v>31</v>
      </c>
      <c r="N1401" s="9" t="s">
        <v>32</v>
      </c>
      <c r="O1401" s="12" t="s">
        <v>33</v>
      </c>
      <c r="P1401" s="12" t="s">
        <v>34</v>
      </c>
      <c r="Q1401" s="9"/>
      <c r="R1401" s="18"/>
      <c r="S1401" s="18"/>
      <c r="T1401" s="18"/>
      <c r="U1401" s="18"/>
      <c r="V1401" s="18"/>
      <c r="W1401" s="15"/>
      <c r="X1401" s="15"/>
    </row>
    <row r="1402">
      <c r="A1402" s="7">
        <v>1401.0</v>
      </c>
      <c r="B1402" s="8" t="s">
        <v>6088</v>
      </c>
      <c r="C1402" s="9" t="s">
        <v>6089</v>
      </c>
      <c r="D1402" s="10" t="str">
        <f>HYPERLINK("https://facebook.com/367089020688300_547689509294916", "367089020688300_547689509294916")</f>
        <v>367089020688300_547689509294916</v>
      </c>
      <c r="E1402" s="11">
        <v>30.0</v>
      </c>
      <c r="F1402" s="11">
        <v>0.0</v>
      </c>
      <c r="G1402" s="11">
        <v>8.0</v>
      </c>
      <c r="H1402" s="9" t="s">
        <v>26</v>
      </c>
      <c r="I1402" s="9" t="s">
        <v>474</v>
      </c>
      <c r="J1402" s="9" t="s">
        <v>475</v>
      </c>
      <c r="K1402" s="9" t="s">
        <v>249</v>
      </c>
      <c r="L1402" s="9" t="s">
        <v>30</v>
      </c>
      <c r="M1402" s="9" t="s">
        <v>31</v>
      </c>
      <c r="N1402" s="9" t="s">
        <v>32</v>
      </c>
      <c r="O1402" s="12" t="s">
        <v>33</v>
      </c>
      <c r="P1402" s="12" t="s">
        <v>34</v>
      </c>
      <c r="Q1402" s="9"/>
      <c r="R1402" s="18"/>
      <c r="S1402" s="18"/>
      <c r="T1402" s="18"/>
      <c r="U1402" s="18"/>
      <c r="V1402" s="18"/>
      <c r="W1402" s="15"/>
      <c r="X1402" s="15"/>
    </row>
    <row r="1403">
      <c r="A1403" s="7">
        <v>1402.0</v>
      </c>
      <c r="B1403" s="8" t="s">
        <v>6090</v>
      </c>
      <c r="C1403" s="9" t="s">
        <v>6091</v>
      </c>
      <c r="D1403" s="10" t="str">
        <f>HYPERLINK("https://facebook.com/367089020688300_548025529261314", "367089020688300_548025529261314")</f>
        <v>367089020688300_548025529261314</v>
      </c>
      <c r="E1403" s="11">
        <v>1349.0</v>
      </c>
      <c r="F1403" s="11">
        <v>36.0</v>
      </c>
      <c r="G1403" s="11">
        <v>782.0</v>
      </c>
      <c r="H1403" s="9" t="s">
        <v>26</v>
      </c>
      <c r="I1403" s="9" t="s">
        <v>6092</v>
      </c>
      <c r="J1403" s="16" t="s">
        <v>6093</v>
      </c>
      <c r="K1403" s="9"/>
      <c r="L1403" s="9" t="s">
        <v>30</v>
      </c>
      <c r="M1403" s="9" t="s">
        <v>31</v>
      </c>
      <c r="N1403" s="9" t="s">
        <v>32</v>
      </c>
      <c r="O1403" s="12" t="s">
        <v>33</v>
      </c>
      <c r="P1403" s="12" t="s">
        <v>34</v>
      </c>
      <c r="Q1403" s="9"/>
      <c r="R1403" s="18"/>
      <c r="S1403" s="18"/>
      <c r="T1403" s="18"/>
      <c r="U1403" s="18"/>
      <c r="V1403" s="18"/>
      <c r="W1403" s="15"/>
      <c r="X1403" s="15"/>
    </row>
    <row r="1404">
      <c r="A1404" s="7">
        <v>1403.0</v>
      </c>
      <c r="B1404" s="8" t="s">
        <v>6094</v>
      </c>
      <c r="C1404" s="9" t="s">
        <v>6095</v>
      </c>
      <c r="D1404" s="10" t="str">
        <f>HYPERLINK("https://facebook.com/367089020688300_556628288401038", "367089020688300_556628288401038")</f>
        <v>367089020688300_556628288401038</v>
      </c>
      <c r="E1404" s="11">
        <v>65.0</v>
      </c>
      <c r="F1404" s="11">
        <v>2.0</v>
      </c>
      <c r="G1404" s="11">
        <v>19.0</v>
      </c>
      <c r="H1404" s="9" t="s">
        <v>26</v>
      </c>
      <c r="I1404" s="9" t="s">
        <v>6096</v>
      </c>
      <c r="J1404" s="9" t="s">
        <v>6097</v>
      </c>
      <c r="K1404" s="9" t="s">
        <v>6098</v>
      </c>
      <c r="L1404" s="9" t="s">
        <v>30</v>
      </c>
      <c r="M1404" s="9" t="s">
        <v>31</v>
      </c>
      <c r="N1404" s="9" t="s">
        <v>32</v>
      </c>
      <c r="O1404" s="12" t="s">
        <v>33</v>
      </c>
      <c r="P1404" s="12" t="s">
        <v>34</v>
      </c>
      <c r="Q1404" s="9"/>
      <c r="R1404" s="18"/>
      <c r="S1404" s="18"/>
      <c r="T1404" s="18"/>
      <c r="U1404" s="18"/>
      <c r="V1404" s="18"/>
      <c r="W1404" s="15"/>
      <c r="X1404" s="15"/>
    </row>
    <row r="1405">
      <c r="A1405" s="7">
        <v>1404.0</v>
      </c>
      <c r="B1405" s="8" t="s">
        <v>6099</v>
      </c>
      <c r="C1405" s="9" t="s">
        <v>6100</v>
      </c>
      <c r="D1405" s="10" t="str">
        <f>HYPERLINK("https://facebook.com/367089020688300_502963167100884", "367089020688300_502963167100884")</f>
        <v>367089020688300_502963167100884</v>
      </c>
      <c r="E1405" s="11">
        <v>390.0</v>
      </c>
      <c r="F1405" s="11">
        <v>7.0</v>
      </c>
      <c r="G1405" s="11">
        <v>310.0</v>
      </c>
      <c r="H1405" s="9" t="s">
        <v>26</v>
      </c>
      <c r="I1405" s="9" t="s">
        <v>6101</v>
      </c>
      <c r="J1405" s="9" t="s">
        <v>6102</v>
      </c>
      <c r="K1405" s="9" t="s">
        <v>6103</v>
      </c>
      <c r="L1405" s="9" t="s">
        <v>30</v>
      </c>
      <c r="M1405" s="9" t="s">
        <v>31</v>
      </c>
      <c r="N1405" s="9" t="s">
        <v>32</v>
      </c>
      <c r="O1405" s="12" t="s">
        <v>33</v>
      </c>
      <c r="P1405" s="12" t="s">
        <v>34</v>
      </c>
      <c r="Q1405" s="9"/>
      <c r="R1405" s="18"/>
      <c r="S1405" s="18"/>
      <c r="T1405" s="18"/>
      <c r="U1405" s="18"/>
      <c r="V1405" s="18"/>
      <c r="W1405" s="15"/>
      <c r="X1405" s="15"/>
    </row>
    <row r="1406">
      <c r="A1406" s="7">
        <v>1405.0</v>
      </c>
      <c r="B1406" s="8" t="s">
        <v>6104</v>
      </c>
      <c r="C1406" s="9" t="s">
        <v>6105</v>
      </c>
      <c r="D1406" s="10" t="str">
        <f>HYPERLINK("https://facebook.com/367089020688300_540509946679539", "367089020688300_540509946679539")</f>
        <v>367089020688300_540509946679539</v>
      </c>
      <c r="E1406" s="11">
        <v>664.0</v>
      </c>
      <c r="F1406" s="11">
        <v>17.0</v>
      </c>
      <c r="G1406" s="11">
        <v>263.0</v>
      </c>
      <c r="H1406" s="9" t="s">
        <v>26</v>
      </c>
      <c r="I1406" s="9" t="s">
        <v>6106</v>
      </c>
      <c r="J1406" s="16" t="s">
        <v>6107</v>
      </c>
      <c r="K1406" s="9"/>
      <c r="L1406" s="9" t="s">
        <v>30</v>
      </c>
      <c r="M1406" s="9" t="s">
        <v>31</v>
      </c>
      <c r="N1406" s="9" t="s">
        <v>32</v>
      </c>
      <c r="O1406" s="12" t="s">
        <v>33</v>
      </c>
      <c r="P1406" s="12" t="s">
        <v>34</v>
      </c>
      <c r="Q1406" s="9"/>
      <c r="R1406" s="18"/>
      <c r="S1406" s="18"/>
      <c r="T1406" s="18"/>
      <c r="U1406" s="18"/>
      <c r="V1406" s="18"/>
      <c r="W1406" s="15"/>
      <c r="X1406" s="15"/>
    </row>
    <row r="1407">
      <c r="A1407" s="7">
        <v>1406.0</v>
      </c>
      <c r="B1407" s="8" t="s">
        <v>6108</v>
      </c>
      <c r="C1407" s="9" t="s">
        <v>6109</v>
      </c>
      <c r="D1407" s="10" t="str">
        <f>HYPERLINK("https://facebook.com/367089020688300_534522493944951", "367089020688300_534522493944951")</f>
        <v>367089020688300_534522493944951</v>
      </c>
      <c r="E1407" s="11">
        <v>15.0</v>
      </c>
      <c r="F1407" s="11">
        <v>0.0</v>
      </c>
      <c r="G1407" s="11">
        <v>80.0</v>
      </c>
      <c r="H1407" s="9" t="s">
        <v>26</v>
      </c>
      <c r="I1407" s="9" t="s">
        <v>1128</v>
      </c>
      <c r="J1407" s="9" t="s">
        <v>1129</v>
      </c>
      <c r="K1407" s="9" t="s">
        <v>6110</v>
      </c>
      <c r="L1407" s="9" t="s">
        <v>30</v>
      </c>
      <c r="M1407" s="9" t="s">
        <v>31</v>
      </c>
      <c r="N1407" s="9" t="s">
        <v>32</v>
      </c>
      <c r="O1407" s="12" t="s">
        <v>33</v>
      </c>
      <c r="P1407" s="12" t="s">
        <v>34</v>
      </c>
      <c r="Q1407" s="9"/>
      <c r="R1407" s="18"/>
      <c r="S1407" s="18"/>
      <c r="T1407" s="18"/>
      <c r="U1407" s="18"/>
      <c r="V1407" s="18"/>
      <c r="W1407" s="15"/>
      <c r="X1407" s="15"/>
    </row>
    <row r="1408">
      <c r="A1408" s="7">
        <v>1407.0</v>
      </c>
      <c r="B1408" s="8" t="s">
        <v>6111</v>
      </c>
      <c r="C1408" s="9" t="s">
        <v>6112</v>
      </c>
      <c r="D1408" s="10" t="str">
        <f>HYPERLINK("https://facebook.com/367089020688300_467850247278843", "367089020688300_467850247278843")</f>
        <v>367089020688300_467850247278843</v>
      </c>
      <c r="E1408" s="11">
        <v>351.0</v>
      </c>
      <c r="F1408" s="11">
        <v>11.0</v>
      </c>
      <c r="G1408" s="11">
        <v>449.0</v>
      </c>
      <c r="H1408" s="9" t="s">
        <v>26</v>
      </c>
      <c r="I1408" s="9" t="s">
        <v>6113</v>
      </c>
      <c r="J1408" s="9" t="s">
        <v>6114</v>
      </c>
      <c r="K1408" s="9" t="s">
        <v>3003</v>
      </c>
      <c r="L1408" s="9" t="s">
        <v>30</v>
      </c>
      <c r="M1408" s="9" t="s">
        <v>31</v>
      </c>
      <c r="N1408" s="9" t="s">
        <v>32</v>
      </c>
      <c r="O1408" s="12" t="s">
        <v>33</v>
      </c>
      <c r="P1408" s="12" t="s">
        <v>34</v>
      </c>
      <c r="Q1408" s="9"/>
      <c r="R1408" s="18"/>
      <c r="S1408" s="18"/>
      <c r="T1408" s="18"/>
      <c r="U1408" s="18"/>
      <c r="V1408" s="18"/>
      <c r="W1408" s="15"/>
      <c r="X1408" s="15"/>
    </row>
    <row r="1409">
      <c r="A1409" s="7">
        <v>1408.0</v>
      </c>
      <c r="B1409" s="8" t="s">
        <v>6115</v>
      </c>
      <c r="C1409" s="9" t="s">
        <v>6116</v>
      </c>
      <c r="D1409" s="10" t="str">
        <f>HYPERLINK("https://facebook.com/367089020688300_546478822749318", "367089020688300_546478822749318")</f>
        <v>367089020688300_546478822749318</v>
      </c>
      <c r="E1409" s="11">
        <v>169.0</v>
      </c>
      <c r="F1409" s="11">
        <v>1.0</v>
      </c>
      <c r="G1409" s="11">
        <v>121.0</v>
      </c>
      <c r="H1409" s="9" t="s">
        <v>26</v>
      </c>
      <c r="I1409" s="9" t="s">
        <v>6117</v>
      </c>
      <c r="J1409" s="9" t="s">
        <v>6118</v>
      </c>
      <c r="K1409" s="9" t="s">
        <v>6119</v>
      </c>
      <c r="L1409" s="9" t="s">
        <v>30</v>
      </c>
      <c r="M1409" s="9" t="s">
        <v>31</v>
      </c>
      <c r="N1409" s="9" t="s">
        <v>32</v>
      </c>
      <c r="O1409" s="12" t="s">
        <v>33</v>
      </c>
      <c r="P1409" s="12" t="s">
        <v>34</v>
      </c>
      <c r="Q1409" s="9"/>
      <c r="R1409" s="18"/>
      <c r="S1409" s="18"/>
      <c r="T1409" s="18"/>
      <c r="U1409" s="18"/>
      <c r="V1409" s="18"/>
      <c r="W1409" s="15"/>
      <c r="X1409" s="15"/>
    </row>
    <row r="1410">
      <c r="A1410" s="7">
        <v>1409.0</v>
      </c>
      <c r="B1410" s="8" t="s">
        <v>6120</v>
      </c>
      <c r="C1410" s="9" t="s">
        <v>6121</v>
      </c>
      <c r="D1410" s="10" t="str">
        <f>HYPERLINK("https://facebook.com/367089020688300_498542984209569", "367089020688300_498542984209569")</f>
        <v>367089020688300_498542984209569</v>
      </c>
      <c r="E1410" s="11">
        <v>336.0</v>
      </c>
      <c r="F1410" s="11">
        <v>13.0</v>
      </c>
      <c r="G1410" s="11">
        <v>375.0</v>
      </c>
      <c r="H1410" s="9" t="s">
        <v>26</v>
      </c>
      <c r="I1410" s="9" t="s">
        <v>6122</v>
      </c>
      <c r="J1410" s="9" t="s">
        <v>6123</v>
      </c>
      <c r="K1410" s="9" t="s">
        <v>6124</v>
      </c>
      <c r="L1410" s="9" t="s">
        <v>30</v>
      </c>
      <c r="M1410" s="9" t="s">
        <v>31</v>
      </c>
      <c r="N1410" s="9" t="s">
        <v>32</v>
      </c>
      <c r="O1410" s="12" t="s">
        <v>33</v>
      </c>
      <c r="P1410" s="12" t="s">
        <v>34</v>
      </c>
      <c r="Q1410" s="9"/>
      <c r="R1410" s="18"/>
      <c r="S1410" s="18"/>
      <c r="T1410" s="18"/>
      <c r="U1410" s="18"/>
      <c r="V1410" s="18"/>
      <c r="W1410" s="15"/>
      <c r="X1410" s="15"/>
    </row>
    <row r="1411">
      <c r="A1411" s="7">
        <v>1410.0</v>
      </c>
      <c r="B1411" s="8" t="s">
        <v>6125</v>
      </c>
      <c r="C1411" s="9" t="s">
        <v>6126</v>
      </c>
      <c r="D1411" s="10" t="str">
        <f>HYPERLINK("https://facebook.com/367089020688300_555937348470132", "367089020688300_555937348470132")</f>
        <v>367089020688300_555937348470132</v>
      </c>
      <c r="E1411" s="11">
        <v>12.0</v>
      </c>
      <c r="F1411" s="11">
        <v>0.0</v>
      </c>
      <c r="G1411" s="11">
        <v>16.0</v>
      </c>
      <c r="H1411" s="9" t="s">
        <v>26</v>
      </c>
      <c r="I1411" s="9" t="s">
        <v>6127</v>
      </c>
      <c r="J1411" s="16" t="s">
        <v>6128</v>
      </c>
      <c r="K1411" s="9"/>
      <c r="L1411" s="9" t="s">
        <v>30</v>
      </c>
      <c r="M1411" s="9" t="s">
        <v>31</v>
      </c>
      <c r="N1411" s="9" t="s">
        <v>32</v>
      </c>
      <c r="O1411" s="12" t="s">
        <v>33</v>
      </c>
      <c r="P1411" s="12" t="s">
        <v>34</v>
      </c>
      <c r="Q1411" s="9"/>
      <c r="R1411" s="18"/>
      <c r="S1411" s="18"/>
      <c r="T1411" s="18"/>
      <c r="U1411" s="18"/>
      <c r="V1411" s="18"/>
      <c r="W1411" s="15"/>
      <c r="X1411" s="15"/>
    </row>
    <row r="1412">
      <c r="A1412" s="7">
        <v>1411.0</v>
      </c>
      <c r="B1412" s="8" t="s">
        <v>6129</v>
      </c>
      <c r="C1412" s="9" t="s">
        <v>6130</v>
      </c>
      <c r="D1412" s="10" t="str">
        <f>HYPERLINK("https://facebook.com/367089020688300_478249502905584", "367089020688300_478249502905584")</f>
        <v>367089020688300_478249502905584</v>
      </c>
      <c r="E1412" s="11">
        <v>1094.0</v>
      </c>
      <c r="F1412" s="11">
        <v>80.0</v>
      </c>
      <c r="G1412" s="11">
        <v>656.0</v>
      </c>
      <c r="H1412" s="9" t="s">
        <v>26</v>
      </c>
      <c r="I1412" s="9" t="s">
        <v>6131</v>
      </c>
      <c r="J1412" s="9" t="s">
        <v>6132</v>
      </c>
      <c r="K1412" s="9" t="s">
        <v>6133</v>
      </c>
      <c r="L1412" s="9" t="s">
        <v>30</v>
      </c>
      <c r="M1412" s="9" t="s">
        <v>31</v>
      </c>
      <c r="N1412" s="9" t="s">
        <v>32</v>
      </c>
      <c r="O1412" s="12" t="s">
        <v>33</v>
      </c>
      <c r="P1412" s="12" t="s">
        <v>34</v>
      </c>
      <c r="Q1412" s="9"/>
      <c r="R1412" s="18"/>
      <c r="S1412" s="18"/>
      <c r="T1412" s="18"/>
      <c r="U1412" s="18"/>
      <c r="V1412" s="18"/>
      <c r="W1412" s="15"/>
      <c r="X1412" s="15"/>
    </row>
    <row r="1413">
      <c r="A1413" s="7">
        <v>1412.0</v>
      </c>
      <c r="B1413" s="8" t="s">
        <v>6134</v>
      </c>
      <c r="C1413" s="9" t="s">
        <v>6135</v>
      </c>
      <c r="D1413" s="10" t="str">
        <f>HYPERLINK("https://facebook.com/367089020688300_541816929882174", "367089020688300_541816929882174")</f>
        <v>367089020688300_541816929882174</v>
      </c>
      <c r="E1413" s="11">
        <v>137.0</v>
      </c>
      <c r="F1413" s="11">
        <v>0.0</v>
      </c>
      <c r="G1413" s="11">
        <v>47.0</v>
      </c>
      <c r="H1413" s="9" t="s">
        <v>26</v>
      </c>
      <c r="I1413" s="9" t="s">
        <v>6136</v>
      </c>
      <c r="J1413" s="16" t="s">
        <v>6137</v>
      </c>
      <c r="K1413" s="9"/>
      <c r="L1413" s="9" t="s">
        <v>30</v>
      </c>
      <c r="M1413" s="9" t="s">
        <v>31</v>
      </c>
      <c r="N1413" s="9" t="s">
        <v>32</v>
      </c>
      <c r="O1413" s="12" t="s">
        <v>33</v>
      </c>
      <c r="P1413" s="12" t="s">
        <v>34</v>
      </c>
      <c r="Q1413" s="9"/>
      <c r="R1413" s="18"/>
      <c r="S1413" s="18"/>
      <c r="T1413" s="18"/>
      <c r="U1413" s="18"/>
      <c r="V1413" s="18"/>
      <c r="W1413" s="15"/>
      <c r="X1413" s="15"/>
    </row>
    <row r="1414">
      <c r="A1414" s="7">
        <v>1413.0</v>
      </c>
      <c r="B1414" s="8" t="s">
        <v>6138</v>
      </c>
      <c r="C1414" s="9" t="s">
        <v>6139</v>
      </c>
      <c r="D1414" s="10" t="str">
        <f>HYPERLINK("https://facebook.com/367089020688300_517157672348100", "367089020688300_517157672348100")</f>
        <v>367089020688300_517157672348100</v>
      </c>
      <c r="E1414" s="11">
        <v>492.0</v>
      </c>
      <c r="F1414" s="11">
        <v>16.0</v>
      </c>
      <c r="G1414" s="11">
        <v>351.0</v>
      </c>
      <c r="H1414" s="9" t="s">
        <v>26</v>
      </c>
      <c r="I1414" s="9" t="s">
        <v>6140</v>
      </c>
      <c r="J1414" s="9" t="s">
        <v>6141</v>
      </c>
      <c r="K1414" s="9" t="s">
        <v>6142</v>
      </c>
      <c r="L1414" s="9" t="s">
        <v>30</v>
      </c>
      <c r="M1414" s="9" t="s">
        <v>31</v>
      </c>
      <c r="N1414" s="9" t="s">
        <v>32</v>
      </c>
      <c r="O1414" s="12" t="s">
        <v>33</v>
      </c>
      <c r="P1414" s="12" t="s">
        <v>34</v>
      </c>
      <c r="Q1414" s="9"/>
      <c r="R1414" s="18"/>
      <c r="S1414" s="18"/>
      <c r="T1414" s="18"/>
      <c r="U1414" s="18"/>
      <c r="V1414" s="18"/>
      <c r="W1414" s="15"/>
      <c r="X1414" s="15"/>
    </row>
    <row r="1415">
      <c r="A1415" s="7">
        <v>1414.0</v>
      </c>
      <c r="B1415" s="8" t="s">
        <v>6143</v>
      </c>
      <c r="C1415" s="9" t="s">
        <v>6144</v>
      </c>
      <c r="D1415" s="10" t="str">
        <f>HYPERLINK("https://facebook.com/367089020688300_540842873312913", "367089020688300_540842873312913")</f>
        <v>367089020688300_540842873312913</v>
      </c>
      <c r="E1415" s="11">
        <v>73.0</v>
      </c>
      <c r="F1415" s="11">
        <v>0.0</v>
      </c>
      <c r="G1415" s="11">
        <v>12.0</v>
      </c>
      <c r="H1415" s="9" t="s">
        <v>26</v>
      </c>
      <c r="I1415" s="9" t="s">
        <v>6145</v>
      </c>
      <c r="J1415" s="9" t="s">
        <v>6146</v>
      </c>
      <c r="K1415" s="9" t="s">
        <v>6147</v>
      </c>
      <c r="L1415" s="9" t="s">
        <v>30</v>
      </c>
      <c r="M1415" s="9" t="s">
        <v>31</v>
      </c>
      <c r="N1415" s="9" t="s">
        <v>32</v>
      </c>
      <c r="O1415" s="12" t="s">
        <v>33</v>
      </c>
      <c r="P1415" s="12" t="s">
        <v>34</v>
      </c>
      <c r="Q1415" s="9"/>
      <c r="R1415" s="18"/>
      <c r="S1415" s="18"/>
      <c r="T1415" s="18"/>
      <c r="U1415" s="18"/>
      <c r="V1415" s="18"/>
      <c r="W1415" s="15"/>
      <c r="X1415" s="15"/>
    </row>
    <row r="1416">
      <c r="A1416" s="7">
        <v>1415.0</v>
      </c>
      <c r="B1416" s="8" t="s">
        <v>6148</v>
      </c>
      <c r="C1416" s="9" t="s">
        <v>6149</v>
      </c>
      <c r="D1416" s="10" t="str">
        <f>HYPERLINK("https://facebook.com/367089020688300_393169931413542", "367089020688300_393169931413542")</f>
        <v>367089020688300_393169931413542</v>
      </c>
      <c r="E1416" s="11">
        <v>1046.0</v>
      </c>
      <c r="F1416" s="11">
        <v>11.0</v>
      </c>
      <c r="G1416" s="11">
        <v>390.0</v>
      </c>
      <c r="H1416" s="9" t="s">
        <v>26</v>
      </c>
      <c r="I1416" s="9" t="s">
        <v>743</v>
      </c>
      <c r="J1416" s="9" t="s">
        <v>1719</v>
      </c>
      <c r="K1416" s="9" t="s">
        <v>6150</v>
      </c>
      <c r="L1416" s="9" t="s">
        <v>30</v>
      </c>
      <c r="M1416" s="9" t="s">
        <v>31</v>
      </c>
      <c r="N1416" s="9" t="s">
        <v>32</v>
      </c>
      <c r="O1416" s="12" t="s">
        <v>33</v>
      </c>
      <c r="P1416" s="12" t="s">
        <v>34</v>
      </c>
      <c r="Q1416" s="9"/>
      <c r="R1416" s="18"/>
      <c r="S1416" s="18"/>
      <c r="T1416" s="18"/>
      <c r="U1416" s="18"/>
      <c r="V1416" s="18"/>
      <c r="W1416" s="15"/>
      <c r="X1416" s="15"/>
    </row>
    <row r="1417">
      <c r="A1417" s="7">
        <v>1416.0</v>
      </c>
      <c r="B1417" s="8" t="s">
        <v>6151</v>
      </c>
      <c r="C1417" s="9" t="s">
        <v>6152</v>
      </c>
      <c r="D1417" s="10" t="str">
        <f>HYPERLINK("https://facebook.com/367089020688300_535119110551956", "367089020688300_535119110551956")</f>
        <v>367089020688300_535119110551956</v>
      </c>
      <c r="E1417" s="11">
        <v>23.0</v>
      </c>
      <c r="F1417" s="11">
        <v>0.0</v>
      </c>
      <c r="G1417" s="11">
        <v>17.0</v>
      </c>
      <c r="H1417" s="9" t="s">
        <v>26</v>
      </c>
      <c r="I1417" s="9" t="s">
        <v>6153</v>
      </c>
      <c r="J1417" s="9" t="s">
        <v>6154</v>
      </c>
      <c r="K1417" s="9" t="s">
        <v>6155</v>
      </c>
      <c r="L1417" s="9" t="s">
        <v>30</v>
      </c>
      <c r="M1417" s="9" t="s">
        <v>31</v>
      </c>
      <c r="N1417" s="9" t="s">
        <v>32</v>
      </c>
      <c r="O1417" s="12" t="s">
        <v>33</v>
      </c>
      <c r="P1417" s="12" t="s">
        <v>34</v>
      </c>
      <c r="Q1417" s="9"/>
      <c r="R1417" s="18"/>
      <c r="S1417" s="18"/>
      <c r="T1417" s="18"/>
      <c r="U1417" s="18"/>
      <c r="V1417" s="18"/>
      <c r="W1417" s="15"/>
      <c r="X1417" s="15"/>
    </row>
    <row r="1418">
      <c r="A1418" s="7">
        <v>1417.0</v>
      </c>
      <c r="B1418" s="8" t="s">
        <v>6156</v>
      </c>
      <c r="C1418" s="9" t="s">
        <v>6157</v>
      </c>
      <c r="D1418" s="10" t="str">
        <f>HYPERLINK("https://facebook.com/367089020688300_383754815688387", "367089020688300_383754815688387")</f>
        <v>367089020688300_383754815688387</v>
      </c>
      <c r="E1418" s="11">
        <v>1056.0</v>
      </c>
      <c r="F1418" s="11">
        <v>28.0</v>
      </c>
      <c r="G1418" s="11">
        <v>1165.0</v>
      </c>
      <c r="H1418" s="9" t="s">
        <v>26</v>
      </c>
      <c r="I1418" s="9" t="s">
        <v>6158</v>
      </c>
      <c r="J1418" s="9" t="s">
        <v>6159</v>
      </c>
      <c r="K1418" s="9" t="s">
        <v>6160</v>
      </c>
      <c r="L1418" s="9" t="s">
        <v>30</v>
      </c>
      <c r="M1418" s="9" t="s">
        <v>31</v>
      </c>
      <c r="N1418" s="9" t="s">
        <v>32</v>
      </c>
      <c r="O1418" s="12" t="s">
        <v>33</v>
      </c>
      <c r="P1418" s="12" t="s">
        <v>34</v>
      </c>
      <c r="Q1418" s="9"/>
      <c r="R1418" s="18"/>
      <c r="S1418" s="18"/>
      <c r="T1418" s="18"/>
      <c r="U1418" s="18"/>
      <c r="V1418" s="18"/>
      <c r="W1418" s="15"/>
      <c r="X1418" s="15"/>
    </row>
    <row r="1419">
      <c r="A1419" s="7">
        <v>1418.0</v>
      </c>
      <c r="B1419" s="8" t="s">
        <v>6161</v>
      </c>
      <c r="C1419" s="9" t="s">
        <v>6162</v>
      </c>
      <c r="D1419" s="10" t="str">
        <f>HYPERLINK("https://facebook.com/367089020688300_545372926193241", "367089020688300_545372926193241")</f>
        <v>367089020688300_545372926193241</v>
      </c>
      <c r="E1419" s="11">
        <v>34.0</v>
      </c>
      <c r="F1419" s="11">
        <v>0.0</v>
      </c>
      <c r="G1419" s="11">
        <v>83.0</v>
      </c>
      <c r="H1419" s="9" t="s">
        <v>26</v>
      </c>
      <c r="I1419" s="9" t="s">
        <v>6163</v>
      </c>
      <c r="J1419" s="16" t="s">
        <v>6164</v>
      </c>
      <c r="K1419" s="9"/>
      <c r="L1419" s="9" t="s">
        <v>30</v>
      </c>
      <c r="M1419" s="9" t="s">
        <v>31</v>
      </c>
      <c r="N1419" s="9" t="s">
        <v>32</v>
      </c>
      <c r="O1419" s="12" t="s">
        <v>33</v>
      </c>
      <c r="P1419" s="12" t="s">
        <v>34</v>
      </c>
      <c r="Q1419" s="9"/>
      <c r="R1419" s="18"/>
      <c r="S1419" s="18"/>
      <c r="T1419" s="18"/>
      <c r="U1419" s="18"/>
      <c r="V1419" s="18"/>
      <c r="W1419" s="15"/>
      <c r="X1419" s="15"/>
    </row>
    <row r="1420">
      <c r="A1420" s="7">
        <v>1419.0</v>
      </c>
      <c r="B1420" s="8" t="s">
        <v>6165</v>
      </c>
      <c r="C1420" s="9" t="s">
        <v>6166</v>
      </c>
      <c r="D1420" s="10" t="str">
        <f>HYPERLINK("https://facebook.com/367089020688300_541457019918165", "367089020688300_541457019918165")</f>
        <v>367089020688300_541457019918165</v>
      </c>
      <c r="E1420" s="11">
        <v>29.0</v>
      </c>
      <c r="F1420" s="11">
        <v>0.0</v>
      </c>
      <c r="G1420" s="11">
        <v>16.0</v>
      </c>
      <c r="H1420" s="9" t="s">
        <v>26</v>
      </c>
      <c r="I1420" s="9" t="s">
        <v>408</v>
      </c>
      <c r="J1420" s="16" t="s">
        <v>3834</v>
      </c>
      <c r="K1420" s="9"/>
      <c r="L1420" s="9" t="s">
        <v>30</v>
      </c>
      <c r="M1420" s="9" t="s">
        <v>31</v>
      </c>
      <c r="N1420" s="9" t="s">
        <v>32</v>
      </c>
      <c r="O1420" s="12" t="s">
        <v>33</v>
      </c>
      <c r="P1420" s="12" t="s">
        <v>34</v>
      </c>
      <c r="Q1420" s="9"/>
      <c r="R1420" s="18"/>
      <c r="S1420" s="18"/>
      <c r="T1420" s="18"/>
      <c r="U1420" s="18"/>
      <c r="V1420" s="18"/>
      <c r="W1420" s="15"/>
      <c r="X1420" s="15"/>
    </row>
    <row r="1421">
      <c r="A1421" s="7">
        <v>1420.0</v>
      </c>
      <c r="B1421" s="8" t="s">
        <v>6167</v>
      </c>
      <c r="C1421" s="9" t="s">
        <v>6168</v>
      </c>
      <c r="D1421" s="10" t="str">
        <f>HYPERLINK("https://facebook.com/367089020688300_554330868630780", "367089020688300_554330868630780")</f>
        <v>367089020688300_554330868630780</v>
      </c>
      <c r="E1421" s="11">
        <v>24.0</v>
      </c>
      <c r="F1421" s="11">
        <v>0.0</v>
      </c>
      <c r="G1421" s="11">
        <v>21.0</v>
      </c>
      <c r="H1421" s="9" t="s">
        <v>26</v>
      </c>
      <c r="I1421" s="9" t="s">
        <v>6169</v>
      </c>
      <c r="J1421" s="16" t="s">
        <v>6170</v>
      </c>
      <c r="K1421" s="9"/>
      <c r="L1421" s="9" t="s">
        <v>30</v>
      </c>
      <c r="M1421" s="9" t="s">
        <v>31</v>
      </c>
      <c r="N1421" s="9" t="s">
        <v>32</v>
      </c>
      <c r="O1421" s="12" t="s">
        <v>33</v>
      </c>
      <c r="P1421" s="12" t="s">
        <v>34</v>
      </c>
      <c r="Q1421" s="9"/>
      <c r="R1421" s="18"/>
      <c r="S1421" s="18"/>
      <c r="T1421" s="18"/>
      <c r="U1421" s="18"/>
      <c r="V1421" s="18"/>
      <c r="W1421" s="15"/>
      <c r="X1421" s="15"/>
    </row>
    <row r="1422">
      <c r="A1422" s="7">
        <v>1421.0</v>
      </c>
      <c r="B1422" s="8" t="s">
        <v>6171</v>
      </c>
      <c r="C1422" s="9" t="s">
        <v>6172</v>
      </c>
      <c r="D1422" s="10" t="str">
        <f>HYPERLINK("https://facebook.com/367089020688300_479015092829025", "367089020688300_479015092829025")</f>
        <v>367089020688300_479015092829025</v>
      </c>
      <c r="E1422" s="11">
        <v>111.0</v>
      </c>
      <c r="F1422" s="11">
        <v>4.0</v>
      </c>
      <c r="G1422" s="11">
        <v>141.0</v>
      </c>
      <c r="H1422" s="9" t="s">
        <v>26</v>
      </c>
      <c r="I1422" s="9" t="s">
        <v>6173</v>
      </c>
      <c r="J1422" s="9" t="s">
        <v>6174</v>
      </c>
      <c r="K1422" s="9" t="s">
        <v>663</v>
      </c>
      <c r="L1422" s="9" t="s">
        <v>30</v>
      </c>
      <c r="M1422" s="9" t="s">
        <v>31</v>
      </c>
      <c r="N1422" s="9" t="s">
        <v>32</v>
      </c>
      <c r="O1422" s="12" t="s">
        <v>33</v>
      </c>
      <c r="P1422" s="12" t="s">
        <v>34</v>
      </c>
      <c r="Q1422" s="9"/>
      <c r="R1422" s="18"/>
      <c r="S1422" s="18"/>
      <c r="T1422" s="18"/>
      <c r="U1422" s="18"/>
      <c r="V1422" s="18"/>
      <c r="W1422" s="15"/>
      <c r="X1422" s="15"/>
    </row>
    <row r="1423">
      <c r="A1423" s="7">
        <v>1422.0</v>
      </c>
      <c r="B1423" s="8" t="s">
        <v>6175</v>
      </c>
      <c r="C1423" s="9" t="s">
        <v>6176</v>
      </c>
      <c r="D1423" s="10" t="str">
        <f>HYPERLINK("https://facebook.com/367089020688300_517417672322100", "367089020688300_517417672322100")</f>
        <v>367089020688300_517417672322100</v>
      </c>
      <c r="E1423" s="11">
        <v>27.0</v>
      </c>
      <c r="F1423" s="11">
        <v>1.0</v>
      </c>
      <c r="G1423" s="11">
        <v>31.0</v>
      </c>
      <c r="H1423" s="9" t="s">
        <v>26</v>
      </c>
      <c r="I1423" s="9" t="s">
        <v>6177</v>
      </c>
      <c r="J1423" s="9" t="s">
        <v>6178</v>
      </c>
      <c r="K1423" s="9" t="s">
        <v>6179</v>
      </c>
      <c r="L1423" s="9" t="s">
        <v>30</v>
      </c>
      <c r="M1423" s="9" t="s">
        <v>31</v>
      </c>
      <c r="N1423" s="9" t="s">
        <v>32</v>
      </c>
      <c r="O1423" s="12" t="s">
        <v>33</v>
      </c>
      <c r="P1423" s="12" t="s">
        <v>34</v>
      </c>
      <c r="Q1423" s="9"/>
      <c r="R1423" s="18"/>
      <c r="S1423" s="18"/>
      <c r="T1423" s="18"/>
      <c r="U1423" s="18"/>
      <c r="V1423" s="18"/>
      <c r="W1423" s="15"/>
      <c r="X1423" s="15"/>
    </row>
    <row r="1424">
      <c r="A1424" s="7">
        <v>1423.0</v>
      </c>
      <c r="B1424" s="8" t="s">
        <v>6180</v>
      </c>
      <c r="C1424" s="9" t="s">
        <v>6181</v>
      </c>
      <c r="D1424" s="10" t="str">
        <f>HYPERLINK("https://facebook.com/367089020688300_537330630330804", "367089020688300_537330630330804")</f>
        <v>367089020688300_537330630330804</v>
      </c>
      <c r="E1424" s="11">
        <v>98.0</v>
      </c>
      <c r="F1424" s="11">
        <v>1.0</v>
      </c>
      <c r="G1424" s="11">
        <v>30.0</v>
      </c>
      <c r="H1424" s="9" t="s">
        <v>26</v>
      </c>
      <c r="I1424" s="9" t="s">
        <v>6182</v>
      </c>
      <c r="J1424" s="9" t="s">
        <v>6183</v>
      </c>
      <c r="K1424" s="9" t="s">
        <v>249</v>
      </c>
      <c r="L1424" s="9" t="s">
        <v>30</v>
      </c>
      <c r="M1424" s="9" t="s">
        <v>31</v>
      </c>
      <c r="N1424" s="9" t="s">
        <v>32</v>
      </c>
      <c r="O1424" s="12" t="s">
        <v>33</v>
      </c>
      <c r="P1424" s="12" t="s">
        <v>34</v>
      </c>
      <c r="Q1424" s="9"/>
      <c r="R1424" s="18"/>
      <c r="S1424" s="18"/>
      <c r="T1424" s="18"/>
      <c r="U1424" s="18"/>
      <c r="V1424" s="18"/>
      <c r="W1424" s="15"/>
      <c r="X1424" s="15"/>
    </row>
    <row r="1425">
      <c r="A1425" s="7">
        <v>1424.0</v>
      </c>
      <c r="B1425" s="8" t="s">
        <v>6184</v>
      </c>
      <c r="C1425" s="9" t="s">
        <v>6185</v>
      </c>
      <c r="D1425" s="10" t="str">
        <f>HYPERLINK("https://facebook.com/367089020688300_541152919948575", "367089020688300_541152919948575")</f>
        <v>367089020688300_541152919948575</v>
      </c>
      <c r="E1425" s="11">
        <v>24.0</v>
      </c>
      <c r="F1425" s="11">
        <v>0.0</v>
      </c>
      <c r="G1425" s="11">
        <v>25.0</v>
      </c>
      <c r="H1425" s="9" t="s">
        <v>26</v>
      </c>
      <c r="I1425" s="9" t="s">
        <v>6186</v>
      </c>
      <c r="J1425" s="9" t="s">
        <v>6187</v>
      </c>
      <c r="K1425" s="9" t="s">
        <v>476</v>
      </c>
      <c r="L1425" s="9" t="s">
        <v>30</v>
      </c>
      <c r="M1425" s="9" t="s">
        <v>31</v>
      </c>
      <c r="N1425" s="9" t="s">
        <v>32</v>
      </c>
      <c r="O1425" s="12" t="s">
        <v>33</v>
      </c>
      <c r="P1425" s="12" t="s">
        <v>34</v>
      </c>
      <c r="Q1425" s="9"/>
      <c r="R1425" s="18"/>
      <c r="S1425" s="18"/>
      <c r="T1425" s="18"/>
      <c r="U1425" s="18"/>
      <c r="V1425" s="18"/>
      <c r="W1425" s="15"/>
      <c r="X1425" s="15"/>
    </row>
    <row r="1426">
      <c r="A1426" s="7">
        <v>1425.0</v>
      </c>
      <c r="B1426" s="8" t="s">
        <v>6188</v>
      </c>
      <c r="C1426" s="9" t="s">
        <v>6189</v>
      </c>
      <c r="D1426" s="10" t="str">
        <f>HYPERLINK("https://facebook.com/367089020688300_470059420391259", "367089020688300_470059420391259")</f>
        <v>367089020688300_470059420391259</v>
      </c>
      <c r="E1426" s="11">
        <v>808.0</v>
      </c>
      <c r="F1426" s="11">
        <v>15.0</v>
      </c>
      <c r="G1426" s="11">
        <v>423.0</v>
      </c>
      <c r="H1426" s="9" t="s">
        <v>26</v>
      </c>
      <c r="I1426" s="9" t="s">
        <v>3362</v>
      </c>
      <c r="J1426" s="9" t="s">
        <v>6190</v>
      </c>
      <c r="K1426" s="9" t="s">
        <v>493</v>
      </c>
      <c r="L1426" s="9" t="s">
        <v>30</v>
      </c>
      <c r="M1426" s="9" t="s">
        <v>31</v>
      </c>
      <c r="N1426" s="9" t="s">
        <v>32</v>
      </c>
      <c r="O1426" s="12" t="s">
        <v>33</v>
      </c>
      <c r="P1426" s="12" t="s">
        <v>34</v>
      </c>
      <c r="Q1426" s="9"/>
      <c r="R1426" s="18"/>
      <c r="S1426" s="18"/>
      <c r="T1426" s="18"/>
      <c r="U1426" s="18"/>
      <c r="V1426" s="18"/>
      <c r="W1426" s="15"/>
      <c r="X1426" s="15"/>
    </row>
    <row r="1427">
      <c r="A1427" s="7">
        <v>1426.0</v>
      </c>
      <c r="B1427" s="8" t="s">
        <v>6191</v>
      </c>
      <c r="C1427" s="9" t="s">
        <v>6192</v>
      </c>
      <c r="D1427" s="10" t="str">
        <f>HYPERLINK("https://facebook.com/367089020688300_524111634986037", "367089020688300_524111634986037")</f>
        <v>367089020688300_524111634986037</v>
      </c>
      <c r="E1427" s="11">
        <v>30.0</v>
      </c>
      <c r="F1427" s="11">
        <v>0.0</v>
      </c>
      <c r="G1427" s="11">
        <v>14.0</v>
      </c>
      <c r="H1427" s="9" t="s">
        <v>26</v>
      </c>
      <c r="I1427" s="9" t="s">
        <v>6193</v>
      </c>
      <c r="J1427" s="9" t="s">
        <v>6194</v>
      </c>
      <c r="K1427" s="9" t="s">
        <v>6195</v>
      </c>
      <c r="L1427" s="9" t="s">
        <v>30</v>
      </c>
      <c r="M1427" s="9" t="s">
        <v>31</v>
      </c>
      <c r="N1427" s="9" t="s">
        <v>32</v>
      </c>
      <c r="O1427" s="12" t="s">
        <v>33</v>
      </c>
      <c r="P1427" s="12" t="s">
        <v>34</v>
      </c>
      <c r="Q1427" s="9"/>
      <c r="R1427" s="18"/>
      <c r="S1427" s="18"/>
      <c r="T1427" s="18"/>
      <c r="U1427" s="18"/>
      <c r="V1427" s="18"/>
      <c r="W1427" s="15"/>
      <c r="X1427" s="15"/>
    </row>
    <row r="1428">
      <c r="A1428" s="7">
        <v>1427.0</v>
      </c>
      <c r="B1428" s="8" t="s">
        <v>6196</v>
      </c>
      <c r="C1428" s="9" t="s">
        <v>6197</v>
      </c>
      <c r="D1428" s="10" t="str">
        <f>HYPERLINK("https://facebook.com/367089020688300_546799112717289", "367089020688300_546799112717289")</f>
        <v>367089020688300_546799112717289</v>
      </c>
      <c r="E1428" s="11">
        <v>47.0</v>
      </c>
      <c r="F1428" s="11">
        <v>0.0</v>
      </c>
      <c r="G1428" s="11">
        <v>35.0</v>
      </c>
      <c r="H1428" s="9" t="s">
        <v>26</v>
      </c>
      <c r="I1428" s="9" t="s">
        <v>3956</v>
      </c>
      <c r="J1428" s="16" t="s">
        <v>6198</v>
      </c>
      <c r="K1428" s="9"/>
      <c r="L1428" s="9" t="s">
        <v>30</v>
      </c>
      <c r="M1428" s="9" t="s">
        <v>31</v>
      </c>
      <c r="N1428" s="9" t="s">
        <v>32</v>
      </c>
      <c r="O1428" s="12" t="s">
        <v>33</v>
      </c>
      <c r="P1428" s="12" t="s">
        <v>34</v>
      </c>
      <c r="Q1428" s="9"/>
      <c r="R1428" s="18"/>
      <c r="S1428" s="18"/>
      <c r="T1428" s="18"/>
      <c r="U1428" s="18"/>
      <c r="V1428" s="18"/>
      <c r="W1428" s="15"/>
      <c r="X1428" s="15"/>
    </row>
    <row r="1429">
      <c r="A1429" s="7">
        <v>1428.0</v>
      </c>
      <c r="B1429" s="8" t="s">
        <v>6199</v>
      </c>
      <c r="C1429" s="9" t="s">
        <v>6200</v>
      </c>
      <c r="D1429" s="10" t="str">
        <f>HYPERLINK("https://facebook.com/367089020688300_547086549355212", "367089020688300_547086549355212")</f>
        <v>367089020688300_547086549355212</v>
      </c>
      <c r="E1429" s="11">
        <v>30.0</v>
      </c>
      <c r="F1429" s="11">
        <v>0.0</v>
      </c>
      <c r="G1429" s="11">
        <v>43.0</v>
      </c>
      <c r="H1429" s="9" t="s">
        <v>26</v>
      </c>
      <c r="I1429" s="9" t="s">
        <v>6201</v>
      </c>
      <c r="J1429" s="9" t="s">
        <v>6202</v>
      </c>
      <c r="K1429" s="9" t="s">
        <v>219</v>
      </c>
      <c r="L1429" s="9" t="s">
        <v>30</v>
      </c>
      <c r="M1429" s="9" t="s">
        <v>31</v>
      </c>
      <c r="N1429" s="9" t="s">
        <v>32</v>
      </c>
      <c r="O1429" s="12" t="s">
        <v>33</v>
      </c>
      <c r="P1429" s="12" t="s">
        <v>34</v>
      </c>
      <c r="Q1429" s="9"/>
      <c r="R1429" s="18"/>
      <c r="S1429" s="18"/>
      <c r="T1429" s="18"/>
      <c r="U1429" s="18"/>
      <c r="V1429" s="18"/>
      <c r="W1429" s="15"/>
      <c r="X1429" s="15"/>
    </row>
    <row r="1430">
      <c r="A1430" s="7">
        <v>1429.0</v>
      </c>
      <c r="B1430" s="8" t="s">
        <v>6203</v>
      </c>
      <c r="C1430" s="9" t="s">
        <v>6204</v>
      </c>
      <c r="D1430" s="10" t="str">
        <f>HYPERLINK("https://facebook.com/367089020688300_541643523232848", "367089020688300_541643523232848")</f>
        <v>367089020688300_541643523232848</v>
      </c>
      <c r="E1430" s="11">
        <v>68.0</v>
      </c>
      <c r="F1430" s="11">
        <v>0.0</v>
      </c>
      <c r="G1430" s="11">
        <v>74.0</v>
      </c>
      <c r="H1430" s="9" t="s">
        <v>26</v>
      </c>
      <c r="I1430" s="9" t="s">
        <v>6205</v>
      </c>
      <c r="J1430" s="9" t="s">
        <v>6206</v>
      </c>
      <c r="K1430" s="9" t="s">
        <v>6207</v>
      </c>
      <c r="L1430" s="9" t="s">
        <v>30</v>
      </c>
      <c r="M1430" s="9" t="s">
        <v>31</v>
      </c>
      <c r="N1430" s="9" t="s">
        <v>32</v>
      </c>
      <c r="O1430" s="12" t="s">
        <v>33</v>
      </c>
      <c r="P1430" s="12" t="s">
        <v>34</v>
      </c>
      <c r="Q1430" s="9"/>
      <c r="R1430" s="18"/>
      <c r="S1430" s="18"/>
      <c r="T1430" s="18"/>
      <c r="U1430" s="18"/>
      <c r="V1430" s="18"/>
      <c r="W1430" s="15"/>
      <c r="X1430" s="15"/>
    </row>
    <row r="1431">
      <c r="A1431" s="7">
        <v>1430.0</v>
      </c>
      <c r="B1431" s="8" t="s">
        <v>6208</v>
      </c>
      <c r="C1431" s="9" t="s">
        <v>6209</v>
      </c>
      <c r="D1431" s="10" t="str">
        <f>HYPERLINK("https://facebook.com/367089020688300_515363102527557", "367089020688300_515363102527557")</f>
        <v>367089020688300_515363102527557</v>
      </c>
      <c r="E1431" s="11">
        <v>113.0</v>
      </c>
      <c r="F1431" s="11">
        <v>11.0</v>
      </c>
      <c r="G1431" s="11">
        <v>211.0</v>
      </c>
      <c r="H1431" s="9" t="s">
        <v>26</v>
      </c>
      <c r="I1431" s="9" t="s">
        <v>6210</v>
      </c>
      <c r="J1431" s="16" t="s">
        <v>6211</v>
      </c>
      <c r="K1431" s="9"/>
      <c r="L1431" s="9" t="s">
        <v>30</v>
      </c>
      <c r="M1431" s="9" t="s">
        <v>31</v>
      </c>
      <c r="N1431" s="9" t="s">
        <v>32</v>
      </c>
      <c r="O1431" s="12" t="s">
        <v>33</v>
      </c>
      <c r="P1431" s="12" t="s">
        <v>34</v>
      </c>
      <c r="Q1431" s="9"/>
      <c r="R1431" s="18"/>
      <c r="S1431" s="18"/>
      <c r="T1431" s="18"/>
      <c r="U1431" s="18"/>
      <c r="V1431" s="18"/>
      <c r="W1431" s="15"/>
      <c r="X1431" s="15"/>
    </row>
    <row r="1432">
      <c r="A1432" s="7">
        <v>1431.0</v>
      </c>
      <c r="B1432" s="8" t="s">
        <v>6212</v>
      </c>
      <c r="C1432" s="9" t="s">
        <v>6213</v>
      </c>
      <c r="D1432" s="10" t="str">
        <f>HYPERLINK("https://facebook.com/367089020688300_535392597191274", "367089020688300_535392597191274")</f>
        <v>367089020688300_535392597191274</v>
      </c>
      <c r="E1432" s="11">
        <v>1628.0</v>
      </c>
      <c r="F1432" s="11">
        <v>42.0</v>
      </c>
      <c r="G1432" s="11">
        <v>891.0</v>
      </c>
      <c r="H1432" s="9" t="s">
        <v>26</v>
      </c>
      <c r="I1432" s="9" t="s">
        <v>637</v>
      </c>
      <c r="J1432" s="9" t="s">
        <v>6214</v>
      </c>
      <c r="K1432" s="9" t="s">
        <v>6215</v>
      </c>
      <c r="L1432" s="9" t="s">
        <v>30</v>
      </c>
      <c r="M1432" s="9" t="s">
        <v>31</v>
      </c>
      <c r="N1432" s="9" t="s">
        <v>32</v>
      </c>
      <c r="O1432" s="12" t="s">
        <v>33</v>
      </c>
      <c r="P1432" s="12" t="s">
        <v>34</v>
      </c>
      <c r="Q1432" s="9"/>
      <c r="R1432" s="18"/>
      <c r="S1432" s="18"/>
      <c r="T1432" s="18"/>
      <c r="U1432" s="18"/>
      <c r="V1432" s="18"/>
      <c r="W1432" s="15"/>
      <c r="X1432" s="15"/>
    </row>
    <row r="1433">
      <c r="A1433" s="7">
        <v>1432.0</v>
      </c>
      <c r="B1433" s="8" t="s">
        <v>6216</v>
      </c>
      <c r="C1433" s="9" t="s">
        <v>6217</v>
      </c>
      <c r="D1433" s="10" t="str">
        <f>HYPERLINK("https://facebook.com/367089020688300_453637098700158", "367089020688300_453637098700158")</f>
        <v>367089020688300_453637098700158</v>
      </c>
      <c r="E1433" s="11">
        <v>880.0</v>
      </c>
      <c r="F1433" s="11">
        <v>31.0</v>
      </c>
      <c r="G1433" s="11">
        <v>917.0</v>
      </c>
      <c r="H1433" s="9" t="s">
        <v>26</v>
      </c>
      <c r="I1433" s="9" t="s">
        <v>6218</v>
      </c>
      <c r="J1433" s="9" t="s">
        <v>6219</v>
      </c>
      <c r="K1433" s="9" t="s">
        <v>663</v>
      </c>
      <c r="L1433" s="9" t="s">
        <v>30</v>
      </c>
      <c r="M1433" s="9" t="s">
        <v>31</v>
      </c>
      <c r="N1433" s="9" t="s">
        <v>32</v>
      </c>
      <c r="O1433" s="12" t="s">
        <v>33</v>
      </c>
      <c r="P1433" s="12" t="s">
        <v>34</v>
      </c>
      <c r="Q1433" s="9"/>
      <c r="R1433" s="18"/>
      <c r="S1433" s="18"/>
      <c r="T1433" s="18"/>
      <c r="U1433" s="18"/>
      <c r="V1433" s="18"/>
      <c r="W1433" s="15"/>
      <c r="X1433" s="15"/>
    </row>
    <row r="1434">
      <c r="A1434" s="7">
        <v>1433.0</v>
      </c>
      <c r="B1434" s="8" t="s">
        <v>6220</v>
      </c>
      <c r="C1434" s="9" t="s">
        <v>6221</v>
      </c>
      <c r="D1434" s="10" t="str">
        <f>HYPERLINK("https://facebook.com/367089020688300_455871335143401", "367089020688300_455871335143401")</f>
        <v>367089020688300_455871335143401</v>
      </c>
      <c r="E1434" s="11">
        <v>197.0</v>
      </c>
      <c r="F1434" s="11">
        <v>6.0</v>
      </c>
      <c r="G1434" s="11">
        <v>275.0</v>
      </c>
      <c r="H1434" s="9" t="s">
        <v>26</v>
      </c>
      <c r="I1434" s="9" t="s">
        <v>6222</v>
      </c>
      <c r="J1434" s="9" t="s">
        <v>6223</v>
      </c>
      <c r="K1434" s="9" t="s">
        <v>6224</v>
      </c>
      <c r="L1434" s="9" t="s">
        <v>30</v>
      </c>
      <c r="M1434" s="9" t="s">
        <v>31</v>
      </c>
      <c r="N1434" s="9" t="s">
        <v>32</v>
      </c>
      <c r="O1434" s="12" t="s">
        <v>33</v>
      </c>
      <c r="P1434" s="12" t="s">
        <v>34</v>
      </c>
      <c r="Q1434" s="9"/>
      <c r="R1434" s="18"/>
      <c r="S1434" s="18"/>
      <c r="T1434" s="18"/>
      <c r="U1434" s="18"/>
      <c r="V1434" s="18"/>
      <c r="W1434" s="15"/>
      <c r="X1434" s="15"/>
    </row>
    <row r="1435">
      <c r="A1435" s="7">
        <v>1434.0</v>
      </c>
      <c r="B1435" s="8" t="s">
        <v>6225</v>
      </c>
      <c r="C1435" s="9" t="s">
        <v>6226</v>
      </c>
      <c r="D1435" s="10" t="str">
        <f>HYPERLINK("https://facebook.com/367089020688300_554076508656216", "367089020688300_554076508656216")</f>
        <v>367089020688300_554076508656216</v>
      </c>
      <c r="E1435" s="11">
        <v>99.0</v>
      </c>
      <c r="F1435" s="11">
        <v>1.0</v>
      </c>
      <c r="G1435" s="11">
        <v>143.0</v>
      </c>
      <c r="H1435" s="9" t="s">
        <v>26</v>
      </c>
      <c r="I1435" s="9" t="s">
        <v>6227</v>
      </c>
      <c r="J1435" s="16" t="s">
        <v>6228</v>
      </c>
      <c r="K1435" s="9"/>
      <c r="L1435" s="9" t="s">
        <v>30</v>
      </c>
      <c r="M1435" s="9" t="s">
        <v>31</v>
      </c>
      <c r="N1435" s="9" t="s">
        <v>32</v>
      </c>
      <c r="O1435" s="12" t="s">
        <v>33</v>
      </c>
      <c r="P1435" s="12" t="s">
        <v>34</v>
      </c>
      <c r="Q1435" s="9"/>
      <c r="R1435" s="18"/>
      <c r="S1435" s="18"/>
      <c r="T1435" s="18"/>
      <c r="U1435" s="18"/>
      <c r="V1435" s="18"/>
      <c r="W1435" s="15"/>
      <c r="X1435" s="15"/>
    </row>
    <row r="1436">
      <c r="A1436" s="7">
        <v>1435.0</v>
      </c>
      <c r="B1436" s="8" t="s">
        <v>6229</v>
      </c>
      <c r="C1436" s="9" t="s">
        <v>6230</v>
      </c>
      <c r="D1436" s="10" t="str">
        <f>HYPERLINK("https://facebook.com/367089020688300_556670568396810", "367089020688300_556670568396810")</f>
        <v>367089020688300_556670568396810</v>
      </c>
      <c r="E1436" s="11">
        <v>32.0</v>
      </c>
      <c r="F1436" s="11">
        <v>0.0</v>
      </c>
      <c r="G1436" s="11">
        <v>57.0</v>
      </c>
      <c r="H1436" s="9" t="s">
        <v>26</v>
      </c>
      <c r="I1436" s="9" t="s">
        <v>6231</v>
      </c>
      <c r="J1436" s="9" t="s">
        <v>6232</v>
      </c>
      <c r="K1436" s="9" t="s">
        <v>6233</v>
      </c>
      <c r="L1436" s="9" t="s">
        <v>30</v>
      </c>
      <c r="M1436" s="9" t="s">
        <v>31</v>
      </c>
      <c r="N1436" s="9" t="s">
        <v>32</v>
      </c>
      <c r="O1436" s="12" t="s">
        <v>33</v>
      </c>
      <c r="P1436" s="12" t="s">
        <v>34</v>
      </c>
      <c r="Q1436" s="9"/>
      <c r="R1436" s="18"/>
      <c r="S1436" s="18"/>
      <c r="T1436" s="18"/>
      <c r="U1436" s="18"/>
      <c r="V1436" s="18"/>
      <c r="W1436" s="15"/>
      <c r="X1436" s="15"/>
    </row>
    <row r="1437">
      <c r="A1437" s="7">
        <v>1436.0</v>
      </c>
      <c r="B1437" s="8" t="s">
        <v>6234</v>
      </c>
      <c r="C1437" s="9" t="s">
        <v>6235</v>
      </c>
      <c r="D1437" s="10" t="str">
        <f>HYPERLINK("https://facebook.com/367089020688300_543577309706136", "367089020688300_543577309706136")</f>
        <v>367089020688300_543577309706136</v>
      </c>
      <c r="E1437" s="11">
        <v>23.0</v>
      </c>
      <c r="F1437" s="11">
        <v>0.0</v>
      </c>
      <c r="G1437" s="11">
        <v>13.0</v>
      </c>
      <c r="H1437" s="9" t="s">
        <v>26</v>
      </c>
      <c r="I1437" s="9" t="s">
        <v>5787</v>
      </c>
      <c r="J1437" s="16" t="s">
        <v>6236</v>
      </c>
      <c r="K1437" s="9"/>
      <c r="L1437" s="9" t="s">
        <v>30</v>
      </c>
      <c r="M1437" s="9" t="s">
        <v>31</v>
      </c>
      <c r="N1437" s="9" t="s">
        <v>32</v>
      </c>
      <c r="O1437" s="12" t="s">
        <v>33</v>
      </c>
      <c r="P1437" s="12" t="s">
        <v>34</v>
      </c>
      <c r="Q1437" s="9"/>
      <c r="R1437" s="18"/>
      <c r="S1437" s="18"/>
      <c r="T1437" s="18"/>
      <c r="U1437" s="18"/>
      <c r="V1437" s="18"/>
      <c r="W1437" s="15"/>
      <c r="X1437" s="15"/>
    </row>
    <row r="1438">
      <c r="A1438" s="7">
        <v>1437.0</v>
      </c>
      <c r="B1438" s="8" t="s">
        <v>6237</v>
      </c>
      <c r="C1438" s="9" t="s">
        <v>6238</v>
      </c>
      <c r="D1438" s="10" t="str">
        <f>HYPERLINK("https://facebook.com/367089020688300_537248170339050", "367089020688300_537248170339050")</f>
        <v>367089020688300_537248170339050</v>
      </c>
      <c r="E1438" s="11">
        <v>4.0</v>
      </c>
      <c r="F1438" s="11">
        <v>0.0</v>
      </c>
      <c r="G1438" s="11">
        <v>5.0</v>
      </c>
      <c r="H1438" s="9" t="s">
        <v>26</v>
      </c>
      <c r="I1438" s="9" t="s">
        <v>6239</v>
      </c>
      <c r="J1438" s="9" t="s">
        <v>6240</v>
      </c>
      <c r="K1438" s="9" t="s">
        <v>6241</v>
      </c>
      <c r="L1438" s="9" t="s">
        <v>30</v>
      </c>
      <c r="M1438" s="9" t="s">
        <v>31</v>
      </c>
      <c r="N1438" s="9" t="s">
        <v>32</v>
      </c>
      <c r="O1438" s="12" t="s">
        <v>33</v>
      </c>
      <c r="P1438" s="12" t="s">
        <v>34</v>
      </c>
      <c r="Q1438" s="9"/>
      <c r="R1438" s="18"/>
      <c r="S1438" s="18"/>
      <c r="T1438" s="18"/>
      <c r="U1438" s="18"/>
      <c r="V1438" s="18"/>
      <c r="W1438" s="15"/>
      <c r="X1438" s="15"/>
    </row>
    <row r="1439">
      <c r="A1439" s="7">
        <v>1438.0</v>
      </c>
      <c r="B1439" s="8" t="s">
        <v>6242</v>
      </c>
      <c r="C1439" s="9" t="s">
        <v>6243</v>
      </c>
      <c r="D1439" s="10" t="str">
        <f>HYPERLINK("https://facebook.com/367089020688300_515607119169822", "367089020688300_515607119169822")</f>
        <v>367089020688300_515607119169822</v>
      </c>
      <c r="E1439" s="11">
        <v>370.0</v>
      </c>
      <c r="F1439" s="11">
        <v>24.0</v>
      </c>
      <c r="G1439" s="11">
        <v>382.0</v>
      </c>
      <c r="H1439" s="9" t="s">
        <v>26</v>
      </c>
      <c r="I1439" s="9" t="s">
        <v>6244</v>
      </c>
      <c r="J1439" s="16" t="s">
        <v>6245</v>
      </c>
      <c r="K1439" s="9"/>
      <c r="L1439" s="9" t="s">
        <v>30</v>
      </c>
      <c r="M1439" s="9" t="s">
        <v>31</v>
      </c>
      <c r="N1439" s="9" t="s">
        <v>32</v>
      </c>
      <c r="O1439" s="12" t="s">
        <v>33</v>
      </c>
      <c r="P1439" s="12" t="s">
        <v>34</v>
      </c>
      <c r="Q1439" s="9"/>
      <c r="R1439" s="18"/>
      <c r="S1439" s="18"/>
      <c r="T1439" s="18"/>
      <c r="U1439" s="18"/>
      <c r="V1439" s="18"/>
      <c r="W1439" s="15"/>
      <c r="X1439" s="15"/>
    </row>
    <row r="1440">
      <c r="A1440" s="7">
        <v>1439.0</v>
      </c>
      <c r="B1440" s="8" t="s">
        <v>6246</v>
      </c>
      <c r="C1440" s="9" t="s">
        <v>6247</v>
      </c>
      <c r="D1440" s="10" t="str">
        <f>HYPERLINK("https://facebook.com/367089020688300_515548605842340", "367089020688300_515548605842340")</f>
        <v>367089020688300_515548605842340</v>
      </c>
      <c r="E1440" s="11">
        <v>67.0</v>
      </c>
      <c r="F1440" s="11">
        <v>1.0</v>
      </c>
      <c r="G1440" s="11">
        <v>57.0</v>
      </c>
      <c r="H1440" s="9" t="s">
        <v>26</v>
      </c>
      <c r="I1440" s="9" t="s">
        <v>5137</v>
      </c>
      <c r="J1440" s="9" t="s">
        <v>5138</v>
      </c>
      <c r="K1440" s="9" t="s">
        <v>249</v>
      </c>
      <c r="L1440" s="9" t="s">
        <v>30</v>
      </c>
      <c r="M1440" s="9" t="s">
        <v>31</v>
      </c>
      <c r="N1440" s="9" t="s">
        <v>32</v>
      </c>
      <c r="O1440" s="12" t="s">
        <v>33</v>
      </c>
      <c r="P1440" s="12" t="s">
        <v>34</v>
      </c>
      <c r="Q1440" s="9"/>
      <c r="R1440" s="18"/>
      <c r="S1440" s="18"/>
      <c r="T1440" s="18"/>
      <c r="U1440" s="18"/>
      <c r="V1440" s="18"/>
      <c r="W1440" s="15"/>
      <c r="X1440" s="15"/>
    </row>
    <row r="1441">
      <c r="A1441" s="7">
        <v>1440.0</v>
      </c>
      <c r="B1441" s="8" t="s">
        <v>6248</v>
      </c>
      <c r="C1441" s="9" t="s">
        <v>6249</v>
      </c>
      <c r="D1441" s="10" t="str">
        <f>HYPERLINK("https://facebook.com/367089020688300_503937200336814", "367089020688300_503937200336814")</f>
        <v>367089020688300_503937200336814</v>
      </c>
      <c r="E1441" s="11">
        <v>213.0</v>
      </c>
      <c r="F1441" s="11">
        <v>3.0</v>
      </c>
      <c r="G1441" s="11">
        <v>283.0</v>
      </c>
      <c r="H1441" s="9" t="s">
        <v>26</v>
      </c>
      <c r="I1441" s="9" t="s">
        <v>6250</v>
      </c>
      <c r="J1441" s="9" t="s">
        <v>6251</v>
      </c>
      <c r="K1441" s="9" t="s">
        <v>4315</v>
      </c>
      <c r="L1441" s="9" t="s">
        <v>30</v>
      </c>
      <c r="M1441" s="9" t="s">
        <v>31</v>
      </c>
      <c r="N1441" s="9" t="s">
        <v>32</v>
      </c>
      <c r="O1441" s="12" t="s">
        <v>33</v>
      </c>
      <c r="P1441" s="12" t="s">
        <v>34</v>
      </c>
      <c r="Q1441" s="9"/>
      <c r="R1441" s="18"/>
      <c r="S1441" s="18"/>
      <c r="T1441" s="18"/>
      <c r="U1441" s="18"/>
      <c r="V1441" s="18"/>
      <c r="W1441" s="15"/>
      <c r="X1441" s="15"/>
    </row>
    <row r="1442">
      <c r="A1442" s="7">
        <v>1441.0</v>
      </c>
      <c r="B1442" s="8" t="s">
        <v>6252</v>
      </c>
      <c r="C1442" s="9" t="s">
        <v>6253</v>
      </c>
      <c r="D1442" s="10" t="str">
        <f>HYPERLINK("https://facebook.com/367089020688300_541974196533114", "367089020688300_541974196533114")</f>
        <v>367089020688300_541974196533114</v>
      </c>
      <c r="E1442" s="11">
        <v>127.0</v>
      </c>
      <c r="F1442" s="11">
        <v>0.0</v>
      </c>
      <c r="G1442" s="11">
        <v>116.0</v>
      </c>
      <c r="H1442" s="9" t="s">
        <v>26</v>
      </c>
      <c r="I1442" s="9" t="s">
        <v>4749</v>
      </c>
      <c r="J1442" s="16" t="s">
        <v>4750</v>
      </c>
      <c r="K1442" s="9"/>
      <c r="L1442" s="9" t="s">
        <v>30</v>
      </c>
      <c r="M1442" s="9" t="s">
        <v>31</v>
      </c>
      <c r="N1442" s="9" t="s">
        <v>32</v>
      </c>
      <c r="O1442" s="12" t="s">
        <v>33</v>
      </c>
      <c r="P1442" s="12" t="s">
        <v>34</v>
      </c>
      <c r="Q1442" s="9"/>
      <c r="R1442" s="18"/>
      <c r="S1442" s="18"/>
      <c r="T1442" s="18"/>
      <c r="U1442" s="18"/>
      <c r="V1442" s="18"/>
      <c r="W1442" s="15"/>
      <c r="X1442" s="15"/>
    </row>
    <row r="1443">
      <c r="A1443" s="7">
        <v>1442.0</v>
      </c>
      <c r="B1443" s="8" t="s">
        <v>6254</v>
      </c>
      <c r="C1443" s="9" t="s">
        <v>6255</v>
      </c>
      <c r="D1443" s="10" t="str">
        <f>HYPERLINK("https://facebook.com/367089020688300_440537830010085", "367089020688300_440537830010085")</f>
        <v>367089020688300_440537830010085</v>
      </c>
      <c r="E1443" s="11">
        <v>166.0</v>
      </c>
      <c r="F1443" s="11">
        <v>21.0</v>
      </c>
      <c r="G1443" s="11">
        <v>349.0</v>
      </c>
      <c r="H1443" s="9" t="s">
        <v>26</v>
      </c>
      <c r="I1443" s="9" t="s">
        <v>6256</v>
      </c>
      <c r="J1443" s="16" t="s">
        <v>6257</v>
      </c>
      <c r="K1443" s="9"/>
      <c r="L1443" s="9" t="s">
        <v>30</v>
      </c>
      <c r="M1443" s="9" t="s">
        <v>31</v>
      </c>
      <c r="N1443" s="9" t="s">
        <v>32</v>
      </c>
      <c r="O1443" s="12" t="s">
        <v>33</v>
      </c>
      <c r="P1443" s="12" t="s">
        <v>34</v>
      </c>
      <c r="Q1443" s="9"/>
      <c r="R1443" s="18"/>
      <c r="S1443" s="18"/>
      <c r="T1443" s="18"/>
      <c r="U1443" s="18"/>
      <c r="V1443" s="18"/>
      <c r="W1443" s="15"/>
      <c r="X1443" s="15"/>
    </row>
    <row r="1444">
      <c r="A1444" s="7">
        <v>1443.0</v>
      </c>
      <c r="B1444" s="8" t="s">
        <v>6258</v>
      </c>
      <c r="C1444" s="9" t="s">
        <v>6259</v>
      </c>
      <c r="D1444" s="10" t="str">
        <f>HYPERLINK("https://facebook.com/367089020688300_404434150287120", "367089020688300_404434150287120")</f>
        <v>367089020688300_404434150287120</v>
      </c>
      <c r="E1444" s="11">
        <v>685.0</v>
      </c>
      <c r="F1444" s="11">
        <v>14.0</v>
      </c>
      <c r="G1444" s="11">
        <v>273.0</v>
      </c>
      <c r="H1444" s="9" t="s">
        <v>26</v>
      </c>
      <c r="I1444" s="9" t="s">
        <v>6260</v>
      </c>
      <c r="J1444" s="16" t="s">
        <v>6261</v>
      </c>
      <c r="K1444" s="9"/>
      <c r="L1444" s="9" t="s">
        <v>30</v>
      </c>
      <c r="M1444" s="9" t="s">
        <v>31</v>
      </c>
      <c r="N1444" s="9" t="s">
        <v>32</v>
      </c>
      <c r="O1444" s="12" t="s">
        <v>33</v>
      </c>
      <c r="P1444" s="12" t="s">
        <v>34</v>
      </c>
      <c r="Q1444" s="9"/>
      <c r="R1444" s="18"/>
      <c r="S1444" s="18"/>
      <c r="T1444" s="18"/>
      <c r="U1444" s="18"/>
      <c r="V1444" s="18"/>
      <c r="W1444" s="15"/>
      <c r="X1444" s="15"/>
    </row>
    <row r="1445">
      <c r="A1445" s="7">
        <v>1444.0</v>
      </c>
      <c r="B1445" s="8" t="s">
        <v>6262</v>
      </c>
      <c r="C1445" s="9" t="s">
        <v>6263</v>
      </c>
      <c r="D1445" s="10" t="str">
        <f>HYPERLINK("https://facebook.com/367089020688300_524985918231942", "367089020688300_524985918231942")</f>
        <v>367089020688300_524985918231942</v>
      </c>
      <c r="E1445" s="11">
        <v>26.0</v>
      </c>
      <c r="F1445" s="11">
        <v>0.0</v>
      </c>
      <c r="G1445" s="11">
        <v>40.0</v>
      </c>
      <c r="H1445" s="9" t="s">
        <v>26</v>
      </c>
      <c r="I1445" s="9" t="s">
        <v>6264</v>
      </c>
      <c r="J1445" s="16" t="s">
        <v>6265</v>
      </c>
      <c r="K1445" s="9"/>
      <c r="L1445" s="9" t="s">
        <v>30</v>
      </c>
      <c r="M1445" s="9" t="s">
        <v>31</v>
      </c>
      <c r="N1445" s="9" t="s">
        <v>32</v>
      </c>
      <c r="O1445" s="12" t="s">
        <v>33</v>
      </c>
      <c r="P1445" s="12" t="s">
        <v>34</v>
      </c>
      <c r="Q1445" s="9"/>
      <c r="R1445" s="18"/>
      <c r="S1445" s="18"/>
      <c r="T1445" s="18"/>
      <c r="U1445" s="18"/>
      <c r="V1445" s="18"/>
      <c r="W1445" s="15"/>
      <c r="X1445" s="15"/>
    </row>
    <row r="1446">
      <c r="A1446" s="7">
        <v>1445.0</v>
      </c>
      <c r="B1446" s="8" t="s">
        <v>6266</v>
      </c>
      <c r="C1446" s="9" t="s">
        <v>6267</v>
      </c>
      <c r="D1446" s="10" t="str">
        <f>HYPERLINK("https://facebook.com/367089020688300_536187927111741", "367089020688300_536187927111741")</f>
        <v>367089020688300_536187927111741</v>
      </c>
      <c r="E1446" s="11">
        <v>114.0</v>
      </c>
      <c r="F1446" s="11">
        <v>6.0</v>
      </c>
      <c r="G1446" s="11">
        <v>131.0</v>
      </c>
      <c r="H1446" s="9" t="s">
        <v>26</v>
      </c>
      <c r="I1446" s="9" t="s">
        <v>6268</v>
      </c>
      <c r="J1446" s="9" t="s">
        <v>6269</v>
      </c>
      <c r="K1446" s="9" t="s">
        <v>6270</v>
      </c>
      <c r="L1446" s="9" t="s">
        <v>30</v>
      </c>
      <c r="M1446" s="9" t="s">
        <v>31</v>
      </c>
      <c r="N1446" s="9" t="s">
        <v>32</v>
      </c>
      <c r="O1446" s="12" t="s">
        <v>33</v>
      </c>
      <c r="P1446" s="12" t="s">
        <v>34</v>
      </c>
      <c r="Q1446" s="9"/>
      <c r="R1446" s="18"/>
      <c r="S1446" s="18"/>
      <c r="T1446" s="18"/>
      <c r="U1446" s="18"/>
      <c r="V1446" s="18"/>
      <c r="W1446" s="15"/>
      <c r="X1446" s="15"/>
    </row>
    <row r="1447">
      <c r="A1447" s="7">
        <v>1446.0</v>
      </c>
      <c r="B1447" s="8" t="s">
        <v>6271</v>
      </c>
      <c r="C1447" s="9" t="s">
        <v>6272</v>
      </c>
      <c r="D1447" s="10" t="str">
        <f>HYPERLINK("https://facebook.com/367089020688300_544540969609770", "367089020688300_544540969609770")</f>
        <v>367089020688300_544540969609770</v>
      </c>
      <c r="E1447" s="11">
        <v>465.0</v>
      </c>
      <c r="F1447" s="11">
        <v>4.0</v>
      </c>
      <c r="G1447" s="11">
        <v>236.0</v>
      </c>
      <c r="H1447" s="9" t="s">
        <v>26</v>
      </c>
      <c r="I1447" s="9" t="s">
        <v>2316</v>
      </c>
      <c r="J1447" s="9" t="s">
        <v>2317</v>
      </c>
      <c r="K1447" s="9" t="s">
        <v>219</v>
      </c>
      <c r="L1447" s="9" t="s">
        <v>30</v>
      </c>
      <c r="M1447" s="9" t="s">
        <v>31</v>
      </c>
      <c r="N1447" s="9" t="s">
        <v>32</v>
      </c>
      <c r="O1447" s="12" t="s">
        <v>33</v>
      </c>
      <c r="P1447" s="12" t="s">
        <v>34</v>
      </c>
      <c r="Q1447" s="9"/>
      <c r="R1447" s="18"/>
      <c r="S1447" s="18"/>
      <c r="T1447" s="18"/>
      <c r="U1447" s="18"/>
      <c r="V1447" s="18"/>
      <c r="W1447" s="15"/>
      <c r="X1447" s="15"/>
    </row>
    <row r="1448">
      <c r="A1448" s="7">
        <v>1447.0</v>
      </c>
      <c r="B1448" s="8" t="s">
        <v>6273</v>
      </c>
      <c r="C1448" s="9" t="s">
        <v>6274</v>
      </c>
      <c r="D1448" s="10" t="str">
        <f>HYPERLINK("https://facebook.com/367089020688300_538216000242267", "367089020688300_538216000242267")</f>
        <v>367089020688300_538216000242267</v>
      </c>
      <c r="E1448" s="11">
        <v>27.0</v>
      </c>
      <c r="F1448" s="11">
        <v>0.0</v>
      </c>
      <c r="G1448" s="11">
        <v>78.0</v>
      </c>
      <c r="H1448" s="9" t="s">
        <v>26</v>
      </c>
      <c r="I1448" s="9" t="s">
        <v>6275</v>
      </c>
      <c r="J1448" s="9" t="s">
        <v>6276</v>
      </c>
      <c r="K1448" s="9" t="s">
        <v>6277</v>
      </c>
      <c r="L1448" s="9" t="s">
        <v>30</v>
      </c>
      <c r="M1448" s="9" t="s">
        <v>31</v>
      </c>
      <c r="N1448" s="9" t="s">
        <v>32</v>
      </c>
      <c r="O1448" s="12" t="s">
        <v>33</v>
      </c>
      <c r="P1448" s="12" t="s">
        <v>34</v>
      </c>
      <c r="Q1448" s="9"/>
      <c r="R1448" s="18"/>
      <c r="S1448" s="18"/>
      <c r="T1448" s="18"/>
      <c r="U1448" s="18"/>
      <c r="V1448" s="18"/>
      <c r="W1448" s="15"/>
      <c r="X1448" s="15"/>
    </row>
    <row r="1449">
      <c r="A1449" s="7">
        <v>1448.0</v>
      </c>
      <c r="B1449" s="8" t="s">
        <v>6278</v>
      </c>
      <c r="C1449" s="9" t="s">
        <v>6279</v>
      </c>
      <c r="D1449" s="10" t="str">
        <f>HYPERLINK("https://facebook.com/367089020688300_540991283298072", "367089020688300_540991283298072")</f>
        <v>367089020688300_540991283298072</v>
      </c>
      <c r="E1449" s="11">
        <v>584.0</v>
      </c>
      <c r="F1449" s="11">
        <v>3.0</v>
      </c>
      <c r="G1449" s="11">
        <v>191.0</v>
      </c>
      <c r="H1449" s="9" t="s">
        <v>26</v>
      </c>
      <c r="I1449" s="9" t="s">
        <v>6280</v>
      </c>
      <c r="J1449" s="16" t="s">
        <v>6281</v>
      </c>
      <c r="K1449" s="9"/>
      <c r="L1449" s="9" t="s">
        <v>30</v>
      </c>
      <c r="M1449" s="9" t="s">
        <v>31</v>
      </c>
      <c r="N1449" s="9" t="s">
        <v>32</v>
      </c>
      <c r="O1449" s="12" t="s">
        <v>33</v>
      </c>
      <c r="P1449" s="12" t="s">
        <v>34</v>
      </c>
      <c r="Q1449" s="9"/>
      <c r="R1449" s="18"/>
      <c r="S1449" s="18"/>
      <c r="T1449" s="18"/>
      <c r="U1449" s="18"/>
      <c r="V1449" s="18"/>
      <c r="W1449" s="15"/>
      <c r="X1449" s="15"/>
    </row>
    <row r="1450">
      <c r="A1450" s="7">
        <v>1449.0</v>
      </c>
      <c r="B1450" s="8" t="s">
        <v>6282</v>
      </c>
      <c r="C1450" s="9" t="s">
        <v>6283</v>
      </c>
      <c r="D1450" s="10" t="str">
        <f>HYPERLINK("https://facebook.com/367089020688300_553822298681637", "367089020688300_553822298681637")</f>
        <v>367089020688300_553822298681637</v>
      </c>
      <c r="E1450" s="11">
        <v>830.0</v>
      </c>
      <c r="F1450" s="11">
        <v>25.0</v>
      </c>
      <c r="G1450" s="11">
        <v>635.0</v>
      </c>
      <c r="H1450" s="9" t="s">
        <v>26</v>
      </c>
      <c r="I1450" s="9" t="s">
        <v>6284</v>
      </c>
      <c r="J1450" s="16" t="s">
        <v>6285</v>
      </c>
      <c r="K1450" s="9"/>
      <c r="L1450" s="9" t="s">
        <v>30</v>
      </c>
      <c r="M1450" s="9" t="s">
        <v>31</v>
      </c>
      <c r="N1450" s="9" t="s">
        <v>32</v>
      </c>
      <c r="O1450" s="12" t="s">
        <v>33</v>
      </c>
      <c r="P1450" s="12" t="s">
        <v>34</v>
      </c>
      <c r="Q1450" s="9"/>
      <c r="R1450" s="18"/>
      <c r="S1450" s="18"/>
      <c r="T1450" s="18"/>
      <c r="U1450" s="18"/>
      <c r="V1450" s="18"/>
      <c r="W1450" s="15"/>
      <c r="X1450" s="15"/>
    </row>
    <row r="1451">
      <c r="A1451" s="7">
        <v>1450.0</v>
      </c>
      <c r="B1451" s="8" t="s">
        <v>6286</v>
      </c>
      <c r="C1451" s="9" t="s">
        <v>6287</v>
      </c>
      <c r="D1451" s="10" t="str">
        <f>HYPERLINK("https://facebook.com/367089020688300_457531051644096", "367089020688300_457531051644096")</f>
        <v>367089020688300_457531051644096</v>
      </c>
      <c r="E1451" s="11">
        <v>152.0</v>
      </c>
      <c r="F1451" s="11">
        <v>3.0</v>
      </c>
      <c r="G1451" s="11">
        <v>177.0</v>
      </c>
      <c r="H1451" s="9" t="s">
        <v>26</v>
      </c>
      <c r="I1451" s="9" t="s">
        <v>6288</v>
      </c>
      <c r="J1451" s="9" t="s">
        <v>6289</v>
      </c>
      <c r="K1451" s="9" t="s">
        <v>6290</v>
      </c>
      <c r="L1451" s="9" t="s">
        <v>30</v>
      </c>
      <c r="M1451" s="9" t="s">
        <v>31</v>
      </c>
      <c r="N1451" s="9" t="s">
        <v>32</v>
      </c>
      <c r="O1451" s="12" t="s">
        <v>33</v>
      </c>
      <c r="P1451" s="12" t="s">
        <v>34</v>
      </c>
      <c r="Q1451" s="9"/>
      <c r="R1451" s="18"/>
      <c r="S1451" s="18"/>
      <c r="T1451" s="18"/>
      <c r="U1451" s="18"/>
      <c r="V1451" s="18"/>
      <c r="W1451" s="15"/>
      <c r="X1451" s="15"/>
    </row>
    <row r="1452">
      <c r="A1452" s="7">
        <v>1451.0</v>
      </c>
      <c r="B1452" s="8" t="s">
        <v>6291</v>
      </c>
      <c r="C1452" s="9" t="s">
        <v>6292</v>
      </c>
      <c r="D1452" s="10" t="str">
        <f>HYPERLINK("https://facebook.com/367089020688300_509275286469672", "367089020688300_509275286469672")</f>
        <v>367089020688300_509275286469672</v>
      </c>
      <c r="E1452" s="11">
        <v>7.0</v>
      </c>
      <c r="F1452" s="11">
        <v>1.0</v>
      </c>
      <c r="G1452" s="11">
        <v>20.0</v>
      </c>
      <c r="H1452" s="9" t="s">
        <v>26</v>
      </c>
      <c r="I1452" s="9" t="s">
        <v>6293</v>
      </c>
      <c r="J1452" s="9" t="s">
        <v>6294</v>
      </c>
      <c r="K1452" s="9" t="s">
        <v>3855</v>
      </c>
      <c r="L1452" s="9" t="s">
        <v>30</v>
      </c>
      <c r="M1452" s="9" t="s">
        <v>31</v>
      </c>
      <c r="N1452" s="9" t="s">
        <v>32</v>
      </c>
      <c r="O1452" s="12" t="s">
        <v>33</v>
      </c>
      <c r="P1452" s="12" t="s">
        <v>34</v>
      </c>
      <c r="Q1452" s="9"/>
      <c r="R1452" s="18"/>
      <c r="S1452" s="18"/>
      <c r="T1452" s="18"/>
      <c r="U1452" s="18"/>
      <c r="V1452" s="18"/>
      <c r="W1452" s="15"/>
      <c r="X1452" s="15"/>
    </row>
    <row r="1453">
      <c r="A1453" s="7">
        <v>1452.0</v>
      </c>
      <c r="B1453" s="8" t="s">
        <v>6295</v>
      </c>
      <c r="C1453" s="9" t="s">
        <v>6296</v>
      </c>
      <c r="D1453" s="10" t="str">
        <f>HYPERLINK("https://facebook.com/367089020688300_460887204641814", "367089020688300_460887204641814")</f>
        <v>367089020688300_460887204641814</v>
      </c>
      <c r="E1453" s="11">
        <v>115.0</v>
      </c>
      <c r="F1453" s="11">
        <v>3.0</v>
      </c>
      <c r="G1453" s="11">
        <v>52.0</v>
      </c>
      <c r="H1453" s="9" t="s">
        <v>26</v>
      </c>
      <c r="I1453" s="9" t="s">
        <v>6297</v>
      </c>
      <c r="J1453" s="9" t="s">
        <v>6298</v>
      </c>
      <c r="K1453" s="9" t="s">
        <v>249</v>
      </c>
      <c r="L1453" s="9" t="s">
        <v>30</v>
      </c>
      <c r="M1453" s="9" t="s">
        <v>31</v>
      </c>
      <c r="N1453" s="9" t="s">
        <v>32</v>
      </c>
      <c r="O1453" s="12" t="s">
        <v>33</v>
      </c>
      <c r="P1453" s="12" t="s">
        <v>34</v>
      </c>
      <c r="Q1453" s="9"/>
      <c r="R1453" s="18"/>
      <c r="S1453" s="18"/>
      <c r="T1453" s="18"/>
      <c r="U1453" s="18"/>
      <c r="V1453" s="18"/>
      <c r="W1453" s="15"/>
      <c r="X1453" s="15"/>
    </row>
    <row r="1454">
      <c r="A1454" s="7">
        <v>1453.0</v>
      </c>
      <c r="B1454" s="8" t="s">
        <v>6299</v>
      </c>
      <c r="C1454" s="9" t="s">
        <v>6300</v>
      </c>
      <c r="D1454" s="10" t="str">
        <f>HYPERLINK("https://facebook.com/367089020688300_448343662562835", "367089020688300_448343662562835")</f>
        <v>367089020688300_448343662562835</v>
      </c>
      <c r="E1454" s="11">
        <v>2184.0</v>
      </c>
      <c r="F1454" s="11">
        <v>273.0</v>
      </c>
      <c r="G1454" s="11">
        <v>1592.0</v>
      </c>
      <c r="H1454" s="9" t="s">
        <v>26</v>
      </c>
      <c r="I1454" s="9" t="s">
        <v>6301</v>
      </c>
      <c r="J1454" s="9" t="s">
        <v>6302</v>
      </c>
      <c r="K1454" s="9" t="s">
        <v>6303</v>
      </c>
      <c r="L1454" s="9" t="s">
        <v>30</v>
      </c>
      <c r="M1454" s="9" t="s">
        <v>31</v>
      </c>
      <c r="N1454" s="9" t="s">
        <v>32</v>
      </c>
      <c r="O1454" s="12" t="s">
        <v>33</v>
      </c>
      <c r="P1454" s="12" t="s">
        <v>34</v>
      </c>
      <c r="Q1454" s="9"/>
      <c r="R1454" s="18"/>
      <c r="S1454" s="18"/>
      <c r="T1454" s="18"/>
      <c r="U1454" s="18"/>
      <c r="V1454" s="18"/>
      <c r="W1454" s="15"/>
      <c r="X1454" s="15"/>
    </row>
    <row r="1455">
      <c r="A1455" s="7">
        <v>1454.0</v>
      </c>
      <c r="B1455" s="8" t="s">
        <v>6304</v>
      </c>
      <c r="C1455" s="9" t="s">
        <v>6305</v>
      </c>
      <c r="D1455" s="10" t="str">
        <f>HYPERLINK("https://facebook.com/367089020688300_550893452307855", "367089020688300_550893452307855")</f>
        <v>367089020688300_550893452307855</v>
      </c>
      <c r="E1455" s="11">
        <v>198.0</v>
      </c>
      <c r="F1455" s="11">
        <v>3.0</v>
      </c>
      <c r="G1455" s="11">
        <v>325.0</v>
      </c>
      <c r="H1455" s="9" t="s">
        <v>26</v>
      </c>
      <c r="I1455" s="9" t="s">
        <v>6306</v>
      </c>
      <c r="J1455" s="9" t="s">
        <v>6307</v>
      </c>
      <c r="K1455" s="9" t="s">
        <v>219</v>
      </c>
      <c r="L1455" s="9" t="s">
        <v>30</v>
      </c>
      <c r="M1455" s="9" t="s">
        <v>31</v>
      </c>
      <c r="N1455" s="9" t="s">
        <v>32</v>
      </c>
      <c r="O1455" s="12" t="s">
        <v>33</v>
      </c>
      <c r="P1455" s="12" t="s">
        <v>34</v>
      </c>
      <c r="Q1455" s="9"/>
      <c r="R1455" s="18"/>
      <c r="S1455" s="18"/>
      <c r="T1455" s="18"/>
      <c r="U1455" s="18"/>
      <c r="V1455" s="18"/>
      <c r="W1455" s="15"/>
      <c r="X1455" s="15"/>
    </row>
    <row r="1456">
      <c r="A1456" s="7">
        <v>1455.0</v>
      </c>
      <c r="B1456" s="8" t="s">
        <v>6308</v>
      </c>
      <c r="C1456" s="9" t="s">
        <v>6309</v>
      </c>
      <c r="D1456" s="10" t="str">
        <f>HYPERLINK("https://facebook.com/367089020688300_542463813150819", "367089020688300_542463813150819")</f>
        <v>367089020688300_542463813150819</v>
      </c>
      <c r="E1456" s="11">
        <v>90.0</v>
      </c>
      <c r="F1456" s="11">
        <v>1.0</v>
      </c>
      <c r="G1456" s="11">
        <v>104.0</v>
      </c>
      <c r="H1456" s="9" t="s">
        <v>26</v>
      </c>
      <c r="I1456" s="9" t="s">
        <v>6310</v>
      </c>
      <c r="J1456" s="9" t="s">
        <v>6311</v>
      </c>
      <c r="K1456" s="9" t="s">
        <v>6312</v>
      </c>
      <c r="L1456" s="9" t="s">
        <v>30</v>
      </c>
      <c r="M1456" s="9" t="s">
        <v>31</v>
      </c>
      <c r="N1456" s="9" t="s">
        <v>32</v>
      </c>
      <c r="O1456" s="12" t="s">
        <v>33</v>
      </c>
      <c r="P1456" s="12" t="s">
        <v>34</v>
      </c>
      <c r="Q1456" s="9"/>
      <c r="R1456" s="18"/>
      <c r="S1456" s="18"/>
      <c r="T1456" s="18"/>
      <c r="U1456" s="18"/>
      <c r="V1456" s="18"/>
      <c r="W1456" s="15"/>
      <c r="X1456" s="15"/>
    </row>
    <row r="1457">
      <c r="A1457" s="7">
        <v>1456.0</v>
      </c>
      <c r="B1457" s="8" t="s">
        <v>6313</v>
      </c>
      <c r="C1457" s="9" t="s">
        <v>6314</v>
      </c>
      <c r="D1457" s="10" t="str">
        <f>HYPERLINK("https://facebook.com/367089020688300_558426841554516", "367089020688300_558426841554516")</f>
        <v>367089020688300_558426841554516</v>
      </c>
      <c r="E1457" s="11">
        <v>187.0</v>
      </c>
      <c r="F1457" s="11">
        <v>1.0</v>
      </c>
      <c r="G1457" s="11">
        <v>75.0</v>
      </c>
      <c r="H1457" s="9" t="s">
        <v>26</v>
      </c>
      <c r="I1457" s="9" t="s">
        <v>500</v>
      </c>
      <c r="J1457" s="16" t="s">
        <v>501</v>
      </c>
      <c r="K1457" s="9"/>
      <c r="L1457" s="9" t="s">
        <v>30</v>
      </c>
      <c r="M1457" s="9" t="s">
        <v>31</v>
      </c>
      <c r="N1457" s="9" t="s">
        <v>32</v>
      </c>
      <c r="O1457" s="12" t="s">
        <v>33</v>
      </c>
      <c r="P1457" s="12" t="s">
        <v>34</v>
      </c>
      <c r="Q1457" s="9"/>
      <c r="R1457" s="18"/>
      <c r="S1457" s="18"/>
      <c r="T1457" s="18"/>
      <c r="U1457" s="18"/>
      <c r="V1457" s="18"/>
      <c r="W1457" s="15"/>
      <c r="X1457" s="15"/>
    </row>
    <row r="1458">
      <c r="A1458" s="7">
        <v>1457.0</v>
      </c>
      <c r="B1458" s="8" t="s">
        <v>6315</v>
      </c>
      <c r="C1458" s="9" t="s">
        <v>6316</v>
      </c>
      <c r="D1458" s="10" t="str">
        <f>HYPERLINK("https://facebook.com/367089020688300_531993154197885", "367089020688300_531993154197885")</f>
        <v>367089020688300_531993154197885</v>
      </c>
      <c r="E1458" s="11">
        <v>278.0</v>
      </c>
      <c r="F1458" s="11">
        <v>14.0</v>
      </c>
      <c r="G1458" s="11">
        <v>287.0</v>
      </c>
      <c r="H1458" s="9" t="s">
        <v>26</v>
      </c>
      <c r="I1458" s="9" t="s">
        <v>6317</v>
      </c>
      <c r="J1458" s="16" t="s">
        <v>6318</v>
      </c>
      <c r="K1458" s="9"/>
      <c r="L1458" s="9" t="s">
        <v>30</v>
      </c>
      <c r="M1458" s="9" t="s">
        <v>31</v>
      </c>
      <c r="N1458" s="9" t="s">
        <v>32</v>
      </c>
      <c r="O1458" s="12" t="s">
        <v>33</v>
      </c>
      <c r="P1458" s="12" t="s">
        <v>34</v>
      </c>
      <c r="Q1458" s="9"/>
      <c r="R1458" s="18"/>
      <c r="S1458" s="18"/>
      <c r="T1458" s="18"/>
      <c r="U1458" s="18"/>
      <c r="V1458" s="18"/>
      <c r="W1458" s="15"/>
      <c r="X1458" s="15"/>
    </row>
    <row r="1459">
      <c r="A1459" s="7">
        <v>1458.0</v>
      </c>
      <c r="B1459" s="8" t="s">
        <v>6319</v>
      </c>
      <c r="C1459" s="9" t="s">
        <v>6320</v>
      </c>
      <c r="D1459" s="10" t="str">
        <f>HYPERLINK("https://facebook.com/367089020688300_541944533202747", "367089020688300_541944533202747")</f>
        <v>367089020688300_541944533202747</v>
      </c>
      <c r="E1459" s="11">
        <v>8.0</v>
      </c>
      <c r="F1459" s="11">
        <v>0.0</v>
      </c>
      <c r="G1459" s="11">
        <v>2.0</v>
      </c>
      <c r="H1459" s="9" t="s">
        <v>26</v>
      </c>
      <c r="I1459" s="9" t="s">
        <v>6321</v>
      </c>
      <c r="J1459" s="9" t="s">
        <v>6322</v>
      </c>
      <c r="K1459" s="9" t="s">
        <v>341</v>
      </c>
      <c r="L1459" s="9" t="s">
        <v>30</v>
      </c>
      <c r="M1459" s="9" t="s">
        <v>31</v>
      </c>
      <c r="N1459" s="9" t="s">
        <v>32</v>
      </c>
      <c r="O1459" s="12" t="s">
        <v>33</v>
      </c>
      <c r="P1459" s="12" t="s">
        <v>34</v>
      </c>
      <c r="Q1459" s="9"/>
      <c r="R1459" s="18"/>
      <c r="S1459" s="18"/>
      <c r="T1459" s="18"/>
      <c r="U1459" s="18"/>
      <c r="V1459" s="18"/>
      <c r="W1459" s="15"/>
      <c r="X1459" s="15"/>
    </row>
    <row r="1460">
      <c r="A1460" s="7">
        <v>1459.0</v>
      </c>
      <c r="B1460" s="8" t="s">
        <v>6323</v>
      </c>
      <c r="C1460" s="9" t="s">
        <v>6324</v>
      </c>
      <c r="D1460" s="10" t="str">
        <f>HYPERLINK("https://facebook.com/367089020688300_494230731307461", "367089020688300_494230731307461")</f>
        <v>367089020688300_494230731307461</v>
      </c>
      <c r="E1460" s="11">
        <v>871.0</v>
      </c>
      <c r="F1460" s="11">
        <v>46.0</v>
      </c>
      <c r="G1460" s="11">
        <v>531.0</v>
      </c>
      <c r="H1460" s="9" t="s">
        <v>26</v>
      </c>
      <c r="I1460" s="9" t="s">
        <v>6325</v>
      </c>
      <c r="J1460" s="9" t="s">
        <v>6326</v>
      </c>
      <c r="K1460" s="9" t="s">
        <v>249</v>
      </c>
      <c r="L1460" s="9" t="s">
        <v>30</v>
      </c>
      <c r="M1460" s="9" t="s">
        <v>31</v>
      </c>
      <c r="N1460" s="9" t="s">
        <v>32</v>
      </c>
      <c r="O1460" s="12" t="s">
        <v>33</v>
      </c>
      <c r="P1460" s="12" t="s">
        <v>34</v>
      </c>
      <c r="Q1460" s="9"/>
      <c r="R1460" s="18"/>
      <c r="S1460" s="18"/>
      <c r="T1460" s="18"/>
      <c r="U1460" s="18"/>
      <c r="V1460" s="18"/>
      <c r="W1460" s="15"/>
      <c r="X1460" s="15"/>
    </row>
    <row r="1461">
      <c r="A1461" s="7">
        <v>1460.0</v>
      </c>
      <c r="B1461" s="8" t="s">
        <v>6327</v>
      </c>
      <c r="C1461" s="9" t="s">
        <v>6328</v>
      </c>
      <c r="D1461" s="10" t="str">
        <f>HYPERLINK("https://facebook.com/367089020688300_508954703168397", "367089020688300_508954703168397")</f>
        <v>367089020688300_508954703168397</v>
      </c>
      <c r="E1461" s="11">
        <v>29.0</v>
      </c>
      <c r="F1461" s="11">
        <v>0.0</v>
      </c>
      <c r="G1461" s="11">
        <v>52.0</v>
      </c>
      <c r="H1461" s="9" t="s">
        <v>26</v>
      </c>
      <c r="I1461" s="9" t="s">
        <v>1984</v>
      </c>
      <c r="J1461" s="9" t="s">
        <v>6329</v>
      </c>
      <c r="K1461" s="9" t="s">
        <v>6330</v>
      </c>
      <c r="L1461" s="9" t="s">
        <v>30</v>
      </c>
      <c r="M1461" s="9" t="s">
        <v>31</v>
      </c>
      <c r="N1461" s="9" t="s">
        <v>32</v>
      </c>
      <c r="O1461" s="12" t="s">
        <v>33</v>
      </c>
      <c r="P1461" s="12" t="s">
        <v>34</v>
      </c>
      <c r="Q1461" s="9"/>
      <c r="R1461" s="18"/>
      <c r="S1461" s="18"/>
      <c r="T1461" s="18"/>
      <c r="U1461" s="18"/>
      <c r="V1461" s="18"/>
      <c r="W1461" s="15"/>
      <c r="X1461" s="15"/>
    </row>
    <row r="1462">
      <c r="A1462" s="7">
        <v>1461.0</v>
      </c>
      <c r="B1462" s="8" t="s">
        <v>6331</v>
      </c>
      <c r="C1462" s="9" t="s">
        <v>6332</v>
      </c>
      <c r="D1462" s="10" t="str">
        <f>HYPERLINK("https://facebook.com/367089020688300_556053058458561", "367089020688300_556053058458561")</f>
        <v>367089020688300_556053058458561</v>
      </c>
      <c r="E1462" s="11">
        <v>52.0</v>
      </c>
      <c r="F1462" s="11">
        <v>0.0</v>
      </c>
      <c r="G1462" s="11">
        <v>18.0</v>
      </c>
      <c r="H1462" s="9" t="s">
        <v>26</v>
      </c>
      <c r="I1462" s="9" t="s">
        <v>6333</v>
      </c>
      <c r="J1462" s="16" t="s">
        <v>6334</v>
      </c>
      <c r="K1462" s="9"/>
      <c r="L1462" s="9" t="s">
        <v>30</v>
      </c>
      <c r="M1462" s="9" t="s">
        <v>31</v>
      </c>
      <c r="N1462" s="9" t="s">
        <v>32</v>
      </c>
      <c r="O1462" s="12" t="s">
        <v>33</v>
      </c>
      <c r="P1462" s="12" t="s">
        <v>34</v>
      </c>
      <c r="Q1462" s="9"/>
      <c r="R1462" s="18"/>
      <c r="S1462" s="18"/>
      <c r="T1462" s="18"/>
      <c r="U1462" s="18"/>
      <c r="V1462" s="18"/>
      <c r="W1462" s="15"/>
      <c r="X1462" s="15"/>
    </row>
    <row r="1463">
      <c r="A1463" s="7">
        <v>1462.0</v>
      </c>
      <c r="B1463" s="8" t="s">
        <v>6335</v>
      </c>
      <c r="C1463" s="9" t="s">
        <v>6336</v>
      </c>
      <c r="D1463" s="10" t="str">
        <f>HYPERLINK("https://facebook.com/367089020688300_557402748323592", "367089020688300_557402748323592")</f>
        <v>367089020688300_557402748323592</v>
      </c>
      <c r="E1463" s="11">
        <v>45.0</v>
      </c>
      <c r="F1463" s="11">
        <v>0.0</v>
      </c>
      <c r="G1463" s="11">
        <v>58.0</v>
      </c>
      <c r="H1463" s="9" t="s">
        <v>26</v>
      </c>
      <c r="I1463" s="9" t="s">
        <v>6337</v>
      </c>
      <c r="J1463" s="16" t="s">
        <v>6338</v>
      </c>
      <c r="K1463" s="9"/>
      <c r="L1463" s="9" t="s">
        <v>30</v>
      </c>
      <c r="M1463" s="9" t="s">
        <v>31</v>
      </c>
      <c r="N1463" s="9" t="s">
        <v>32</v>
      </c>
      <c r="O1463" s="12" t="s">
        <v>33</v>
      </c>
      <c r="P1463" s="12" t="s">
        <v>34</v>
      </c>
      <c r="Q1463" s="9"/>
      <c r="R1463" s="18"/>
      <c r="S1463" s="18"/>
      <c r="T1463" s="18"/>
      <c r="U1463" s="18"/>
      <c r="V1463" s="18"/>
      <c r="W1463" s="15"/>
      <c r="X1463" s="15"/>
    </row>
    <row r="1464">
      <c r="A1464" s="7">
        <v>1463.0</v>
      </c>
      <c r="B1464" s="8" t="s">
        <v>6339</v>
      </c>
      <c r="C1464" s="9" t="s">
        <v>6340</v>
      </c>
      <c r="D1464" s="10" t="str">
        <f>HYPERLINK("https://facebook.com/367089020688300_546745796055954", "367089020688300_546745796055954")</f>
        <v>367089020688300_546745796055954</v>
      </c>
      <c r="E1464" s="11">
        <v>228.0</v>
      </c>
      <c r="F1464" s="11">
        <v>2.0</v>
      </c>
      <c r="G1464" s="11">
        <v>296.0</v>
      </c>
      <c r="H1464" s="9" t="s">
        <v>26</v>
      </c>
      <c r="I1464" s="9" t="s">
        <v>6341</v>
      </c>
      <c r="J1464" s="9" t="s">
        <v>6342</v>
      </c>
      <c r="K1464" s="9" t="s">
        <v>6343</v>
      </c>
      <c r="L1464" s="9" t="s">
        <v>30</v>
      </c>
      <c r="M1464" s="9" t="s">
        <v>31</v>
      </c>
      <c r="N1464" s="9" t="s">
        <v>32</v>
      </c>
      <c r="O1464" s="12" t="s">
        <v>33</v>
      </c>
      <c r="P1464" s="12" t="s">
        <v>34</v>
      </c>
      <c r="Q1464" s="9"/>
      <c r="R1464" s="18"/>
      <c r="S1464" s="18"/>
      <c r="T1464" s="18"/>
      <c r="U1464" s="18"/>
      <c r="V1464" s="18"/>
      <c r="W1464" s="15"/>
      <c r="X1464" s="15"/>
    </row>
    <row r="1465">
      <c r="A1465" s="7">
        <v>1464.0</v>
      </c>
      <c r="B1465" s="21" t="s">
        <v>6344</v>
      </c>
      <c r="C1465" s="21" t="s">
        <v>6345</v>
      </c>
      <c r="D1465" s="22" t="str">
        <f>HYPERLINK("https://facebook.com/367089020688300_536437290420138", "367089020688300_536437290420138")</f>
        <v>367089020688300_536437290420138</v>
      </c>
      <c r="E1465" s="23">
        <v>45.0</v>
      </c>
      <c r="F1465" s="23">
        <v>0.0</v>
      </c>
      <c r="G1465" s="23">
        <v>11.0</v>
      </c>
      <c r="H1465" s="21" t="s">
        <v>26</v>
      </c>
      <c r="I1465" s="21" t="s">
        <v>6346</v>
      </c>
      <c r="J1465" s="21" t="s">
        <v>6347</v>
      </c>
      <c r="K1465" s="21"/>
      <c r="L1465" s="21" t="s">
        <v>30</v>
      </c>
      <c r="M1465" s="21" t="s">
        <v>31</v>
      </c>
      <c r="N1465" s="21" t="s">
        <v>32</v>
      </c>
      <c r="O1465" s="21" t="s">
        <v>33</v>
      </c>
      <c r="P1465" s="12" t="s">
        <v>34</v>
      </c>
      <c r="Q1465" s="21"/>
      <c r="R1465" s="24"/>
      <c r="S1465" s="24"/>
      <c r="T1465" s="24"/>
      <c r="U1465" s="24"/>
      <c r="V1465" s="24"/>
      <c r="W1465" s="13" t="s">
        <v>6348</v>
      </c>
      <c r="X1465" s="24"/>
    </row>
    <row r="1466">
      <c r="A1466" s="7">
        <v>1465.0</v>
      </c>
      <c r="B1466" s="8" t="s">
        <v>6349</v>
      </c>
      <c r="C1466" s="9" t="s">
        <v>6350</v>
      </c>
      <c r="D1466" s="10" t="str">
        <f>HYPERLINK("https://facebook.com/367089020688300_502068640523670", "367089020688300_502068640523670")</f>
        <v>367089020688300_502068640523670</v>
      </c>
      <c r="E1466" s="11">
        <v>187.0</v>
      </c>
      <c r="F1466" s="11">
        <v>3.0</v>
      </c>
      <c r="G1466" s="11">
        <v>78.0</v>
      </c>
      <c r="H1466" s="9" t="s">
        <v>26</v>
      </c>
      <c r="I1466" s="9" t="s">
        <v>6351</v>
      </c>
      <c r="J1466" s="16" t="s">
        <v>6352</v>
      </c>
      <c r="K1466" s="9"/>
      <c r="L1466" s="9" t="s">
        <v>30</v>
      </c>
      <c r="M1466" s="9" t="s">
        <v>31</v>
      </c>
      <c r="N1466" s="9" t="s">
        <v>32</v>
      </c>
      <c r="O1466" s="12" t="s">
        <v>33</v>
      </c>
      <c r="P1466" s="12" t="s">
        <v>34</v>
      </c>
      <c r="Q1466" s="9"/>
      <c r="R1466" s="18"/>
      <c r="S1466" s="18"/>
      <c r="T1466" s="18"/>
      <c r="U1466" s="18"/>
      <c r="V1466" s="18"/>
      <c r="W1466" s="15"/>
      <c r="X1466" s="15"/>
    </row>
    <row r="1467">
      <c r="A1467" s="7">
        <v>1466.0</v>
      </c>
      <c r="B1467" s="8" t="s">
        <v>6353</v>
      </c>
      <c r="C1467" s="9" t="s">
        <v>6354</v>
      </c>
      <c r="D1467" s="10" t="str">
        <f>HYPERLINK("https://facebook.com/367089020688300_508726739857860", "367089020688300_508726739857860")</f>
        <v>367089020688300_508726739857860</v>
      </c>
      <c r="E1467" s="11">
        <v>8.0</v>
      </c>
      <c r="F1467" s="11">
        <v>0.0</v>
      </c>
      <c r="G1467" s="11">
        <v>26.0</v>
      </c>
      <c r="H1467" s="9" t="s">
        <v>26</v>
      </c>
      <c r="I1467" s="9" t="s">
        <v>6355</v>
      </c>
      <c r="J1467" s="9" t="s">
        <v>6356</v>
      </c>
      <c r="K1467" s="9" t="s">
        <v>6357</v>
      </c>
      <c r="L1467" s="9" t="s">
        <v>30</v>
      </c>
      <c r="M1467" s="9" t="s">
        <v>31</v>
      </c>
      <c r="N1467" s="9" t="s">
        <v>32</v>
      </c>
      <c r="O1467" s="12" t="s">
        <v>33</v>
      </c>
      <c r="P1467" s="12" t="s">
        <v>34</v>
      </c>
      <c r="Q1467" s="9"/>
      <c r="R1467" s="18"/>
      <c r="S1467" s="18"/>
      <c r="T1467" s="18"/>
      <c r="U1467" s="18"/>
      <c r="V1467" s="18"/>
      <c r="W1467" s="15"/>
      <c r="X1467" s="15"/>
    </row>
    <row r="1468">
      <c r="A1468" s="7">
        <v>1467.0</v>
      </c>
      <c r="B1468" s="8" t="s">
        <v>6358</v>
      </c>
      <c r="C1468" s="9" t="s">
        <v>6359</v>
      </c>
      <c r="D1468" s="10" t="str">
        <f>HYPERLINK("https://facebook.com/367089020688300_551684412228759", "367089020688300_551684412228759")</f>
        <v>367089020688300_551684412228759</v>
      </c>
      <c r="E1468" s="11">
        <v>27.0</v>
      </c>
      <c r="F1468" s="11">
        <v>1.0</v>
      </c>
      <c r="G1468" s="11">
        <v>13.0</v>
      </c>
      <c r="H1468" s="9" t="s">
        <v>26</v>
      </c>
      <c r="I1468" s="9" t="s">
        <v>6360</v>
      </c>
      <c r="J1468" s="16" t="s">
        <v>6361</v>
      </c>
      <c r="K1468" s="9"/>
      <c r="L1468" s="9" t="s">
        <v>30</v>
      </c>
      <c r="M1468" s="9" t="s">
        <v>31</v>
      </c>
      <c r="N1468" s="9" t="s">
        <v>32</v>
      </c>
      <c r="O1468" s="12" t="s">
        <v>33</v>
      </c>
      <c r="P1468" s="12" t="s">
        <v>34</v>
      </c>
      <c r="Q1468" s="9"/>
      <c r="R1468" s="18"/>
      <c r="S1468" s="18"/>
      <c r="T1468" s="18"/>
      <c r="U1468" s="18"/>
      <c r="V1468" s="18"/>
      <c r="W1468" s="15"/>
      <c r="X1468" s="15"/>
    </row>
    <row r="1469">
      <c r="A1469" s="7">
        <v>1468.0</v>
      </c>
      <c r="B1469" s="8" t="s">
        <v>6362</v>
      </c>
      <c r="C1469" s="9" t="s">
        <v>6363</v>
      </c>
      <c r="D1469" s="10" t="str">
        <f>HYPERLINK("https://facebook.com/367089020688300_520041675393033", "367089020688300_520041675393033")</f>
        <v>367089020688300_520041675393033</v>
      </c>
      <c r="E1469" s="11">
        <v>269.0</v>
      </c>
      <c r="F1469" s="11">
        <v>16.0</v>
      </c>
      <c r="G1469" s="11">
        <v>366.0</v>
      </c>
      <c r="H1469" s="9" t="s">
        <v>26</v>
      </c>
      <c r="I1469" s="9" t="s">
        <v>6364</v>
      </c>
      <c r="J1469" s="9" t="s">
        <v>6365</v>
      </c>
      <c r="K1469" s="9" t="s">
        <v>2889</v>
      </c>
      <c r="L1469" s="9" t="s">
        <v>30</v>
      </c>
      <c r="M1469" s="9" t="s">
        <v>31</v>
      </c>
      <c r="N1469" s="9" t="s">
        <v>32</v>
      </c>
      <c r="O1469" s="12" t="s">
        <v>33</v>
      </c>
      <c r="P1469" s="12" t="s">
        <v>34</v>
      </c>
      <c r="Q1469" s="9"/>
      <c r="R1469" s="18"/>
      <c r="S1469" s="18"/>
      <c r="T1469" s="18"/>
      <c r="U1469" s="18"/>
      <c r="V1469" s="18"/>
      <c r="W1469" s="15"/>
      <c r="X1469" s="15"/>
    </row>
    <row r="1470">
      <c r="A1470" s="7">
        <v>1469.0</v>
      </c>
      <c r="B1470" s="8" t="s">
        <v>6366</v>
      </c>
      <c r="C1470" s="9" t="s">
        <v>6367</v>
      </c>
      <c r="D1470" s="10" t="str">
        <f>HYPERLINK("https://facebook.com/367089020688300_528220297908504", "367089020688300_528220297908504")</f>
        <v>367089020688300_528220297908504</v>
      </c>
      <c r="E1470" s="11">
        <v>264.0</v>
      </c>
      <c r="F1470" s="11">
        <v>3.0</v>
      </c>
      <c r="G1470" s="11">
        <v>305.0</v>
      </c>
      <c r="H1470" s="9" t="s">
        <v>26</v>
      </c>
      <c r="I1470" s="9" t="s">
        <v>5275</v>
      </c>
      <c r="J1470" s="9" t="s">
        <v>5276</v>
      </c>
      <c r="K1470" s="9" t="s">
        <v>3440</v>
      </c>
      <c r="L1470" s="9" t="s">
        <v>30</v>
      </c>
      <c r="M1470" s="9" t="s">
        <v>31</v>
      </c>
      <c r="N1470" s="9" t="s">
        <v>32</v>
      </c>
      <c r="O1470" s="12" t="s">
        <v>33</v>
      </c>
      <c r="P1470" s="12" t="s">
        <v>34</v>
      </c>
      <c r="Q1470" s="9"/>
      <c r="R1470" s="18"/>
      <c r="S1470" s="18"/>
      <c r="T1470" s="18"/>
      <c r="U1470" s="18"/>
      <c r="V1470" s="18"/>
      <c r="W1470" s="15"/>
      <c r="X1470" s="15"/>
    </row>
    <row r="1471">
      <c r="A1471" s="7">
        <v>1470.0</v>
      </c>
      <c r="B1471" s="8" t="s">
        <v>6368</v>
      </c>
      <c r="C1471" s="9" t="s">
        <v>6369</v>
      </c>
      <c r="D1471" s="10" t="str">
        <f>HYPERLINK("https://facebook.com/367089020688300_478163059580895", "367089020688300_478163059580895")</f>
        <v>367089020688300_478163059580895</v>
      </c>
      <c r="E1471" s="11">
        <v>59.0</v>
      </c>
      <c r="F1471" s="11">
        <v>2.0</v>
      </c>
      <c r="G1471" s="11">
        <v>105.0</v>
      </c>
      <c r="H1471" s="9" t="s">
        <v>26</v>
      </c>
      <c r="I1471" s="9" t="s">
        <v>905</v>
      </c>
      <c r="J1471" s="9" t="s">
        <v>906</v>
      </c>
      <c r="K1471" s="9" t="s">
        <v>6370</v>
      </c>
      <c r="L1471" s="9" t="s">
        <v>30</v>
      </c>
      <c r="M1471" s="9" t="s">
        <v>31</v>
      </c>
      <c r="N1471" s="9" t="s">
        <v>32</v>
      </c>
      <c r="O1471" s="12" t="s">
        <v>33</v>
      </c>
      <c r="P1471" s="12" t="s">
        <v>34</v>
      </c>
      <c r="Q1471" s="9"/>
      <c r="R1471" s="18"/>
      <c r="S1471" s="18"/>
      <c r="T1471" s="18"/>
      <c r="U1471" s="18"/>
      <c r="V1471" s="18"/>
      <c r="W1471" s="15"/>
      <c r="X1471" s="15"/>
    </row>
    <row r="1472">
      <c r="A1472" s="7">
        <v>1471.0</v>
      </c>
      <c r="B1472" s="8" t="s">
        <v>6371</v>
      </c>
      <c r="C1472" s="9" t="s">
        <v>6372</v>
      </c>
      <c r="D1472" s="10" t="str">
        <f>HYPERLINK("https://facebook.com/367089020688300_450814225649112", "367089020688300_450814225649112")</f>
        <v>367089020688300_450814225649112</v>
      </c>
      <c r="E1472" s="11">
        <v>741.0</v>
      </c>
      <c r="F1472" s="11">
        <v>6.0</v>
      </c>
      <c r="G1472" s="11">
        <v>150.0</v>
      </c>
      <c r="H1472" s="9" t="s">
        <v>26</v>
      </c>
      <c r="I1472" s="9" t="s">
        <v>6373</v>
      </c>
      <c r="J1472" s="16" t="s">
        <v>6374</v>
      </c>
      <c r="K1472" s="9"/>
      <c r="L1472" s="9" t="s">
        <v>30</v>
      </c>
      <c r="M1472" s="9" t="s">
        <v>31</v>
      </c>
      <c r="N1472" s="9" t="s">
        <v>32</v>
      </c>
      <c r="O1472" s="12" t="s">
        <v>33</v>
      </c>
      <c r="P1472" s="12" t="s">
        <v>34</v>
      </c>
      <c r="Q1472" s="9"/>
      <c r="R1472" s="18"/>
      <c r="S1472" s="18"/>
      <c r="T1472" s="18"/>
      <c r="U1472" s="18"/>
      <c r="V1472" s="18"/>
      <c r="W1472" s="15"/>
      <c r="X1472" s="15"/>
    </row>
    <row r="1473">
      <c r="A1473" s="7">
        <v>1472.0</v>
      </c>
      <c r="B1473" s="8" t="s">
        <v>6375</v>
      </c>
      <c r="C1473" s="9" t="s">
        <v>6376</v>
      </c>
      <c r="D1473" s="10" t="str">
        <f>HYPERLINK("https://facebook.com/367089020688300_560215778042289", "367089020688300_560215778042289")</f>
        <v>367089020688300_560215778042289</v>
      </c>
      <c r="E1473" s="11">
        <v>279.0</v>
      </c>
      <c r="F1473" s="11">
        <v>3.0</v>
      </c>
      <c r="G1473" s="11">
        <v>127.0</v>
      </c>
      <c r="H1473" s="9" t="s">
        <v>26</v>
      </c>
      <c r="I1473" s="9" t="s">
        <v>6377</v>
      </c>
      <c r="J1473" s="9" t="s">
        <v>6378</v>
      </c>
      <c r="K1473" s="9" t="s">
        <v>3147</v>
      </c>
      <c r="L1473" s="9" t="s">
        <v>30</v>
      </c>
      <c r="M1473" s="9" t="s">
        <v>31</v>
      </c>
      <c r="N1473" s="9" t="s">
        <v>32</v>
      </c>
      <c r="O1473" s="12" t="s">
        <v>33</v>
      </c>
      <c r="P1473" s="12" t="s">
        <v>34</v>
      </c>
      <c r="Q1473" s="9"/>
      <c r="R1473" s="18"/>
      <c r="S1473" s="18"/>
      <c r="T1473" s="18"/>
      <c r="U1473" s="18"/>
      <c r="V1473" s="18"/>
      <c r="W1473" s="15"/>
      <c r="X1473" s="15"/>
    </row>
    <row r="1474">
      <c r="A1474" s="7">
        <v>1473.0</v>
      </c>
      <c r="B1474" s="8" t="s">
        <v>6379</v>
      </c>
      <c r="C1474" s="9" t="s">
        <v>6380</v>
      </c>
      <c r="D1474" s="10" t="str">
        <f>HYPERLINK("https://facebook.com/367089020688300_541570389906828", "367089020688300_541570389906828")</f>
        <v>367089020688300_541570389906828</v>
      </c>
      <c r="E1474" s="11">
        <v>42.0</v>
      </c>
      <c r="F1474" s="11">
        <v>0.0</v>
      </c>
      <c r="G1474" s="11">
        <v>11.0</v>
      </c>
      <c r="H1474" s="9" t="s">
        <v>26</v>
      </c>
      <c r="I1474" s="9" t="s">
        <v>2091</v>
      </c>
      <c r="J1474" s="9" t="s">
        <v>2092</v>
      </c>
      <c r="K1474" s="9" t="s">
        <v>6381</v>
      </c>
      <c r="L1474" s="9" t="s">
        <v>30</v>
      </c>
      <c r="M1474" s="9" t="s">
        <v>31</v>
      </c>
      <c r="N1474" s="9" t="s">
        <v>32</v>
      </c>
      <c r="O1474" s="12" t="s">
        <v>33</v>
      </c>
      <c r="P1474" s="12" t="s">
        <v>34</v>
      </c>
      <c r="Q1474" s="9"/>
      <c r="R1474" s="18"/>
      <c r="S1474" s="18"/>
      <c r="T1474" s="18"/>
      <c r="U1474" s="18"/>
      <c r="V1474" s="18"/>
      <c r="W1474" s="15"/>
      <c r="X1474" s="15"/>
    </row>
    <row r="1475">
      <c r="A1475" s="7">
        <v>1474.0</v>
      </c>
      <c r="B1475" s="8" t="s">
        <v>6382</v>
      </c>
      <c r="C1475" s="9" t="s">
        <v>6383</v>
      </c>
      <c r="D1475" s="10" t="str">
        <f>HYPERLINK("https://facebook.com/367089020688300_519808152083052", "367089020688300_519808152083052")</f>
        <v>367089020688300_519808152083052</v>
      </c>
      <c r="E1475" s="11">
        <v>323.0</v>
      </c>
      <c r="F1475" s="11">
        <v>16.0</v>
      </c>
      <c r="G1475" s="11">
        <v>281.0</v>
      </c>
      <c r="H1475" s="9" t="s">
        <v>26</v>
      </c>
      <c r="I1475" s="9" t="s">
        <v>6384</v>
      </c>
      <c r="J1475" s="16" t="s">
        <v>6385</v>
      </c>
      <c r="K1475" s="9"/>
      <c r="L1475" s="9" t="s">
        <v>30</v>
      </c>
      <c r="M1475" s="9" t="s">
        <v>31</v>
      </c>
      <c r="N1475" s="9" t="s">
        <v>32</v>
      </c>
      <c r="O1475" s="12" t="s">
        <v>33</v>
      </c>
      <c r="P1475" s="12" t="s">
        <v>34</v>
      </c>
      <c r="Q1475" s="9"/>
      <c r="R1475" s="18"/>
      <c r="S1475" s="18"/>
      <c r="T1475" s="18"/>
      <c r="U1475" s="18"/>
      <c r="V1475" s="18"/>
      <c r="W1475" s="15"/>
      <c r="X1475" s="15"/>
    </row>
    <row r="1476">
      <c r="A1476" s="7">
        <v>1475.0</v>
      </c>
      <c r="B1476" s="8" t="s">
        <v>6386</v>
      </c>
      <c r="C1476" s="9" t="s">
        <v>6387</v>
      </c>
      <c r="D1476" s="10" t="str">
        <f>HYPERLINK("https://facebook.com/367089020688300_507893006607900", "367089020688300_507893006607900")</f>
        <v>367089020688300_507893006607900</v>
      </c>
      <c r="E1476" s="11">
        <v>47.0</v>
      </c>
      <c r="F1476" s="11">
        <v>0.0</v>
      </c>
      <c r="G1476" s="11">
        <v>23.0</v>
      </c>
      <c r="H1476" s="9" t="s">
        <v>26</v>
      </c>
      <c r="I1476" s="9" t="s">
        <v>6388</v>
      </c>
      <c r="J1476" s="9" t="s">
        <v>6389</v>
      </c>
      <c r="K1476" s="9" t="s">
        <v>3984</v>
      </c>
      <c r="L1476" s="9" t="s">
        <v>30</v>
      </c>
      <c r="M1476" s="9" t="s">
        <v>31</v>
      </c>
      <c r="N1476" s="9" t="s">
        <v>32</v>
      </c>
      <c r="O1476" s="12" t="s">
        <v>33</v>
      </c>
      <c r="P1476" s="12" t="s">
        <v>34</v>
      </c>
      <c r="Q1476" s="9"/>
      <c r="R1476" s="18"/>
      <c r="S1476" s="18"/>
      <c r="T1476" s="18"/>
      <c r="U1476" s="18"/>
      <c r="V1476" s="18"/>
      <c r="W1476" s="15"/>
      <c r="X1476" s="15"/>
    </row>
    <row r="1477">
      <c r="A1477" s="7">
        <v>1476.0</v>
      </c>
      <c r="B1477" s="8" t="s">
        <v>6390</v>
      </c>
      <c r="C1477" s="9" t="s">
        <v>6391</v>
      </c>
      <c r="D1477" s="10" t="str">
        <f>HYPERLINK("https://facebook.com/367089020688300_506661020064432", "367089020688300_506661020064432")</f>
        <v>367089020688300_506661020064432</v>
      </c>
      <c r="E1477" s="11">
        <v>207.0</v>
      </c>
      <c r="F1477" s="11">
        <v>9.0</v>
      </c>
      <c r="G1477" s="11">
        <v>194.0</v>
      </c>
      <c r="H1477" s="9" t="s">
        <v>26</v>
      </c>
      <c r="I1477" s="9" t="s">
        <v>6392</v>
      </c>
      <c r="J1477" s="9" t="s">
        <v>6393</v>
      </c>
      <c r="K1477" s="9" t="s">
        <v>6394</v>
      </c>
      <c r="L1477" s="9" t="s">
        <v>30</v>
      </c>
      <c r="M1477" s="9" t="s">
        <v>31</v>
      </c>
      <c r="N1477" s="9" t="s">
        <v>32</v>
      </c>
      <c r="O1477" s="12" t="s">
        <v>33</v>
      </c>
      <c r="P1477" s="12" t="s">
        <v>34</v>
      </c>
      <c r="Q1477" s="9"/>
      <c r="R1477" s="18"/>
      <c r="S1477" s="18"/>
      <c r="T1477" s="18"/>
      <c r="U1477" s="18"/>
      <c r="V1477" s="18"/>
      <c r="W1477" s="15"/>
      <c r="X1477" s="15"/>
    </row>
    <row r="1478">
      <c r="A1478" s="7">
        <v>1477.0</v>
      </c>
      <c r="B1478" s="8" t="s">
        <v>6395</v>
      </c>
      <c r="C1478" s="9" t="s">
        <v>6396</v>
      </c>
      <c r="D1478" s="10" t="str">
        <f>HYPERLINK("https://facebook.com/367089020688300_507796483284219", "367089020688300_507796483284219")</f>
        <v>367089020688300_507796483284219</v>
      </c>
      <c r="E1478" s="11">
        <v>109.0</v>
      </c>
      <c r="F1478" s="11">
        <v>0.0</v>
      </c>
      <c r="G1478" s="11">
        <v>91.0</v>
      </c>
      <c r="H1478" s="9" t="s">
        <v>26</v>
      </c>
      <c r="I1478" s="9" t="s">
        <v>6397</v>
      </c>
      <c r="J1478" s="9" t="s">
        <v>6398</v>
      </c>
      <c r="K1478" s="9" t="s">
        <v>6399</v>
      </c>
      <c r="L1478" s="9" t="s">
        <v>30</v>
      </c>
      <c r="M1478" s="9" t="s">
        <v>31</v>
      </c>
      <c r="N1478" s="9" t="s">
        <v>32</v>
      </c>
      <c r="O1478" s="12" t="s">
        <v>33</v>
      </c>
      <c r="P1478" s="12" t="s">
        <v>34</v>
      </c>
      <c r="Q1478" s="9"/>
      <c r="R1478" s="18"/>
      <c r="S1478" s="18"/>
      <c r="T1478" s="18"/>
      <c r="U1478" s="18"/>
      <c r="V1478" s="18"/>
      <c r="W1478" s="15"/>
      <c r="X1478" s="15"/>
    </row>
    <row r="1479">
      <c r="A1479" s="7">
        <v>1478.0</v>
      </c>
      <c r="B1479" s="8" t="s">
        <v>6400</v>
      </c>
      <c r="C1479" s="9" t="s">
        <v>6401</v>
      </c>
      <c r="D1479" s="10" t="str">
        <f>HYPERLINK("https://facebook.com/367089020688300_522358198494714", "367089020688300_522358198494714")</f>
        <v>367089020688300_522358198494714</v>
      </c>
      <c r="E1479" s="11">
        <v>166.0</v>
      </c>
      <c r="F1479" s="11">
        <v>2.0</v>
      </c>
      <c r="G1479" s="11">
        <v>54.0</v>
      </c>
      <c r="H1479" s="9" t="s">
        <v>26</v>
      </c>
      <c r="I1479" s="9" t="s">
        <v>6402</v>
      </c>
      <c r="J1479" s="16" t="s">
        <v>6403</v>
      </c>
      <c r="K1479" s="9"/>
      <c r="L1479" s="9" t="s">
        <v>30</v>
      </c>
      <c r="M1479" s="9" t="s">
        <v>31</v>
      </c>
      <c r="N1479" s="9" t="s">
        <v>32</v>
      </c>
      <c r="O1479" s="12" t="s">
        <v>33</v>
      </c>
      <c r="P1479" s="12" t="s">
        <v>34</v>
      </c>
      <c r="Q1479" s="9"/>
      <c r="R1479" s="18"/>
      <c r="S1479" s="18"/>
      <c r="T1479" s="18"/>
      <c r="U1479" s="18"/>
      <c r="V1479" s="18"/>
      <c r="W1479" s="15"/>
      <c r="X1479" s="15"/>
    </row>
    <row r="1480">
      <c r="A1480" s="7">
        <v>1479.0</v>
      </c>
      <c r="B1480" s="8" t="s">
        <v>6404</v>
      </c>
      <c r="C1480" s="9" t="s">
        <v>6405</v>
      </c>
      <c r="D1480" s="10" t="str">
        <f>HYPERLINK("https://facebook.com/367089020688300_505303406866860", "367089020688300_505303406866860")</f>
        <v>367089020688300_505303406866860</v>
      </c>
      <c r="E1480" s="11">
        <v>20.0</v>
      </c>
      <c r="F1480" s="11">
        <v>1.0</v>
      </c>
      <c r="G1480" s="11">
        <v>34.0</v>
      </c>
      <c r="H1480" s="9" t="s">
        <v>26</v>
      </c>
      <c r="I1480" s="9" t="s">
        <v>6406</v>
      </c>
      <c r="J1480" s="9" t="s">
        <v>6407</v>
      </c>
      <c r="K1480" s="9" t="s">
        <v>6408</v>
      </c>
      <c r="L1480" s="9" t="s">
        <v>30</v>
      </c>
      <c r="M1480" s="9" t="s">
        <v>31</v>
      </c>
      <c r="N1480" s="9" t="s">
        <v>32</v>
      </c>
      <c r="O1480" s="12" t="s">
        <v>33</v>
      </c>
      <c r="P1480" s="12" t="s">
        <v>34</v>
      </c>
      <c r="Q1480" s="9"/>
      <c r="R1480" s="18"/>
      <c r="S1480" s="18"/>
      <c r="T1480" s="18"/>
      <c r="U1480" s="18"/>
      <c r="V1480" s="18"/>
      <c r="W1480" s="15"/>
      <c r="X1480" s="15"/>
    </row>
    <row r="1481">
      <c r="A1481" s="7">
        <v>1480.0</v>
      </c>
      <c r="B1481" s="8" t="s">
        <v>6409</v>
      </c>
      <c r="C1481" s="9" t="s">
        <v>6410</v>
      </c>
      <c r="D1481" s="10" t="str">
        <f>HYPERLINK("https://facebook.com/367089020688300_432981064099095", "367089020688300_432981064099095")</f>
        <v>367089020688300_432981064099095</v>
      </c>
      <c r="E1481" s="11">
        <v>456.0</v>
      </c>
      <c r="F1481" s="11">
        <v>8.0</v>
      </c>
      <c r="G1481" s="11">
        <v>158.0</v>
      </c>
      <c r="H1481" s="9" t="s">
        <v>26</v>
      </c>
      <c r="I1481" s="9" t="s">
        <v>6411</v>
      </c>
      <c r="J1481" s="9" t="s">
        <v>6412</v>
      </c>
      <c r="K1481" s="9" t="s">
        <v>219</v>
      </c>
      <c r="L1481" s="9" t="s">
        <v>30</v>
      </c>
      <c r="M1481" s="9" t="s">
        <v>31</v>
      </c>
      <c r="N1481" s="9" t="s">
        <v>32</v>
      </c>
      <c r="O1481" s="12" t="s">
        <v>33</v>
      </c>
      <c r="P1481" s="12" t="s">
        <v>34</v>
      </c>
      <c r="Q1481" s="9"/>
      <c r="R1481" s="18"/>
      <c r="S1481" s="18"/>
      <c r="T1481" s="18"/>
      <c r="U1481" s="18"/>
      <c r="V1481" s="18"/>
      <c r="W1481" s="15"/>
      <c r="X1481" s="15"/>
    </row>
    <row r="1482">
      <c r="A1482" s="7">
        <v>1481.0</v>
      </c>
      <c r="B1482" s="8" t="s">
        <v>6413</v>
      </c>
      <c r="C1482" s="9" t="s">
        <v>6414</v>
      </c>
      <c r="D1482" s="10" t="str">
        <f>HYPERLINK("https://facebook.com/367089020688300_491883718208829", "367089020688300_491883718208829")</f>
        <v>367089020688300_491883718208829</v>
      </c>
      <c r="E1482" s="11">
        <v>189.0</v>
      </c>
      <c r="F1482" s="11">
        <v>6.0</v>
      </c>
      <c r="G1482" s="11">
        <v>279.0</v>
      </c>
      <c r="H1482" s="9" t="s">
        <v>26</v>
      </c>
      <c r="I1482" s="9" t="s">
        <v>6415</v>
      </c>
      <c r="J1482" s="9" t="s">
        <v>6416</v>
      </c>
      <c r="K1482" s="9" t="s">
        <v>6417</v>
      </c>
      <c r="L1482" s="9" t="s">
        <v>30</v>
      </c>
      <c r="M1482" s="9" t="s">
        <v>31</v>
      </c>
      <c r="N1482" s="9" t="s">
        <v>32</v>
      </c>
      <c r="O1482" s="12" t="s">
        <v>33</v>
      </c>
      <c r="P1482" s="12" t="s">
        <v>34</v>
      </c>
      <c r="Q1482" s="9"/>
      <c r="R1482" s="18"/>
      <c r="S1482" s="18"/>
      <c r="T1482" s="18"/>
      <c r="U1482" s="18"/>
      <c r="V1482" s="18"/>
      <c r="W1482" s="15"/>
      <c r="X1482" s="15"/>
    </row>
    <row r="1483">
      <c r="A1483" s="7">
        <v>1482.0</v>
      </c>
      <c r="B1483" s="21" t="s">
        <v>6418</v>
      </c>
      <c r="C1483" s="21" t="s">
        <v>6419</v>
      </c>
      <c r="D1483" s="22" t="str">
        <f>HYPERLINK("https://facebook.com/367089020688300_531017550962112", "367089020688300_531017550962112")</f>
        <v>367089020688300_531017550962112</v>
      </c>
      <c r="E1483" s="23">
        <v>78.0</v>
      </c>
      <c r="F1483" s="23">
        <v>2.0</v>
      </c>
      <c r="G1483" s="23">
        <v>84.0</v>
      </c>
      <c r="H1483" s="21" t="s">
        <v>26</v>
      </c>
      <c r="I1483" s="21" t="s">
        <v>6420</v>
      </c>
      <c r="J1483" s="21" t="s">
        <v>6421</v>
      </c>
      <c r="K1483" s="21" t="s">
        <v>6422</v>
      </c>
      <c r="L1483" s="21" t="s">
        <v>30</v>
      </c>
      <c r="M1483" s="21" t="s">
        <v>31</v>
      </c>
      <c r="N1483" s="21" t="s">
        <v>32</v>
      </c>
      <c r="O1483" s="21" t="s">
        <v>33</v>
      </c>
      <c r="P1483" s="12" t="s">
        <v>34</v>
      </c>
      <c r="Q1483" s="21"/>
      <c r="R1483" s="24"/>
      <c r="S1483" s="24"/>
      <c r="T1483" s="24"/>
      <c r="U1483" s="24"/>
      <c r="V1483" s="24"/>
      <c r="W1483" s="13" t="s">
        <v>6348</v>
      </c>
      <c r="X1483" s="24"/>
    </row>
    <row r="1484">
      <c r="A1484" s="7">
        <v>1483.0</v>
      </c>
      <c r="B1484" s="8" t="s">
        <v>6423</v>
      </c>
      <c r="C1484" s="9" t="s">
        <v>6424</v>
      </c>
      <c r="D1484" s="10" t="str">
        <f>HYPERLINK("https://facebook.com/367089020688300_447381692659032", "367089020688300_447381692659032")</f>
        <v>367089020688300_447381692659032</v>
      </c>
      <c r="E1484" s="11">
        <v>875.0</v>
      </c>
      <c r="F1484" s="11">
        <v>24.0</v>
      </c>
      <c r="G1484" s="11">
        <v>783.0</v>
      </c>
      <c r="H1484" s="9" t="s">
        <v>26</v>
      </c>
      <c r="I1484" s="9" t="s">
        <v>5616</v>
      </c>
      <c r="J1484" s="9" t="s">
        <v>5617</v>
      </c>
      <c r="K1484" s="9" t="s">
        <v>6425</v>
      </c>
      <c r="L1484" s="9" t="s">
        <v>30</v>
      </c>
      <c r="M1484" s="9" t="s">
        <v>31</v>
      </c>
      <c r="N1484" s="9" t="s">
        <v>32</v>
      </c>
      <c r="O1484" s="12" t="s">
        <v>33</v>
      </c>
      <c r="P1484" s="12" t="s">
        <v>34</v>
      </c>
      <c r="Q1484" s="9"/>
      <c r="R1484" s="18"/>
      <c r="S1484" s="18"/>
      <c r="T1484" s="18"/>
      <c r="U1484" s="18"/>
      <c r="V1484" s="18"/>
      <c r="W1484" s="15"/>
      <c r="X1484" s="15"/>
    </row>
    <row r="1485">
      <c r="A1485" s="7">
        <v>1484.0</v>
      </c>
      <c r="B1485" s="8" t="s">
        <v>6426</v>
      </c>
      <c r="C1485" s="9" t="s">
        <v>6427</v>
      </c>
      <c r="D1485" s="10" t="str">
        <f>HYPERLINK("https://facebook.com/367089020688300_541820679881799", "367089020688300_541820679881799")</f>
        <v>367089020688300_541820679881799</v>
      </c>
      <c r="E1485" s="11">
        <v>22.0</v>
      </c>
      <c r="F1485" s="11">
        <v>0.0</v>
      </c>
      <c r="G1485" s="11">
        <v>55.0</v>
      </c>
      <c r="H1485" s="9" t="s">
        <v>26</v>
      </c>
      <c r="I1485" s="9" t="s">
        <v>2577</v>
      </c>
      <c r="J1485" s="9" t="s">
        <v>6428</v>
      </c>
      <c r="K1485" s="9" t="s">
        <v>6429</v>
      </c>
      <c r="L1485" s="9" t="s">
        <v>30</v>
      </c>
      <c r="M1485" s="9" t="s">
        <v>31</v>
      </c>
      <c r="N1485" s="9" t="s">
        <v>32</v>
      </c>
      <c r="O1485" s="12" t="s">
        <v>33</v>
      </c>
      <c r="P1485" s="12" t="s">
        <v>34</v>
      </c>
      <c r="Q1485" s="9"/>
      <c r="R1485" s="18"/>
      <c r="S1485" s="18"/>
      <c r="T1485" s="18"/>
      <c r="U1485" s="18"/>
      <c r="V1485" s="18"/>
      <c r="W1485" s="15"/>
      <c r="X1485" s="15"/>
    </row>
    <row r="1486">
      <c r="A1486" s="7">
        <v>1485.0</v>
      </c>
      <c r="B1486" s="8" t="s">
        <v>6430</v>
      </c>
      <c r="C1486" s="9" t="s">
        <v>6431</v>
      </c>
      <c r="D1486" s="10" t="str">
        <f>HYPERLINK("https://facebook.com/367089020688300_512892916107909", "367089020688300_512892916107909")</f>
        <v>367089020688300_512892916107909</v>
      </c>
      <c r="E1486" s="11">
        <v>19.0</v>
      </c>
      <c r="F1486" s="11">
        <v>0.0</v>
      </c>
      <c r="G1486" s="11">
        <v>85.0</v>
      </c>
      <c r="H1486" s="9" t="s">
        <v>26</v>
      </c>
      <c r="I1486" s="9" t="s">
        <v>6432</v>
      </c>
      <c r="J1486" s="9" t="s">
        <v>6433</v>
      </c>
      <c r="K1486" s="9" t="s">
        <v>4967</v>
      </c>
      <c r="L1486" s="9" t="s">
        <v>30</v>
      </c>
      <c r="M1486" s="9" t="s">
        <v>31</v>
      </c>
      <c r="N1486" s="9" t="s">
        <v>32</v>
      </c>
      <c r="O1486" s="12" t="s">
        <v>33</v>
      </c>
      <c r="P1486" s="12" t="s">
        <v>34</v>
      </c>
      <c r="Q1486" s="9"/>
      <c r="R1486" s="18"/>
      <c r="S1486" s="18"/>
      <c r="T1486" s="18"/>
      <c r="U1486" s="18"/>
      <c r="V1486" s="18"/>
      <c r="W1486" s="15"/>
      <c r="X1486" s="15"/>
    </row>
    <row r="1487">
      <c r="A1487" s="7">
        <v>1486.0</v>
      </c>
      <c r="B1487" s="8" t="s">
        <v>6434</v>
      </c>
      <c r="C1487" s="9" t="s">
        <v>6435</v>
      </c>
      <c r="D1487" s="10" t="str">
        <f>HYPERLINK("https://facebook.com/367089020688300_533407937389740", "367089020688300_533407937389740")</f>
        <v>367089020688300_533407937389740</v>
      </c>
      <c r="E1487" s="11">
        <v>25.0</v>
      </c>
      <c r="F1487" s="11">
        <v>0.0</v>
      </c>
      <c r="G1487" s="11">
        <v>2.0</v>
      </c>
      <c r="H1487" s="9" t="s">
        <v>26</v>
      </c>
      <c r="I1487" s="9" t="s">
        <v>6436</v>
      </c>
      <c r="J1487" s="16" t="s">
        <v>6437</v>
      </c>
      <c r="K1487" s="9"/>
      <c r="L1487" s="9" t="s">
        <v>30</v>
      </c>
      <c r="M1487" s="9" t="s">
        <v>31</v>
      </c>
      <c r="N1487" s="9" t="s">
        <v>32</v>
      </c>
      <c r="O1487" s="12" t="s">
        <v>33</v>
      </c>
      <c r="P1487" s="12" t="s">
        <v>34</v>
      </c>
      <c r="Q1487" s="9"/>
      <c r="R1487" s="18"/>
      <c r="S1487" s="18"/>
      <c r="T1487" s="18"/>
      <c r="U1487" s="18"/>
      <c r="V1487" s="18"/>
      <c r="W1487" s="15"/>
      <c r="X1487" s="15"/>
    </row>
    <row r="1488">
      <c r="A1488" s="7">
        <v>1487.0</v>
      </c>
      <c r="B1488" s="8" t="s">
        <v>6438</v>
      </c>
      <c r="C1488" s="9" t="s">
        <v>6439</v>
      </c>
      <c r="D1488" s="10" t="str">
        <f>HYPERLINK("https://facebook.com/367089020688300_559715111425689", "367089020688300_559715111425689")</f>
        <v>367089020688300_559715111425689</v>
      </c>
      <c r="E1488" s="11">
        <v>10.0</v>
      </c>
      <c r="F1488" s="11">
        <v>0.0</v>
      </c>
      <c r="G1488" s="11">
        <v>4.0</v>
      </c>
      <c r="H1488" s="9" t="s">
        <v>26</v>
      </c>
      <c r="I1488" s="9" t="s">
        <v>6440</v>
      </c>
      <c r="J1488" s="9" t="s">
        <v>6441</v>
      </c>
      <c r="K1488" s="9" t="s">
        <v>6442</v>
      </c>
      <c r="L1488" s="9" t="s">
        <v>30</v>
      </c>
      <c r="M1488" s="9" t="s">
        <v>31</v>
      </c>
      <c r="N1488" s="9" t="s">
        <v>32</v>
      </c>
      <c r="O1488" s="12" t="s">
        <v>33</v>
      </c>
      <c r="P1488" s="12" t="s">
        <v>34</v>
      </c>
      <c r="Q1488" s="9"/>
      <c r="R1488" s="18"/>
      <c r="S1488" s="18"/>
      <c r="T1488" s="18"/>
      <c r="U1488" s="18"/>
      <c r="V1488" s="18"/>
      <c r="W1488" s="15"/>
      <c r="X1488" s="15"/>
    </row>
    <row r="1489">
      <c r="A1489" s="7">
        <v>1488.0</v>
      </c>
      <c r="B1489" s="8" t="s">
        <v>6443</v>
      </c>
      <c r="C1489" s="9" t="s">
        <v>6444</v>
      </c>
      <c r="D1489" s="10" t="str">
        <f>HYPERLINK("https://facebook.com/367089020688300_537332843663916", "367089020688300_537332843663916")</f>
        <v>367089020688300_537332843663916</v>
      </c>
      <c r="E1489" s="11">
        <v>9.0</v>
      </c>
      <c r="F1489" s="11">
        <v>0.0</v>
      </c>
      <c r="G1489" s="11">
        <v>21.0</v>
      </c>
      <c r="H1489" s="9" t="s">
        <v>26</v>
      </c>
      <c r="I1489" s="9" t="s">
        <v>6445</v>
      </c>
      <c r="J1489" s="16" t="s">
        <v>6446</v>
      </c>
      <c r="K1489" s="9"/>
      <c r="L1489" s="9" t="s">
        <v>30</v>
      </c>
      <c r="M1489" s="9" t="s">
        <v>31</v>
      </c>
      <c r="N1489" s="9" t="s">
        <v>32</v>
      </c>
      <c r="O1489" s="12" t="s">
        <v>33</v>
      </c>
      <c r="P1489" s="12" t="s">
        <v>34</v>
      </c>
      <c r="Q1489" s="9"/>
      <c r="R1489" s="18"/>
      <c r="S1489" s="18"/>
      <c r="T1489" s="18"/>
      <c r="U1489" s="18"/>
      <c r="V1489" s="18"/>
      <c r="W1489" s="15"/>
      <c r="X1489" s="15"/>
    </row>
    <row r="1490">
      <c r="A1490" s="7">
        <v>1489.0</v>
      </c>
      <c r="B1490" s="8" t="s">
        <v>6447</v>
      </c>
      <c r="C1490" s="9" t="s">
        <v>6448</v>
      </c>
      <c r="D1490" s="10" t="str">
        <f>HYPERLINK("https://facebook.com/367089020688300_506939113369956", "367089020688300_506939113369956")</f>
        <v>367089020688300_506939113369956</v>
      </c>
      <c r="E1490" s="11">
        <v>829.0</v>
      </c>
      <c r="F1490" s="11">
        <v>65.0</v>
      </c>
      <c r="G1490" s="11">
        <v>1158.0</v>
      </c>
      <c r="H1490" s="9" t="s">
        <v>26</v>
      </c>
      <c r="I1490" s="9" t="s">
        <v>2344</v>
      </c>
      <c r="J1490" s="9" t="s">
        <v>6449</v>
      </c>
      <c r="K1490" s="9" t="s">
        <v>2880</v>
      </c>
      <c r="L1490" s="9" t="s">
        <v>30</v>
      </c>
      <c r="M1490" s="9" t="s">
        <v>31</v>
      </c>
      <c r="N1490" s="9" t="s">
        <v>32</v>
      </c>
      <c r="O1490" s="12" t="s">
        <v>33</v>
      </c>
      <c r="P1490" s="12" t="s">
        <v>34</v>
      </c>
      <c r="Q1490" s="9"/>
      <c r="R1490" s="18"/>
      <c r="S1490" s="18"/>
      <c r="T1490" s="18"/>
      <c r="U1490" s="18"/>
      <c r="V1490" s="18"/>
      <c r="W1490" s="15"/>
      <c r="X1490" s="15"/>
    </row>
    <row r="1491">
      <c r="A1491" s="7">
        <v>1490.0</v>
      </c>
      <c r="B1491" s="8" t="s">
        <v>6450</v>
      </c>
      <c r="C1491" s="9" t="s">
        <v>6451</v>
      </c>
      <c r="D1491" s="10" t="str">
        <f>HYPERLINK("https://facebook.com/367089020688300_475757996488068", "367089020688300_475757996488068")</f>
        <v>367089020688300_475757996488068</v>
      </c>
      <c r="E1491" s="11">
        <v>245.0</v>
      </c>
      <c r="F1491" s="11">
        <v>3.0</v>
      </c>
      <c r="G1491" s="11">
        <v>287.0</v>
      </c>
      <c r="H1491" s="9" t="s">
        <v>26</v>
      </c>
      <c r="I1491" s="9" t="s">
        <v>1394</v>
      </c>
      <c r="J1491" s="9" t="s">
        <v>6452</v>
      </c>
      <c r="K1491" s="9" t="s">
        <v>6453</v>
      </c>
      <c r="L1491" s="9" t="s">
        <v>30</v>
      </c>
      <c r="M1491" s="9" t="s">
        <v>31</v>
      </c>
      <c r="N1491" s="9" t="s">
        <v>32</v>
      </c>
      <c r="O1491" s="12" t="s">
        <v>33</v>
      </c>
      <c r="P1491" s="12" t="s">
        <v>34</v>
      </c>
      <c r="Q1491" s="9"/>
      <c r="R1491" s="18"/>
      <c r="S1491" s="18"/>
      <c r="T1491" s="18"/>
      <c r="U1491" s="18"/>
      <c r="V1491" s="18"/>
      <c r="W1491" s="15"/>
      <c r="X1491" s="15"/>
    </row>
    <row r="1492">
      <c r="A1492" s="7">
        <v>1491.0</v>
      </c>
      <c r="B1492" s="8" t="s">
        <v>6454</v>
      </c>
      <c r="C1492" s="9" t="s">
        <v>6455</v>
      </c>
      <c r="D1492" s="10" t="str">
        <f>HYPERLINK("https://facebook.com/367089020688300_542502893146911", "367089020688300_542502893146911")</f>
        <v>367089020688300_542502893146911</v>
      </c>
      <c r="E1492" s="11">
        <v>7.0</v>
      </c>
      <c r="F1492" s="11">
        <v>0.0</v>
      </c>
      <c r="G1492" s="11">
        <v>12.0</v>
      </c>
      <c r="H1492" s="9" t="s">
        <v>26</v>
      </c>
      <c r="I1492" s="9" t="s">
        <v>6456</v>
      </c>
      <c r="J1492" s="16" t="s">
        <v>6457</v>
      </c>
      <c r="K1492" s="9"/>
      <c r="L1492" s="9" t="s">
        <v>30</v>
      </c>
      <c r="M1492" s="9" t="s">
        <v>31</v>
      </c>
      <c r="N1492" s="9" t="s">
        <v>32</v>
      </c>
      <c r="O1492" s="12" t="s">
        <v>33</v>
      </c>
      <c r="P1492" s="12" t="s">
        <v>34</v>
      </c>
      <c r="Q1492" s="9"/>
      <c r="R1492" s="18"/>
      <c r="S1492" s="18"/>
      <c r="T1492" s="18"/>
      <c r="U1492" s="18"/>
      <c r="V1492" s="18"/>
      <c r="W1492" s="15"/>
      <c r="X1492" s="15"/>
    </row>
    <row r="1493">
      <c r="A1493" s="7">
        <v>1492.0</v>
      </c>
      <c r="B1493" s="8" t="s">
        <v>6458</v>
      </c>
      <c r="C1493" s="9" t="s">
        <v>6459</v>
      </c>
      <c r="D1493" s="10" t="str">
        <f>HYPERLINK("https://facebook.com/367089020688300_447248106005724", "367089020688300_447248106005724")</f>
        <v>367089020688300_447248106005724</v>
      </c>
      <c r="E1493" s="11">
        <v>103.0</v>
      </c>
      <c r="F1493" s="11">
        <v>3.0</v>
      </c>
      <c r="G1493" s="11">
        <v>163.0</v>
      </c>
      <c r="H1493" s="9" t="s">
        <v>26</v>
      </c>
      <c r="I1493" s="9" t="s">
        <v>6460</v>
      </c>
      <c r="J1493" s="9" t="s">
        <v>6461</v>
      </c>
      <c r="K1493" s="9" t="s">
        <v>663</v>
      </c>
      <c r="L1493" s="9" t="s">
        <v>30</v>
      </c>
      <c r="M1493" s="9" t="s">
        <v>31</v>
      </c>
      <c r="N1493" s="9" t="s">
        <v>32</v>
      </c>
      <c r="O1493" s="12" t="s">
        <v>33</v>
      </c>
      <c r="P1493" s="12" t="s">
        <v>34</v>
      </c>
      <c r="Q1493" s="9"/>
      <c r="R1493" s="18"/>
      <c r="S1493" s="18"/>
      <c r="T1493" s="18"/>
      <c r="U1493" s="18"/>
      <c r="V1493" s="18"/>
      <c r="W1493" s="15"/>
      <c r="X1493" s="15"/>
    </row>
    <row r="1494">
      <c r="A1494" s="7">
        <v>1493.0</v>
      </c>
      <c r="B1494" s="8" t="s">
        <v>6462</v>
      </c>
      <c r="C1494" s="9" t="s">
        <v>6463</v>
      </c>
      <c r="D1494" s="10" t="str">
        <f>HYPERLINK("https://facebook.com/367089020688300_490072881723246", "367089020688300_490072881723246")</f>
        <v>367089020688300_490072881723246</v>
      </c>
      <c r="E1494" s="11">
        <v>296.0</v>
      </c>
      <c r="F1494" s="11">
        <v>10.0</v>
      </c>
      <c r="G1494" s="11">
        <v>214.0</v>
      </c>
      <c r="H1494" s="9" t="s">
        <v>26</v>
      </c>
      <c r="I1494" s="9" t="s">
        <v>945</v>
      </c>
      <c r="J1494" s="9" t="s">
        <v>946</v>
      </c>
      <c r="K1494" s="9" t="s">
        <v>6464</v>
      </c>
      <c r="L1494" s="9" t="s">
        <v>30</v>
      </c>
      <c r="M1494" s="9" t="s">
        <v>31</v>
      </c>
      <c r="N1494" s="9" t="s">
        <v>32</v>
      </c>
      <c r="O1494" s="12" t="s">
        <v>33</v>
      </c>
      <c r="P1494" s="12" t="s">
        <v>34</v>
      </c>
      <c r="Q1494" s="9"/>
      <c r="R1494" s="18"/>
      <c r="S1494" s="18"/>
      <c r="T1494" s="18"/>
      <c r="U1494" s="18"/>
      <c r="V1494" s="18"/>
      <c r="W1494" s="15"/>
      <c r="X1494" s="15"/>
    </row>
    <row r="1495">
      <c r="A1495" s="7">
        <v>1494.0</v>
      </c>
      <c r="B1495" s="8" t="s">
        <v>6465</v>
      </c>
      <c r="C1495" s="9" t="s">
        <v>6466</v>
      </c>
      <c r="D1495" s="10" t="str">
        <f>HYPERLINK("https://facebook.com/367089020688300_512619756135225", "367089020688300_512619756135225")</f>
        <v>367089020688300_512619756135225</v>
      </c>
      <c r="E1495" s="11">
        <v>421.0</v>
      </c>
      <c r="F1495" s="11">
        <v>2.0</v>
      </c>
      <c r="G1495" s="11">
        <v>252.0</v>
      </c>
      <c r="H1495" s="9" t="s">
        <v>26</v>
      </c>
      <c r="I1495" s="9" t="s">
        <v>6467</v>
      </c>
      <c r="J1495" s="16" t="s">
        <v>6468</v>
      </c>
      <c r="K1495" s="9"/>
      <c r="L1495" s="9" t="s">
        <v>30</v>
      </c>
      <c r="M1495" s="9" t="s">
        <v>31</v>
      </c>
      <c r="N1495" s="9" t="s">
        <v>32</v>
      </c>
      <c r="O1495" s="12" t="s">
        <v>33</v>
      </c>
      <c r="P1495" s="12" t="s">
        <v>34</v>
      </c>
      <c r="Q1495" s="9"/>
      <c r="R1495" s="18"/>
      <c r="S1495" s="18"/>
      <c r="T1495" s="18"/>
      <c r="U1495" s="18"/>
      <c r="V1495" s="18"/>
      <c r="W1495" s="15"/>
      <c r="X1495" s="15"/>
    </row>
    <row r="1496">
      <c r="A1496" s="7">
        <v>1495.0</v>
      </c>
      <c r="B1496" s="8" t="s">
        <v>6469</v>
      </c>
      <c r="C1496" s="9" t="s">
        <v>6470</v>
      </c>
      <c r="D1496" s="10" t="str">
        <f>HYPERLINK("https://facebook.com/367089020688300_551006175629916", "367089020688300_551006175629916")</f>
        <v>367089020688300_551006175629916</v>
      </c>
      <c r="E1496" s="11">
        <v>45.0</v>
      </c>
      <c r="F1496" s="11">
        <v>2.0</v>
      </c>
      <c r="G1496" s="11">
        <v>81.0</v>
      </c>
      <c r="H1496" s="9" t="s">
        <v>26</v>
      </c>
      <c r="I1496" s="9" t="s">
        <v>6471</v>
      </c>
      <c r="J1496" s="9" t="s">
        <v>6472</v>
      </c>
      <c r="K1496" s="9" t="s">
        <v>6473</v>
      </c>
      <c r="L1496" s="9" t="s">
        <v>30</v>
      </c>
      <c r="M1496" s="9" t="s">
        <v>31</v>
      </c>
      <c r="N1496" s="9" t="s">
        <v>32</v>
      </c>
      <c r="O1496" s="12" t="s">
        <v>33</v>
      </c>
      <c r="P1496" s="12" t="s">
        <v>34</v>
      </c>
      <c r="Q1496" s="9"/>
      <c r="R1496" s="18"/>
      <c r="S1496" s="18"/>
      <c r="T1496" s="18"/>
      <c r="U1496" s="18"/>
      <c r="V1496" s="18"/>
      <c r="W1496" s="15"/>
      <c r="X1496" s="15"/>
    </row>
    <row r="1497">
      <c r="A1497" s="7">
        <v>1496.0</v>
      </c>
      <c r="B1497" s="8" t="s">
        <v>6474</v>
      </c>
      <c r="C1497" s="9" t="s">
        <v>6475</v>
      </c>
      <c r="D1497" s="10" t="str">
        <f>HYPERLINK("https://facebook.com/367089020688300_541590633238137", "367089020688300_541590633238137")</f>
        <v>367089020688300_541590633238137</v>
      </c>
      <c r="E1497" s="11">
        <v>173.0</v>
      </c>
      <c r="F1497" s="11">
        <v>2.0</v>
      </c>
      <c r="G1497" s="11">
        <v>144.0</v>
      </c>
      <c r="H1497" s="9" t="s">
        <v>26</v>
      </c>
      <c r="I1497" s="9" t="s">
        <v>6476</v>
      </c>
      <c r="J1497" s="9" t="s">
        <v>6477</v>
      </c>
      <c r="K1497" s="9" t="s">
        <v>6478</v>
      </c>
      <c r="L1497" s="9" t="s">
        <v>30</v>
      </c>
      <c r="M1497" s="9" t="s">
        <v>31</v>
      </c>
      <c r="N1497" s="9" t="s">
        <v>32</v>
      </c>
      <c r="O1497" s="12" t="s">
        <v>33</v>
      </c>
      <c r="P1497" s="12" t="s">
        <v>34</v>
      </c>
      <c r="Q1497" s="9"/>
      <c r="R1497" s="18"/>
      <c r="S1497" s="18"/>
      <c r="T1497" s="18"/>
      <c r="U1497" s="18"/>
      <c r="V1497" s="18"/>
      <c r="W1497" s="15"/>
      <c r="X1497" s="15"/>
    </row>
    <row r="1498">
      <c r="A1498" s="7">
        <v>1497.0</v>
      </c>
      <c r="B1498" s="8" t="s">
        <v>6479</v>
      </c>
      <c r="C1498" s="9" t="s">
        <v>6480</v>
      </c>
      <c r="D1498" s="10" t="str">
        <f>HYPERLINK("https://facebook.com/367089020688300_560718107992056", "367089020688300_560718107992056")</f>
        <v>367089020688300_560718107992056</v>
      </c>
      <c r="E1498" s="11">
        <v>226.0</v>
      </c>
      <c r="F1498" s="11">
        <v>2.0</v>
      </c>
      <c r="G1498" s="11">
        <v>170.0</v>
      </c>
      <c r="H1498" s="9" t="s">
        <v>26</v>
      </c>
      <c r="I1498" s="9" t="s">
        <v>6481</v>
      </c>
      <c r="J1498" s="9" t="s">
        <v>6482</v>
      </c>
      <c r="K1498" s="9" t="s">
        <v>249</v>
      </c>
      <c r="L1498" s="9" t="s">
        <v>30</v>
      </c>
      <c r="M1498" s="9" t="s">
        <v>31</v>
      </c>
      <c r="N1498" s="9" t="s">
        <v>32</v>
      </c>
      <c r="O1498" s="12" t="s">
        <v>33</v>
      </c>
      <c r="P1498" s="12" t="s">
        <v>34</v>
      </c>
      <c r="Q1498" s="9"/>
      <c r="R1498" s="18"/>
      <c r="S1498" s="18"/>
      <c r="T1498" s="18"/>
      <c r="U1498" s="18"/>
      <c r="V1498" s="18"/>
      <c r="W1498" s="15"/>
      <c r="X1498" s="15"/>
    </row>
    <row r="1499">
      <c r="A1499" s="7">
        <v>1498.0</v>
      </c>
      <c r="B1499" s="8" t="s">
        <v>6483</v>
      </c>
      <c r="C1499" s="9" t="s">
        <v>6484</v>
      </c>
      <c r="D1499" s="10" t="str">
        <f>HYPERLINK("https://facebook.com/367089020688300_555927171804483", "367089020688300_555927171804483")</f>
        <v>367089020688300_555927171804483</v>
      </c>
      <c r="E1499" s="11">
        <v>20.0</v>
      </c>
      <c r="F1499" s="11">
        <v>0.0</v>
      </c>
      <c r="G1499" s="11">
        <v>8.0</v>
      </c>
      <c r="H1499" s="9" t="s">
        <v>26</v>
      </c>
      <c r="I1499" s="9" t="s">
        <v>6485</v>
      </c>
      <c r="J1499" s="16" t="s">
        <v>6486</v>
      </c>
      <c r="K1499" s="9"/>
      <c r="L1499" s="9" t="s">
        <v>30</v>
      </c>
      <c r="M1499" s="9" t="s">
        <v>31</v>
      </c>
      <c r="N1499" s="9" t="s">
        <v>32</v>
      </c>
      <c r="O1499" s="12" t="s">
        <v>33</v>
      </c>
      <c r="P1499" s="12" t="s">
        <v>34</v>
      </c>
      <c r="Q1499" s="9"/>
      <c r="R1499" s="18"/>
      <c r="S1499" s="18"/>
      <c r="T1499" s="18"/>
      <c r="U1499" s="18"/>
      <c r="V1499" s="18"/>
      <c r="W1499" s="15"/>
      <c r="X1499" s="15"/>
    </row>
    <row r="1500">
      <c r="A1500" s="7">
        <v>1499.0</v>
      </c>
      <c r="B1500" s="8" t="s">
        <v>6487</v>
      </c>
      <c r="C1500" s="9" t="s">
        <v>6488</v>
      </c>
      <c r="D1500" s="10" t="str">
        <f>HYPERLINK("https://facebook.com/367089020688300_549646472432553", "367089020688300_549646472432553")</f>
        <v>367089020688300_549646472432553</v>
      </c>
      <c r="E1500" s="11">
        <v>29.0</v>
      </c>
      <c r="F1500" s="11">
        <v>0.0</v>
      </c>
      <c r="G1500" s="11">
        <v>45.0</v>
      </c>
      <c r="H1500" s="9" t="s">
        <v>26</v>
      </c>
      <c r="I1500" s="9" t="s">
        <v>4400</v>
      </c>
      <c r="J1500" s="9" t="s">
        <v>6489</v>
      </c>
      <c r="K1500" s="9" t="s">
        <v>6490</v>
      </c>
      <c r="L1500" s="9" t="s">
        <v>30</v>
      </c>
      <c r="M1500" s="9" t="s">
        <v>31</v>
      </c>
      <c r="N1500" s="9" t="s">
        <v>32</v>
      </c>
      <c r="O1500" s="12" t="s">
        <v>33</v>
      </c>
      <c r="P1500" s="12" t="s">
        <v>34</v>
      </c>
      <c r="Q1500" s="9"/>
      <c r="R1500" s="18"/>
      <c r="S1500" s="18"/>
      <c r="T1500" s="18"/>
      <c r="U1500" s="18"/>
      <c r="V1500" s="18"/>
      <c r="W1500" s="15"/>
      <c r="X1500" s="15"/>
    </row>
    <row r="1501">
      <c r="A1501" s="7">
        <v>1500.0</v>
      </c>
      <c r="B1501" s="8" t="s">
        <v>6491</v>
      </c>
      <c r="C1501" s="9" t="s">
        <v>6492</v>
      </c>
      <c r="D1501" s="10" t="str">
        <f>HYPERLINK("https://facebook.com/367089020688300_426829398047595", "367089020688300_426829398047595")</f>
        <v>367089020688300_426829398047595</v>
      </c>
      <c r="E1501" s="11">
        <v>1488.0</v>
      </c>
      <c r="F1501" s="11">
        <v>40.0</v>
      </c>
      <c r="G1501" s="11">
        <v>1074.0</v>
      </c>
      <c r="H1501" s="9" t="s">
        <v>26</v>
      </c>
      <c r="I1501" s="9" t="s">
        <v>6493</v>
      </c>
      <c r="J1501" s="9" t="s">
        <v>6494</v>
      </c>
      <c r="K1501" s="9" t="s">
        <v>6495</v>
      </c>
      <c r="L1501" s="9" t="s">
        <v>30</v>
      </c>
      <c r="M1501" s="9" t="s">
        <v>31</v>
      </c>
      <c r="N1501" s="9" t="s">
        <v>32</v>
      </c>
      <c r="O1501" s="12" t="s">
        <v>33</v>
      </c>
      <c r="P1501" s="12" t="s">
        <v>34</v>
      </c>
      <c r="Q1501" s="9"/>
      <c r="R1501" s="18"/>
      <c r="S1501" s="18"/>
      <c r="T1501" s="18"/>
      <c r="U1501" s="18"/>
      <c r="V1501" s="18"/>
      <c r="W1501" s="15"/>
      <c r="X1501" s="15"/>
    </row>
    <row r="1502">
      <c r="A1502" s="7">
        <v>1501.0</v>
      </c>
      <c r="B1502" s="8" t="s">
        <v>6496</v>
      </c>
      <c r="C1502" s="9" t="s">
        <v>6497</v>
      </c>
      <c r="D1502" s="10" t="str">
        <f>HYPERLINK("https://facebook.com/367089020688300_557730878290779", "367089020688300_557730878290779")</f>
        <v>367089020688300_557730878290779</v>
      </c>
      <c r="E1502" s="11">
        <v>1216.0</v>
      </c>
      <c r="F1502" s="11">
        <v>8.0</v>
      </c>
      <c r="G1502" s="11">
        <v>1309.0</v>
      </c>
      <c r="H1502" s="9" t="s">
        <v>26</v>
      </c>
      <c r="I1502" s="9" t="s">
        <v>6498</v>
      </c>
      <c r="J1502" s="9" t="s">
        <v>6499</v>
      </c>
      <c r="K1502" s="9" t="s">
        <v>6500</v>
      </c>
      <c r="L1502" s="9" t="s">
        <v>30</v>
      </c>
      <c r="M1502" s="9" t="s">
        <v>31</v>
      </c>
      <c r="N1502" s="9" t="s">
        <v>32</v>
      </c>
      <c r="O1502" s="12" t="s">
        <v>33</v>
      </c>
      <c r="P1502" s="12" t="s">
        <v>34</v>
      </c>
      <c r="Q1502" s="9"/>
      <c r="R1502" s="18"/>
      <c r="S1502" s="18"/>
      <c r="T1502" s="18"/>
      <c r="U1502" s="18"/>
      <c r="V1502" s="18"/>
      <c r="W1502" s="15"/>
      <c r="X1502" s="15"/>
    </row>
    <row r="1503">
      <c r="A1503" s="7">
        <v>1502.0</v>
      </c>
      <c r="B1503" s="8" t="s">
        <v>6501</v>
      </c>
      <c r="C1503" s="9" t="s">
        <v>6502</v>
      </c>
      <c r="D1503" s="10" t="str">
        <f>HYPERLINK("https://facebook.com/367089020688300_484198268977374", "367089020688300_484198268977374")</f>
        <v>367089020688300_484198268977374</v>
      </c>
      <c r="E1503" s="11">
        <v>2196.0</v>
      </c>
      <c r="F1503" s="11">
        <v>162.0</v>
      </c>
      <c r="G1503" s="11">
        <v>415.0</v>
      </c>
      <c r="H1503" s="9" t="s">
        <v>26</v>
      </c>
      <c r="I1503" s="9" t="s">
        <v>6503</v>
      </c>
      <c r="J1503" s="9" t="s">
        <v>6504</v>
      </c>
      <c r="K1503" s="9" t="s">
        <v>6505</v>
      </c>
      <c r="L1503" s="9" t="s">
        <v>30</v>
      </c>
      <c r="M1503" s="9" t="s">
        <v>31</v>
      </c>
      <c r="N1503" s="9" t="s">
        <v>32</v>
      </c>
      <c r="O1503" s="12" t="s">
        <v>33</v>
      </c>
      <c r="P1503" s="12" t="s">
        <v>34</v>
      </c>
      <c r="Q1503" s="9"/>
      <c r="R1503" s="18"/>
      <c r="S1503" s="18"/>
      <c r="T1503" s="18"/>
      <c r="U1503" s="18"/>
      <c r="V1503" s="18"/>
      <c r="W1503" s="15"/>
      <c r="X1503" s="15"/>
    </row>
    <row r="1504">
      <c r="A1504" s="7">
        <v>1503.0</v>
      </c>
      <c r="B1504" s="8" t="s">
        <v>6506</v>
      </c>
      <c r="C1504" s="9" t="s">
        <v>6507</v>
      </c>
      <c r="D1504" s="10" t="str">
        <f>HYPERLINK("https://facebook.com/367089020688300_537980980265769", "367089020688300_537980980265769")</f>
        <v>367089020688300_537980980265769</v>
      </c>
      <c r="E1504" s="11">
        <v>448.0</v>
      </c>
      <c r="F1504" s="11">
        <v>10.0</v>
      </c>
      <c r="G1504" s="11">
        <v>234.0</v>
      </c>
      <c r="H1504" s="9" t="s">
        <v>26</v>
      </c>
      <c r="I1504" s="9" t="s">
        <v>6508</v>
      </c>
      <c r="J1504" s="9" t="s">
        <v>6509</v>
      </c>
      <c r="K1504" s="9" t="s">
        <v>6510</v>
      </c>
      <c r="L1504" s="9" t="s">
        <v>30</v>
      </c>
      <c r="M1504" s="9" t="s">
        <v>31</v>
      </c>
      <c r="N1504" s="9" t="s">
        <v>32</v>
      </c>
      <c r="O1504" s="12" t="s">
        <v>33</v>
      </c>
      <c r="P1504" s="12" t="s">
        <v>34</v>
      </c>
      <c r="Q1504" s="9"/>
      <c r="R1504" s="18"/>
      <c r="S1504" s="18"/>
      <c r="T1504" s="18"/>
      <c r="U1504" s="18"/>
      <c r="V1504" s="18"/>
      <c r="W1504" s="15"/>
      <c r="X1504" s="15"/>
    </row>
    <row r="1505">
      <c r="A1505" s="7">
        <v>1504.0</v>
      </c>
      <c r="B1505" s="8" t="s">
        <v>6511</v>
      </c>
      <c r="C1505" s="9" t="s">
        <v>6512</v>
      </c>
      <c r="D1505" s="10" t="str">
        <f>HYPERLINK("https://facebook.com/367089020688300_538772570186610", "367089020688300_538772570186610")</f>
        <v>367089020688300_538772570186610</v>
      </c>
      <c r="E1505" s="11">
        <v>258.0</v>
      </c>
      <c r="F1505" s="11">
        <v>5.0</v>
      </c>
      <c r="G1505" s="11">
        <v>155.0</v>
      </c>
      <c r="H1505" s="9" t="s">
        <v>26</v>
      </c>
      <c r="I1505" s="9" t="s">
        <v>2887</v>
      </c>
      <c r="J1505" s="9" t="s">
        <v>6513</v>
      </c>
      <c r="K1505" s="9" t="s">
        <v>6514</v>
      </c>
      <c r="L1505" s="9" t="s">
        <v>30</v>
      </c>
      <c r="M1505" s="9" t="s">
        <v>31</v>
      </c>
      <c r="N1505" s="9" t="s">
        <v>32</v>
      </c>
      <c r="O1505" s="12" t="s">
        <v>33</v>
      </c>
      <c r="P1505" s="12" t="s">
        <v>34</v>
      </c>
      <c r="Q1505" s="9"/>
      <c r="R1505" s="18"/>
      <c r="S1505" s="18"/>
      <c r="T1505" s="18"/>
      <c r="U1505" s="18"/>
      <c r="V1505" s="18"/>
      <c r="W1505" s="15"/>
      <c r="X1505" s="15"/>
    </row>
    <row r="1506">
      <c r="A1506" s="7">
        <v>1505.0</v>
      </c>
      <c r="B1506" s="8" t="s">
        <v>6515</v>
      </c>
      <c r="C1506" s="9" t="s">
        <v>6516</v>
      </c>
      <c r="D1506" s="10" t="str">
        <f>HYPERLINK("https://facebook.com/367089020688300_477499569647244", "367089020688300_477499569647244")</f>
        <v>367089020688300_477499569647244</v>
      </c>
      <c r="E1506" s="11">
        <v>308.0</v>
      </c>
      <c r="F1506" s="11">
        <v>3.0</v>
      </c>
      <c r="G1506" s="11">
        <v>285.0</v>
      </c>
      <c r="H1506" s="9" t="s">
        <v>26</v>
      </c>
      <c r="I1506" s="9" t="s">
        <v>6517</v>
      </c>
      <c r="J1506" s="9" t="s">
        <v>6518</v>
      </c>
      <c r="K1506" s="9" t="s">
        <v>6519</v>
      </c>
      <c r="L1506" s="9" t="s">
        <v>30</v>
      </c>
      <c r="M1506" s="9" t="s">
        <v>31</v>
      </c>
      <c r="N1506" s="9" t="s">
        <v>32</v>
      </c>
      <c r="O1506" s="12" t="s">
        <v>33</v>
      </c>
      <c r="P1506" s="12" t="s">
        <v>34</v>
      </c>
      <c r="Q1506" s="9"/>
      <c r="R1506" s="18"/>
      <c r="S1506" s="18"/>
      <c r="T1506" s="18"/>
      <c r="U1506" s="18"/>
      <c r="V1506" s="18"/>
      <c r="W1506" s="15"/>
      <c r="X1506" s="15"/>
    </row>
    <row r="1507">
      <c r="A1507" s="7">
        <v>1506.0</v>
      </c>
      <c r="B1507" s="8" t="s">
        <v>6520</v>
      </c>
      <c r="C1507" s="9" t="s">
        <v>6521</v>
      </c>
      <c r="D1507" s="10" t="str">
        <f>HYPERLINK("https://facebook.com/367089020688300_443556876374847", "367089020688300_443556876374847")</f>
        <v>367089020688300_443556876374847</v>
      </c>
      <c r="E1507" s="11">
        <v>719.0</v>
      </c>
      <c r="F1507" s="11">
        <v>27.0</v>
      </c>
      <c r="G1507" s="11">
        <v>369.0</v>
      </c>
      <c r="H1507" s="9" t="s">
        <v>26</v>
      </c>
      <c r="I1507" s="9" t="s">
        <v>357</v>
      </c>
      <c r="J1507" s="9" t="s">
        <v>6522</v>
      </c>
      <c r="K1507" s="9" t="s">
        <v>1345</v>
      </c>
      <c r="L1507" s="9" t="s">
        <v>30</v>
      </c>
      <c r="M1507" s="9" t="s">
        <v>31</v>
      </c>
      <c r="N1507" s="9" t="s">
        <v>32</v>
      </c>
      <c r="O1507" s="12" t="s">
        <v>33</v>
      </c>
      <c r="P1507" s="12" t="s">
        <v>34</v>
      </c>
      <c r="Q1507" s="9"/>
      <c r="R1507" s="18"/>
      <c r="S1507" s="18"/>
      <c r="T1507" s="18"/>
      <c r="U1507" s="18"/>
      <c r="V1507" s="18"/>
      <c r="W1507" s="15"/>
      <c r="X1507" s="15"/>
    </row>
    <row r="1508">
      <c r="A1508" s="7">
        <v>1507.0</v>
      </c>
      <c r="B1508" s="8" t="s">
        <v>6523</v>
      </c>
      <c r="C1508" s="9" t="s">
        <v>6524</v>
      </c>
      <c r="D1508" s="10" t="str">
        <f>HYPERLINK("https://facebook.com/367089020688300_541987136531820", "367089020688300_541987136531820")</f>
        <v>367089020688300_541987136531820</v>
      </c>
      <c r="E1508" s="11">
        <v>9.0</v>
      </c>
      <c r="F1508" s="11">
        <v>1.0</v>
      </c>
      <c r="G1508" s="11">
        <v>22.0</v>
      </c>
      <c r="H1508" s="9" t="s">
        <v>26</v>
      </c>
      <c r="I1508" s="9" t="s">
        <v>6525</v>
      </c>
      <c r="J1508" s="9" t="s">
        <v>6526</v>
      </c>
      <c r="K1508" s="9" t="s">
        <v>6527</v>
      </c>
      <c r="L1508" s="9" t="s">
        <v>30</v>
      </c>
      <c r="M1508" s="9" t="s">
        <v>31</v>
      </c>
      <c r="N1508" s="9" t="s">
        <v>32</v>
      </c>
      <c r="O1508" s="12" t="s">
        <v>33</v>
      </c>
      <c r="P1508" s="12" t="s">
        <v>34</v>
      </c>
      <c r="Q1508" s="9"/>
      <c r="R1508" s="18"/>
      <c r="S1508" s="18"/>
      <c r="T1508" s="18"/>
      <c r="U1508" s="18"/>
      <c r="V1508" s="18"/>
      <c r="W1508" s="15"/>
      <c r="X1508" s="15"/>
    </row>
    <row r="1509">
      <c r="A1509" s="7">
        <v>1508.0</v>
      </c>
      <c r="B1509" s="8" t="s">
        <v>6528</v>
      </c>
      <c r="C1509" s="9" t="s">
        <v>6529</v>
      </c>
      <c r="D1509" s="10" t="str">
        <f>HYPERLINK("https://facebook.com/367089020688300_468219363908598", "367089020688300_468219363908598")</f>
        <v>367089020688300_468219363908598</v>
      </c>
      <c r="E1509" s="11">
        <v>580.0</v>
      </c>
      <c r="F1509" s="11">
        <v>17.0</v>
      </c>
      <c r="G1509" s="11">
        <v>494.0</v>
      </c>
      <c r="H1509" s="9" t="s">
        <v>26</v>
      </c>
      <c r="I1509" s="9" t="s">
        <v>6530</v>
      </c>
      <c r="J1509" s="9" t="s">
        <v>6531</v>
      </c>
      <c r="K1509" s="9" t="s">
        <v>6532</v>
      </c>
      <c r="L1509" s="9" t="s">
        <v>30</v>
      </c>
      <c r="M1509" s="9" t="s">
        <v>31</v>
      </c>
      <c r="N1509" s="9" t="s">
        <v>32</v>
      </c>
      <c r="O1509" s="12" t="s">
        <v>33</v>
      </c>
      <c r="P1509" s="12" t="s">
        <v>34</v>
      </c>
      <c r="Q1509" s="9"/>
      <c r="R1509" s="18"/>
      <c r="S1509" s="18"/>
      <c r="T1509" s="18"/>
      <c r="U1509" s="18"/>
      <c r="V1509" s="18"/>
      <c r="W1509" s="15"/>
      <c r="X1509" s="15"/>
    </row>
    <row r="1510">
      <c r="A1510" s="7">
        <v>1509.0</v>
      </c>
      <c r="B1510" s="8" t="s">
        <v>6533</v>
      </c>
      <c r="C1510" s="9" t="s">
        <v>6534</v>
      </c>
      <c r="D1510" s="10" t="str">
        <f>HYPERLINK("https://facebook.com/367089020688300_549933049070562", "367089020688300_549933049070562")</f>
        <v>367089020688300_549933049070562</v>
      </c>
      <c r="E1510" s="11">
        <v>27.0</v>
      </c>
      <c r="F1510" s="11">
        <v>0.0</v>
      </c>
      <c r="G1510" s="11">
        <v>17.0</v>
      </c>
      <c r="H1510" s="9" t="s">
        <v>26</v>
      </c>
      <c r="I1510" s="9" t="s">
        <v>6535</v>
      </c>
      <c r="J1510" s="9" t="s">
        <v>6536</v>
      </c>
      <c r="K1510" s="9" t="s">
        <v>219</v>
      </c>
      <c r="L1510" s="9" t="s">
        <v>30</v>
      </c>
      <c r="M1510" s="9" t="s">
        <v>31</v>
      </c>
      <c r="N1510" s="9" t="s">
        <v>32</v>
      </c>
      <c r="O1510" s="12" t="s">
        <v>33</v>
      </c>
      <c r="P1510" s="12" t="s">
        <v>34</v>
      </c>
      <c r="Q1510" s="9"/>
      <c r="R1510" s="18"/>
      <c r="S1510" s="18"/>
      <c r="T1510" s="18"/>
      <c r="U1510" s="18"/>
      <c r="V1510" s="18"/>
      <c r="W1510" s="15"/>
      <c r="X1510" s="15"/>
    </row>
    <row r="1511">
      <c r="A1511" s="7">
        <v>1510.0</v>
      </c>
      <c r="B1511" s="8" t="s">
        <v>6537</v>
      </c>
      <c r="C1511" s="9" t="s">
        <v>6538</v>
      </c>
      <c r="D1511" s="10" t="str">
        <f>HYPERLINK("https://facebook.com/367089020688300_553156268748240", "367089020688300_553156268748240")</f>
        <v>367089020688300_553156268748240</v>
      </c>
      <c r="E1511" s="11">
        <v>29.0</v>
      </c>
      <c r="F1511" s="11">
        <v>1.0</v>
      </c>
      <c r="G1511" s="11">
        <v>21.0</v>
      </c>
      <c r="H1511" s="9" t="s">
        <v>26</v>
      </c>
      <c r="I1511" s="9" t="s">
        <v>234</v>
      </c>
      <c r="J1511" s="9" t="s">
        <v>235</v>
      </c>
      <c r="K1511" s="9" t="s">
        <v>6539</v>
      </c>
      <c r="L1511" s="9" t="s">
        <v>30</v>
      </c>
      <c r="M1511" s="9" t="s">
        <v>31</v>
      </c>
      <c r="N1511" s="9" t="s">
        <v>32</v>
      </c>
      <c r="O1511" s="12" t="s">
        <v>33</v>
      </c>
      <c r="P1511" s="12" t="s">
        <v>34</v>
      </c>
      <c r="Q1511" s="9"/>
      <c r="R1511" s="18"/>
      <c r="S1511" s="18"/>
      <c r="T1511" s="18"/>
      <c r="U1511" s="18"/>
      <c r="V1511" s="18"/>
      <c r="W1511" s="15"/>
      <c r="X1511" s="15"/>
    </row>
    <row r="1512">
      <c r="A1512" s="7">
        <v>1511.0</v>
      </c>
      <c r="B1512" s="8" t="s">
        <v>6540</v>
      </c>
      <c r="C1512" s="9" t="s">
        <v>6541</v>
      </c>
      <c r="D1512" s="10" t="str">
        <f>HYPERLINK("https://facebook.com/367089020688300_559402824790251", "367089020688300_559402824790251")</f>
        <v>367089020688300_559402824790251</v>
      </c>
      <c r="E1512" s="11">
        <v>93.0</v>
      </c>
      <c r="F1512" s="11">
        <v>3.0</v>
      </c>
      <c r="G1512" s="11">
        <v>100.0</v>
      </c>
      <c r="H1512" s="9" t="s">
        <v>26</v>
      </c>
      <c r="I1512" s="9" t="s">
        <v>6542</v>
      </c>
      <c r="J1512" s="16" t="s">
        <v>6543</v>
      </c>
      <c r="K1512" s="9"/>
      <c r="L1512" s="9" t="s">
        <v>30</v>
      </c>
      <c r="M1512" s="9" t="s">
        <v>31</v>
      </c>
      <c r="N1512" s="9" t="s">
        <v>32</v>
      </c>
      <c r="O1512" s="12" t="s">
        <v>33</v>
      </c>
      <c r="P1512" s="12" t="s">
        <v>34</v>
      </c>
      <c r="Q1512" s="9"/>
      <c r="R1512" s="18"/>
      <c r="S1512" s="18"/>
      <c r="T1512" s="18"/>
      <c r="U1512" s="18"/>
      <c r="V1512" s="18"/>
      <c r="W1512" s="15"/>
      <c r="X1512" s="15"/>
    </row>
    <row r="1513">
      <c r="A1513" s="7">
        <v>1512.0</v>
      </c>
      <c r="B1513" s="8" t="s">
        <v>6544</v>
      </c>
      <c r="C1513" s="9" t="s">
        <v>6545</v>
      </c>
      <c r="D1513" s="10" t="str">
        <f>HYPERLINK("https://facebook.com/367089020688300_552534185477115", "367089020688300_552534185477115")</f>
        <v>367089020688300_552534185477115</v>
      </c>
      <c r="E1513" s="11">
        <v>157.0</v>
      </c>
      <c r="F1513" s="11">
        <v>0.0</v>
      </c>
      <c r="G1513" s="11">
        <v>142.0</v>
      </c>
      <c r="H1513" s="9" t="s">
        <v>26</v>
      </c>
      <c r="I1513" s="9" t="s">
        <v>6546</v>
      </c>
      <c r="J1513" s="9" t="s">
        <v>6547</v>
      </c>
      <c r="K1513" s="9" t="s">
        <v>219</v>
      </c>
      <c r="L1513" s="9" t="s">
        <v>30</v>
      </c>
      <c r="M1513" s="9" t="s">
        <v>31</v>
      </c>
      <c r="N1513" s="9" t="s">
        <v>32</v>
      </c>
      <c r="O1513" s="12" t="s">
        <v>33</v>
      </c>
      <c r="P1513" s="12" t="s">
        <v>34</v>
      </c>
      <c r="Q1513" s="9"/>
      <c r="R1513" s="18"/>
      <c r="S1513" s="18"/>
      <c r="T1513" s="18"/>
      <c r="U1513" s="18"/>
      <c r="V1513" s="18"/>
      <c r="W1513" s="15"/>
      <c r="X1513" s="15"/>
    </row>
    <row r="1514">
      <c r="A1514" s="7">
        <v>1513.0</v>
      </c>
      <c r="B1514" s="8" t="s">
        <v>6548</v>
      </c>
      <c r="C1514" s="9" t="s">
        <v>6549</v>
      </c>
      <c r="D1514" s="10" t="str">
        <f>HYPERLINK("https://facebook.com/367089020688300_555334961863704", "367089020688300_555334961863704")</f>
        <v>367089020688300_555334961863704</v>
      </c>
      <c r="E1514" s="11">
        <v>2677.0</v>
      </c>
      <c r="F1514" s="11">
        <v>54.0</v>
      </c>
      <c r="G1514" s="11">
        <v>1063.0</v>
      </c>
      <c r="H1514" s="9" t="s">
        <v>26</v>
      </c>
      <c r="I1514" s="9" t="s">
        <v>6550</v>
      </c>
      <c r="J1514" s="9" t="s">
        <v>6551</v>
      </c>
      <c r="K1514" s="9" t="s">
        <v>6552</v>
      </c>
      <c r="L1514" s="9" t="s">
        <v>30</v>
      </c>
      <c r="M1514" s="9" t="s">
        <v>31</v>
      </c>
      <c r="N1514" s="9" t="s">
        <v>32</v>
      </c>
      <c r="O1514" s="12" t="s">
        <v>33</v>
      </c>
      <c r="P1514" s="12" t="s">
        <v>34</v>
      </c>
      <c r="Q1514" s="9"/>
      <c r="R1514" s="18"/>
      <c r="S1514" s="18"/>
      <c r="T1514" s="18"/>
      <c r="U1514" s="18"/>
      <c r="V1514" s="18"/>
      <c r="W1514" s="15"/>
      <c r="X1514" s="15"/>
    </row>
    <row r="1515">
      <c r="A1515" s="7">
        <v>1514.0</v>
      </c>
      <c r="B1515" s="8" t="s">
        <v>6553</v>
      </c>
      <c r="C1515" s="9" t="s">
        <v>6554</v>
      </c>
      <c r="D1515" s="10" t="str">
        <f>HYPERLINK("https://facebook.com/367089020688300_461003241296877", "367089020688300_461003241296877")</f>
        <v>367089020688300_461003241296877</v>
      </c>
      <c r="E1515" s="11">
        <v>249.0</v>
      </c>
      <c r="F1515" s="11">
        <v>5.0</v>
      </c>
      <c r="G1515" s="11">
        <v>597.0</v>
      </c>
      <c r="H1515" s="9" t="s">
        <v>26</v>
      </c>
      <c r="I1515" s="9" t="s">
        <v>6555</v>
      </c>
      <c r="J1515" s="9" t="s">
        <v>6556</v>
      </c>
      <c r="K1515" s="9" t="s">
        <v>6557</v>
      </c>
      <c r="L1515" s="9" t="s">
        <v>30</v>
      </c>
      <c r="M1515" s="9" t="s">
        <v>31</v>
      </c>
      <c r="N1515" s="9" t="s">
        <v>32</v>
      </c>
      <c r="O1515" s="12" t="s">
        <v>33</v>
      </c>
      <c r="P1515" s="12" t="s">
        <v>34</v>
      </c>
      <c r="Q1515" s="9"/>
      <c r="R1515" s="18"/>
      <c r="S1515" s="18"/>
      <c r="T1515" s="18"/>
      <c r="U1515" s="18"/>
      <c r="V1515" s="18"/>
      <c r="W1515" s="15"/>
      <c r="X1515" s="15"/>
    </row>
    <row r="1516">
      <c r="A1516" s="7">
        <v>1515.0</v>
      </c>
      <c r="B1516" s="8" t="s">
        <v>6558</v>
      </c>
      <c r="C1516" s="9" t="s">
        <v>6559</v>
      </c>
      <c r="D1516" s="10" t="str">
        <f>HYPERLINK("https://facebook.com/367089020688300_393659098031292", "367089020688300_393659098031292")</f>
        <v>367089020688300_393659098031292</v>
      </c>
      <c r="E1516" s="11">
        <v>152.0</v>
      </c>
      <c r="F1516" s="11">
        <v>8.0</v>
      </c>
      <c r="G1516" s="11">
        <v>144.0</v>
      </c>
      <c r="H1516" s="9" t="s">
        <v>26</v>
      </c>
      <c r="I1516" s="9" t="s">
        <v>6560</v>
      </c>
      <c r="J1516" s="9" t="s">
        <v>6561</v>
      </c>
      <c r="K1516" s="9" t="s">
        <v>6562</v>
      </c>
      <c r="L1516" s="9" t="s">
        <v>30</v>
      </c>
      <c r="M1516" s="9" t="s">
        <v>31</v>
      </c>
      <c r="N1516" s="9" t="s">
        <v>32</v>
      </c>
      <c r="O1516" s="12" t="s">
        <v>33</v>
      </c>
      <c r="P1516" s="12" t="s">
        <v>34</v>
      </c>
      <c r="Q1516" s="9"/>
      <c r="R1516" s="18"/>
      <c r="S1516" s="18"/>
      <c r="T1516" s="18"/>
      <c r="U1516" s="18"/>
      <c r="V1516" s="18"/>
      <c r="W1516" s="15"/>
      <c r="X1516" s="15"/>
    </row>
    <row r="1517">
      <c r="A1517" s="7">
        <v>1516.0</v>
      </c>
      <c r="B1517" s="8" t="s">
        <v>6563</v>
      </c>
      <c r="C1517" s="9" t="s">
        <v>6564</v>
      </c>
      <c r="D1517" s="10" t="str">
        <f>HYPERLINK("https://facebook.com/367089020688300_450161199047748", "367089020688300_450161199047748")</f>
        <v>367089020688300_450161199047748</v>
      </c>
      <c r="E1517" s="11">
        <v>1181.0</v>
      </c>
      <c r="F1517" s="11">
        <v>46.0</v>
      </c>
      <c r="G1517" s="11">
        <v>898.0</v>
      </c>
      <c r="H1517" s="9" t="s">
        <v>26</v>
      </c>
      <c r="I1517" s="9" t="s">
        <v>1917</v>
      </c>
      <c r="J1517" s="9" t="s">
        <v>6565</v>
      </c>
      <c r="K1517" s="9" t="s">
        <v>6566</v>
      </c>
      <c r="L1517" s="9" t="s">
        <v>30</v>
      </c>
      <c r="M1517" s="9" t="s">
        <v>31</v>
      </c>
      <c r="N1517" s="9" t="s">
        <v>32</v>
      </c>
      <c r="O1517" s="12" t="s">
        <v>33</v>
      </c>
      <c r="P1517" s="12" t="s">
        <v>34</v>
      </c>
      <c r="Q1517" s="9"/>
      <c r="R1517" s="18"/>
      <c r="S1517" s="18"/>
      <c r="T1517" s="18"/>
      <c r="U1517" s="18"/>
      <c r="V1517" s="18"/>
      <c r="W1517" s="15"/>
      <c r="X1517" s="15"/>
    </row>
    <row r="1518">
      <c r="A1518" s="7">
        <v>1517.0</v>
      </c>
      <c r="B1518" s="8" t="s">
        <v>6567</v>
      </c>
      <c r="C1518" s="9" t="s">
        <v>6568</v>
      </c>
      <c r="D1518" s="10" t="str">
        <f>HYPERLINK("https://facebook.com/367089020688300_445873716143163", "367089020688300_445873716143163")</f>
        <v>367089020688300_445873716143163</v>
      </c>
      <c r="E1518" s="11">
        <v>941.0</v>
      </c>
      <c r="F1518" s="11">
        <v>22.0</v>
      </c>
      <c r="G1518" s="11">
        <v>749.0</v>
      </c>
      <c r="H1518" s="9" t="s">
        <v>26</v>
      </c>
      <c r="I1518" s="9" t="s">
        <v>3484</v>
      </c>
      <c r="J1518" s="9" t="s">
        <v>3485</v>
      </c>
      <c r="K1518" s="9" t="s">
        <v>6569</v>
      </c>
      <c r="L1518" s="9" t="s">
        <v>30</v>
      </c>
      <c r="M1518" s="9" t="s">
        <v>31</v>
      </c>
      <c r="N1518" s="9" t="s">
        <v>32</v>
      </c>
      <c r="O1518" s="12" t="s">
        <v>33</v>
      </c>
      <c r="P1518" s="12" t="s">
        <v>34</v>
      </c>
      <c r="Q1518" s="9"/>
      <c r="R1518" s="18"/>
      <c r="S1518" s="18"/>
      <c r="T1518" s="18"/>
      <c r="U1518" s="18"/>
      <c r="V1518" s="18"/>
      <c r="W1518" s="15"/>
      <c r="X1518" s="15"/>
    </row>
    <row r="1519">
      <c r="A1519" s="7">
        <v>1518.0</v>
      </c>
      <c r="B1519" s="8" t="s">
        <v>6570</v>
      </c>
      <c r="C1519" s="9" t="s">
        <v>6571</v>
      </c>
      <c r="D1519" s="10" t="str">
        <f>HYPERLINK("https://facebook.com/367089020688300_426823971381471", "367089020688300_426823971381471")</f>
        <v>367089020688300_426823971381471</v>
      </c>
      <c r="E1519" s="11">
        <v>41.0</v>
      </c>
      <c r="F1519" s="11">
        <v>2.0</v>
      </c>
      <c r="G1519" s="11">
        <v>99.0</v>
      </c>
      <c r="H1519" s="9" t="s">
        <v>26</v>
      </c>
      <c r="I1519" s="9" t="s">
        <v>6572</v>
      </c>
      <c r="J1519" s="9" t="s">
        <v>6573</v>
      </c>
      <c r="K1519" s="9" t="s">
        <v>6574</v>
      </c>
      <c r="L1519" s="9" t="s">
        <v>30</v>
      </c>
      <c r="M1519" s="9" t="s">
        <v>31</v>
      </c>
      <c r="N1519" s="9" t="s">
        <v>32</v>
      </c>
      <c r="O1519" s="12" t="s">
        <v>33</v>
      </c>
      <c r="P1519" s="12" t="s">
        <v>34</v>
      </c>
      <c r="Q1519" s="9"/>
      <c r="R1519" s="18"/>
      <c r="S1519" s="18"/>
      <c r="T1519" s="18"/>
      <c r="U1519" s="18"/>
      <c r="V1519" s="18"/>
      <c r="W1519" s="15"/>
      <c r="X1519" s="15"/>
    </row>
    <row r="1520">
      <c r="A1520" s="7">
        <v>1519.0</v>
      </c>
      <c r="B1520" s="8" t="s">
        <v>6575</v>
      </c>
      <c r="C1520" s="9" t="s">
        <v>6576</v>
      </c>
      <c r="D1520" s="10" t="str">
        <f>HYPERLINK("https://facebook.com/367089020688300_426475438082991", "367089020688300_426475438082991")</f>
        <v>367089020688300_426475438082991</v>
      </c>
      <c r="E1520" s="11">
        <v>175.0</v>
      </c>
      <c r="F1520" s="11">
        <v>5.0</v>
      </c>
      <c r="G1520" s="11">
        <v>192.0</v>
      </c>
      <c r="H1520" s="9" t="s">
        <v>26</v>
      </c>
      <c r="I1520" s="9" t="s">
        <v>6577</v>
      </c>
      <c r="J1520" s="9" t="s">
        <v>6578</v>
      </c>
      <c r="K1520" s="9" t="s">
        <v>6579</v>
      </c>
      <c r="L1520" s="9" t="s">
        <v>30</v>
      </c>
      <c r="M1520" s="9" t="s">
        <v>31</v>
      </c>
      <c r="N1520" s="9" t="s">
        <v>32</v>
      </c>
      <c r="O1520" s="12" t="s">
        <v>33</v>
      </c>
      <c r="P1520" s="12" t="s">
        <v>34</v>
      </c>
      <c r="Q1520" s="9"/>
      <c r="R1520" s="18"/>
      <c r="S1520" s="18"/>
      <c r="T1520" s="18"/>
      <c r="U1520" s="18"/>
      <c r="V1520" s="18"/>
      <c r="W1520" s="15"/>
      <c r="X1520" s="15"/>
    </row>
    <row r="1521">
      <c r="A1521" s="7">
        <v>1520.0</v>
      </c>
      <c r="B1521" s="8" t="s">
        <v>6580</v>
      </c>
      <c r="C1521" s="9" t="s">
        <v>6581</v>
      </c>
      <c r="D1521" s="10" t="str">
        <f>HYPERLINK("https://facebook.com/367089020688300_484389578958243", "367089020688300_484389578958243")</f>
        <v>367089020688300_484389578958243</v>
      </c>
      <c r="E1521" s="11">
        <v>251.0</v>
      </c>
      <c r="F1521" s="11">
        <v>3.0</v>
      </c>
      <c r="G1521" s="11">
        <v>371.0</v>
      </c>
      <c r="H1521" s="9" t="s">
        <v>26</v>
      </c>
      <c r="I1521" s="9" t="s">
        <v>6582</v>
      </c>
      <c r="J1521" s="16" t="s">
        <v>6583</v>
      </c>
      <c r="K1521" s="9"/>
      <c r="L1521" s="9" t="s">
        <v>30</v>
      </c>
      <c r="M1521" s="9" t="s">
        <v>31</v>
      </c>
      <c r="N1521" s="9" t="s">
        <v>32</v>
      </c>
      <c r="O1521" s="12" t="s">
        <v>33</v>
      </c>
      <c r="P1521" s="12" t="s">
        <v>34</v>
      </c>
      <c r="Q1521" s="9"/>
      <c r="R1521" s="18"/>
      <c r="S1521" s="18"/>
      <c r="T1521" s="18"/>
      <c r="U1521" s="18"/>
      <c r="V1521" s="18"/>
      <c r="W1521" s="15"/>
      <c r="X1521" s="15"/>
    </row>
    <row r="1522">
      <c r="A1522" s="7">
        <v>1521.0</v>
      </c>
      <c r="B1522" s="8" t="s">
        <v>6584</v>
      </c>
      <c r="C1522" s="9" t="s">
        <v>6585</v>
      </c>
      <c r="D1522" s="10" t="str">
        <f>HYPERLINK("https://facebook.com/367089020688300_537434646987069", "367089020688300_537434646987069")</f>
        <v>367089020688300_537434646987069</v>
      </c>
      <c r="E1522" s="11">
        <v>519.0</v>
      </c>
      <c r="F1522" s="11">
        <v>24.0</v>
      </c>
      <c r="G1522" s="11">
        <v>461.0</v>
      </c>
      <c r="H1522" s="9" t="s">
        <v>26</v>
      </c>
      <c r="I1522" s="9" t="s">
        <v>6586</v>
      </c>
      <c r="J1522" s="16" t="s">
        <v>6587</v>
      </c>
      <c r="K1522" s="9"/>
      <c r="L1522" s="9" t="s">
        <v>30</v>
      </c>
      <c r="M1522" s="9" t="s">
        <v>31</v>
      </c>
      <c r="N1522" s="9" t="s">
        <v>32</v>
      </c>
      <c r="O1522" s="12" t="s">
        <v>33</v>
      </c>
      <c r="P1522" s="12" t="s">
        <v>34</v>
      </c>
      <c r="Q1522" s="9"/>
      <c r="R1522" s="18"/>
      <c r="S1522" s="18"/>
      <c r="T1522" s="18"/>
      <c r="U1522" s="18"/>
      <c r="V1522" s="18"/>
      <c r="W1522" s="15"/>
      <c r="X1522" s="15"/>
    </row>
    <row r="1523">
      <c r="A1523" s="7">
        <v>1522.0</v>
      </c>
      <c r="B1523" s="8" t="s">
        <v>6588</v>
      </c>
      <c r="C1523" s="9" t="s">
        <v>6589</v>
      </c>
      <c r="D1523" s="10" t="str">
        <f>HYPERLINK("https://facebook.com/367089020688300_533412037389330", "367089020688300_533412037389330")</f>
        <v>367089020688300_533412037389330</v>
      </c>
      <c r="E1523" s="11">
        <v>45.0</v>
      </c>
      <c r="F1523" s="11">
        <v>0.0</v>
      </c>
      <c r="G1523" s="11">
        <v>61.0</v>
      </c>
      <c r="H1523" s="9" t="s">
        <v>26</v>
      </c>
      <c r="I1523" s="9" t="s">
        <v>6590</v>
      </c>
      <c r="J1523" s="16" t="s">
        <v>6591</v>
      </c>
      <c r="K1523" s="9"/>
      <c r="L1523" s="9" t="s">
        <v>30</v>
      </c>
      <c r="M1523" s="9" t="s">
        <v>31</v>
      </c>
      <c r="N1523" s="9" t="s">
        <v>32</v>
      </c>
      <c r="O1523" s="12" t="s">
        <v>33</v>
      </c>
      <c r="P1523" s="12" t="s">
        <v>34</v>
      </c>
      <c r="Q1523" s="9"/>
      <c r="R1523" s="18"/>
      <c r="S1523" s="18"/>
      <c r="T1523" s="18"/>
      <c r="U1523" s="18"/>
      <c r="V1523" s="18"/>
      <c r="W1523" s="15"/>
      <c r="X1523" s="15"/>
    </row>
    <row r="1524">
      <c r="A1524" s="7">
        <v>1523.0</v>
      </c>
      <c r="B1524" s="8" t="s">
        <v>6592</v>
      </c>
      <c r="C1524" s="9" t="s">
        <v>6593</v>
      </c>
      <c r="D1524" s="10" t="str">
        <f>HYPERLINK("https://facebook.com/367089020688300_493125911417943", "367089020688300_493125911417943")</f>
        <v>367089020688300_493125911417943</v>
      </c>
      <c r="E1524" s="11">
        <v>34.0</v>
      </c>
      <c r="F1524" s="11">
        <v>1.0</v>
      </c>
      <c r="G1524" s="11">
        <v>74.0</v>
      </c>
      <c r="H1524" s="9" t="s">
        <v>26</v>
      </c>
      <c r="I1524" s="9" t="s">
        <v>6594</v>
      </c>
      <c r="J1524" s="9" t="s">
        <v>6595</v>
      </c>
      <c r="K1524" s="9" t="s">
        <v>6596</v>
      </c>
      <c r="L1524" s="9" t="s">
        <v>30</v>
      </c>
      <c r="M1524" s="9" t="s">
        <v>31</v>
      </c>
      <c r="N1524" s="9" t="s">
        <v>32</v>
      </c>
      <c r="O1524" s="12" t="s">
        <v>33</v>
      </c>
      <c r="P1524" s="12" t="s">
        <v>34</v>
      </c>
      <c r="Q1524" s="9"/>
      <c r="R1524" s="18"/>
      <c r="S1524" s="18"/>
      <c r="T1524" s="18"/>
      <c r="U1524" s="18"/>
      <c r="V1524" s="18"/>
      <c r="W1524" s="15"/>
      <c r="X1524" s="15"/>
    </row>
    <row r="1525">
      <c r="A1525" s="7">
        <v>1524.0</v>
      </c>
      <c r="B1525" s="8" t="s">
        <v>6597</v>
      </c>
      <c r="C1525" s="9" t="s">
        <v>6598</v>
      </c>
      <c r="D1525" s="10" t="str">
        <f>HYPERLINK("https://facebook.com/367089020688300_520763118654222", "367089020688300_520763118654222")</f>
        <v>367089020688300_520763118654222</v>
      </c>
      <c r="E1525" s="11">
        <v>39.0</v>
      </c>
      <c r="F1525" s="11">
        <v>1.0</v>
      </c>
      <c r="G1525" s="11">
        <v>74.0</v>
      </c>
      <c r="H1525" s="9" t="s">
        <v>26</v>
      </c>
      <c r="I1525" s="9" t="s">
        <v>2650</v>
      </c>
      <c r="J1525" s="9" t="s">
        <v>2651</v>
      </c>
      <c r="K1525" s="9" t="s">
        <v>6599</v>
      </c>
      <c r="L1525" s="9" t="s">
        <v>30</v>
      </c>
      <c r="M1525" s="9" t="s">
        <v>31</v>
      </c>
      <c r="N1525" s="9" t="s">
        <v>32</v>
      </c>
      <c r="O1525" s="12" t="s">
        <v>33</v>
      </c>
      <c r="P1525" s="12" t="s">
        <v>34</v>
      </c>
      <c r="Q1525" s="9"/>
      <c r="R1525" s="18"/>
      <c r="S1525" s="18"/>
      <c r="T1525" s="18"/>
      <c r="U1525" s="18"/>
      <c r="V1525" s="18"/>
      <c r="W1525" s="15"/>
      <c r="X1525" s="15"/>
    </row>
    <row r="1526">
      <c r="A1526" s="7">
        <v>1525.0</v>
      </c>
      <c r="B1526" s="8" t="s">
        <v>6600</v>
      </c>
      <c r="C1526" s="9" t="s">
        <v>6601</v>
      </c>
      <c r="D1526" s="10" t="str">
        <f>HYPERLINK("https://facebook.com/367089020688300_450097819054086", "367089020688300_450097819054086")</f>
        <v>367089020688300_450097819054086</v>
      </c>
      <c r="E1526" s="11">
        <v>150.0</v>
      </c>
      <c r="F1526" s="11">
        <v>18.0</v>
      </c>
      <c r="G1526" s="11">
        <v>121.0</v>
      </c>
      <c r="H1526" s="9" t="s">
        <v>26</v>
      </c>
      <c r="I1526" s="9" t="s">
        <v>6602</v>
      </c>
      <c r="J1526" s="9" t="s">
        <v>6603</v>
      </c>
      <c r="K1526" s="9" t="s">
        <v>6604</v>
      </c>
      <c r="L1526" s="9" t="s">
        <v>30</v>
      </c>
      <c r="M1526" s="9" t="s">
        <v>31</v>
      </c>
      <c r="N1526" s="9" t="s">
        <v>32</v>
      </c>
      <c r="O1526" s="12" t="s">
        <v>33</v>
      </c>
      <c r="P1526" s="12" t="s">
        <v>34</v>
      </c>
      <c r="Q1526" s="9"/>
      <c r="R1526" s="18"/>
      <c r="S1526" s="18"/>
      <c r="T1526" s="18"/>
      <c r="U1526" s="18"/>
      <c r="V1526" s="18"/>
      <c r="W1526" s="15"/>
      <c r="X1526" s="15"/>
    </row>
    <row r="1527">
      <c r="A1527" s="7">
        <v>1526.0</v>
      </c>
      <c r="B1527" s="8" t="s">
        <v>6605</v>
      </c>
      <c r="C1527" s="9" t="s">
        <v>6606</v>
      </c>
      <c r="D1527" s="10" t="str">
        <f>HYPERLINK("https://facebook.com/367089020688300_529366057793928", "367089020688300_529366057793928")</f>
        <v>367089020688300_529366057793928</v>
      </c>
      <c r="E1527" s="11">
        <v>294.0</v>
      </c>
      <c r="F1527" s="11">
        <v>14.0</v>
      </c>
      <c r="G1527" s="11">
        <v>397.0</v>
      </c>
      <c r="H1527" s="9" t="s">
        <v>26</v>
      </c>
      <c r="I1527" s="9" t="s">
        <v>6607</v>
      </c>
      <c r="J1527" s="16" t="s">
        <v>6608</v>
      </c>
      <c r="K1527" s="9"/>
      <c r="L1527" s="9" t="s">
        <v>30</v>
      </c>
      <c r="M1527" s="9" t="s">
        <v>31</v>
      </c>
      <c r="N1527" s="9" t="s">
        <v>32</v>
      </c>
      <c r="O1527" s="12" t="s">
        <v>33</v>
      </c>
      <c r="P1527" s="12" t="s">
        <v>34</v>
      </c>
      <c r="Q1527" s="9"/>
      <c r="R1527" s="18"/>
      <c r="S1527" s="18"/>
      <c r="T1527" s="18"/>
      <c r="U1527" s="18"/>
      <c r="V1527" s="18"/>
      <c r="W1527" s="15"/>
      <c r="X1527" s="15"/>
    </row>
    <row r="1528">
      <c r="A1528" s="7">
        <v>1527.0</v>
      </c>
      <c r="B1528" s="8" t="s">
        <v>6609</v>
      </c>
      <c r="C1528" s="9" t="s">
        <v>6610</v>
      </c>
      <c r="D1528" s="10" t="str">
        <f>HYPERLINK("https://facebook.com/367089020688300_507730579957476", "367089020688300_507730579957476")</f>
        <v>367089020688300_507730579957476</v>
      </c>
      <c r="E1528" s="11">
        <v>37.0</v>
      </c>
      <c r="F1528" s="11">
        <v>0.0</v>
      </c>
      <c r="G1528" s="11">
        <v>97.0</v>
      </c>
      <c r="H1528" s="9" t="s">
        <v>26</v>
      </c>
      <c r="I1528" s="9" t="s">
        <v>1475</v>
      </c>
      <c r="J1528" s="9" t="s">
        <v>6611</v>
      </c>
      <c r="K1528" s="9" t="s">
        <v>6612</v>
      </c>
      <c r="L1528" s="9" t="s">
        <v>30</v>
      </c>
      <c r="M1528" s="9" t="s">
        <v>31</v>
      </c>
      <c r="N1528" s="9" t="s">
        <v>32</v>
      </c>
      <c r="O1528" s="12" t="s">
        <v>33</v>
      </c>
      <c r="P1528" s="12" t="s">
        <v>34</v>
      </c>
      <c r="Q1528" s="9"/>
      <c r="R1528" s="18"/>
      <c r="S1528" s="18"/>
      <c r="T1528" s="18"/>
      <c r="U1528" s="18"/>
      <c r="V1528" s="18"/>
      <c r="W1528" s="15"/>
      <c r="X1528" s="15"/>
    </row>
    <row r="1529">
      <c r="A1529" s="7">
        <v>1528.0</v>
      </c>
      <c r="B1529" s="8" t="s">
        <v>6613</v>
      </c>
      <c r="C1529" s="9" t="s">
        <v>6614</v>
      </c>
      <c r="D1529" s="10" t="str">
        <f>HYPERLINK("https://facebook.com/367089020688300_531179964279204", "367089020688300_531179964279204")</f>
        <v>367089020688300_531179964279204</v>
      </c>
      <c r="E1529" s="11">
        <v>73.0</v>
      </c>
      <c r="F1529" s="11">
        <v>0.0</v>
      </c>
      <c r="G1529" s="11">
        <v>49.0</v>
      </c>
      <c r="H1529" s="9" t="s">
        <v>26</v>
      </c>
      <c r="I1529" s="9" t="s">
        <v>3117</v>
      </c>
      <c r="J1529" s="9" t="s">
        <v>6615</v>
      </c>
      <c r="K1529" s="9" t="s">
        <v>6616</v>
      </c>
      <c r="L1529" s="9" t="s">
        <v>30</v>
      </c>
      <c r="M1529" s="9" t="s">
        <v>31</v>
      </c>
      <c r="N1529" s="9" t="s">
        <v>32</v>
      </c>
      <c r="O1529" s="12" t="s">
        <v>33</v>
      </c>
      <c r="P1529" s="12" t="s">
        <v>34</v>
      </c>
      <c r="Q1529" s="9"/>
      <c r="R1529" s="18"/>
      <c r="S1529" s="18"/>
      <c r="T1529" s="18"/>
      <c r="U1529" s="18"/>
      <c r="V1529" s="18"/>
      <c r="W1529" s="15"/>
      <c r="X1529" s="15"/>
    </row>
    <row r="1530">
      <c r="A1530" s="7">
        <v>1529.0</v>
      </c>
      <c r="B1530" s="8" t="s">
        <v>6617</v>
      </c>
      <c r="C1530" s="9" t="s">
        <v>6618</v>
      </c>
      <c r="D1530" s="10" t="str">
        <f>HYPERLINK("https://facebook.com/367089020688300_544256362971564", "367089020688300_544256362971564")</f>
        <v>367089020688300_544256362971564</v>
      </c>
      <c r="E1530" s="11">
        <v>88.0</v>
      </c>
      <c r="F1530" s="11">
        <v>3.0</v>
      </c>
      <c r="G1530" s="11">
        <v>51.0</v>
      </c>
      <c r="H1530" s="9" t="s">
        <v>26</v>
      </c>
      <c r="I1530" s="9" t="s">
        <v>6619</v>
      </c>
      <c r="J1530" s="16" t="s">
        <v>6620</v>
      </c>
      <c r="K1530" s="9"/>
      <c r="L1530" s="9" t="s">
        <v>30</v>
      </c>
      <c r="M1530" s="9" t="s">
        <v>31</v>
      </c>
      <c r="N1530" s="9" t="s">
        <v>32</v>
      </c>
      <c r="O1530" s="12" t="s">
        <v>33</v>
      </c>
      <c r="P1530" s="12" t="s">
        <v>34</v>
      </c>
      <c r="Q1530" s="9"/>
      <c r="R1530" s="18"/>
      <c r="S1530" s="18"/>
      <c r="T1530" s="18"/>
      <c r="U1530" s="18"/>
      <c r="V1530" s="18"/>
      <c r="W1530" s="15"/>
      <c r="X1530" s="15"/>
    </row>
    <row r="1531">
      <c r="A1531" s="7">
        <v>1530.0</v>
      </c>
      <c r="B1531" s="8" t="s">
        <v>6621</v>
      </c>
      <c r="C1531" s="9" t="s">
        <v>6622</v>
      </c>
      <c r="D1531" s="10" t="str">
        <f>HYPERLINK("https://facebook.com/367089020688300_558801691517031", "367089020688300_558801691517031")</f>
        <v>367089020688300_558801691517031</v>
      </c>
      <c r="E1531" s="11">
        <v>103.0</v>
      </c>
      <c r="F1531" s="11">
        <v>0.0</v>
      </c>
      <c r="G1531" s="11">
        <v>92.0</v>
      </c>
      <c r="H1531" s="9" t="s">
        <v>26</v>
      </c>
      <c r="I1531" s="9" t="s">
        <v>6623</v>
      </c>
      <c r="J1531" s="16" t="s">
        <v>6624</v>
      </c>
      <c r="K1531" s="9"/>
      <c r="L1531" s="9" t="s">
        <v>30</v>
      </c>
      <c r="M1531" s="9" t="s">
        <v>31</v>
      </c>
      <c r="N1531" s="9" t="s">
        <v>32</v>
      </c>
      <c r="O1531" s="12" t="s">
        <v>33</v>
      </c>
      <c r="P1531" s="12" t="s">
        <v>34</v>
      </c>
      <c r="Q1531" s="9"/>
      <c r="R1531" s="18"/>
      <c r="S1531" s="18"/>
      <c r="T1531" s="18"/>
      <c r="U1531" s="18"/>
      <c r="V1531" s="18"/>
      <c r="W1531" s="15"/>
      <c r="X1531" s="15"/>
    </row>
    <row r="1532">
      <c r="A1532" s="7">
        <v>1531.0</v>
      </c>
      <c r="B1532" s="8" t="s">
        <v>6625</v>
      </c>
      <c r="C1532" s="9" t="s">
        <v>6626</v>
      </c>
      <c r="D1532" s="10" t="str">
        <f>HYPERLINK("https://facebook.com/367089020688300_542247929839074", "367089020688300_542247929839074")</f>
        <v>367089020688300_542247929839074</v>
      </c>
      <c r="E1532" s="11">
        <v>132.0</v>
      </c>
      <c r="F1532" s="11">
        <v>2.0</v>
      </c>
      <c r="G1532" s="11">
        <v>104.0</v>
      </c>
      <c r="H1532" s="9" t="s">
        <v>26</v>
      </c>
      <c r="I1532" s="9" t="s">
        <v>6627</v>
      </c>
      <c r="J1532" s="9" t="s">
        <v>6628</v>
      </c>
      <c r="K1532" s="9" t="s">
        <v>6629</v>
      </c>
      <c r="L1532" s="9" t="s">
        <v>30</v>
      </c>
      <c r="M1532" s="9" t="s">
        <v>31</v>
      </c>
      <c r="N1532" s="9" t="s">
        <v>32</v>
      </c>
      <c r="O1532" s="12" t="s">
        <v>33</v>
      </c>
      <c r="P1532" s="12" t="s">
        <v>34</v>
      </c>
      <c r="Q1532" s="9"/>
      <c r="R1532" s="18"/>
      <c r="S1532" s="18"/>
      <c r="T1532" s="18"/>
      <c r="U1532" s="18"/>
      <c r="V1532" s="18"/>
      <c r="W1532" s="15"/>
      <c r="X1532" s="15"/>
    </row>
    <row r="1533">
      <c r="A1533" s="7">
        <v>1532.0</v>
      </c>
      <c r="B1533" s="8" t="s">
        <v>6630</v>
      </c>
      <c r="C1533" s="9" t="s">
        <v>6631</v>
      </c>
      <c r="D1533" s="10" t="str">
        <f>HYPERLINK("https://facebook.com/367089020688300_530688274328373", "367089020688300_530688274328373")</f>
        <v>367089020688300_530688274328373</v>
      </c>
      <c r="E1533" s="11">
        <v>357.0</v>
      </c>
      <c r="F1533" s="11">
        <v>0.0</v>
      </c>
      <c r="G1533" s="11">
        <v>106.0</v>
      </c>
      <c r="H1533" s="9" t="s">
        <v>26</v>
      </c>
      <c r="I1533" s="9" t="s">
        <v>6632</v>
      </c>
      <c r="J1533" s="9" t="s">
        <v>6633</v>
      </c>
      <c r="K1533" s="9" t="s">
        <v>219</v>
      </c>
      <c r="L1533" s="9" t="s">
        <v>30</v>
      </c>
      <c r="M1533" s="9" t="s">
        <v>31</v>
      </c>
      <c r="N1533" s="9" t="s">
        <v>32</v>
      </c>
      <c r="O1533" s="12" t="s">
        <v>33</v>
      </c>
      <c r="P1533" s="12" t="s">
        <v>34</v>
      </c>
      <c r="Q1533" s="9"/>
      <c r="R1533" s="18"/>
      <c r="S1533" s="18"/>
      <c r="T1533" s="18"/>
      <c r="U1533" s="18"/>
      <c r="V1533" s="18"/>
      <c r="W1533" s="15"/>
      <c r="X1533" s="15"/>
    </row>
    <row r="1534">
      <c r="A1534" s="7">
        <v>1533.0</v>
      </c>
      <c r="B1534" s="8" t="s">
        <v>6634</v>
      </c>
      <c r="C1534" s="9" t="s">
        <v>6635</v>
      </c>
      <c r="D1534" s="10" t="str">
        <f>HYPERLINK("https://facebook.com/367089020688300_498181977579003", "367089020688300_498181977579003")</f>
        <v>367089020688300_498181977579003</v>
      </c>
      <c r="E1534" s="11">
        <v>42.0</v>
      </c>
      <c r="F1534" s="11">
        <v>1.0</v>
      </c>
      <c r="G1534" s="11">
        <v>66.0</v>
      </c>
      <c r="H1534" s="9" t="s">
        <v>26</v>
      </c>
      <c r="I1534" s="9" t="s">
        <v>6636</v>
      </c>
      <c r="J1534" s="9" t="s">
        <v>6637</v>
      </c>
      <c r="K1534" s="9" t="s">
        <v>6638</v>
      </c>
      <c r="L1534" s="9" t="s">
        <v>30</v>
      </c>
      <c r="M1534" s="9" t="s">
        <v>31</v>
      </c>
      <c r="N1534" s="9" t="s">
        <v>32</v>
      </c>
      <c r="O1534" s="12" t="s">
        <v>33</v>
      </c>
      <c r="P1534" s="12" t="s">
        <v>34</v>
      </c>
      <c r="Q1534" s="9"/>
      <c r="R1534" s="18"/>
      <c r="S1534" s="18"/>
      <c r="T1534" s="18"/>
      <c r="U1534" s="18"/>
      <c r="V1534" s="18"/>
      <c r="W1534" s="15"/>
      <c r="X1534" s="15"/>
    </row>
    <row r="1535">
      <c r="A1535" s="7">
        <v>1534.0</v>
      </c>
      <c r="B1535" s="8" t="s">
        <v>6639</v>
      </c>
      <c r="C1535" s="9" t="s">
        <v>6640</v>
      </c>
      <c r="D1535" s="10" t="str">
        <f>HYPERLINK("https://facebook.com/367089020688300_510117479718786", "367089020688300_510117479718786")</f>
        <v>367089020688300_510117479718786</v>
      </c>
      <c r="E1535" s="11">
        <v>1617.0</v>
      </c>
      <c r="F1535" s="11">
        <v>16.0</v>
      </c>
      <c r="G1535" s="11">
        <v>477.0</v>
      </c>
      <c r="H1535" s="9" t="s">
        <v>26</v>
      </c>
      <c r="I1535" s="9" t="s">
        <v>6641</v>
      </c>
      <c r="J1535" s="9" t="s">
        <v>6642</v>
      </c>
      <c r="K1535" s="9" t="s">
        <v>219</v>
      </c>
      <c r="L1535" s="9" t="s">
        <v>30</v>
      </c>
      <c r="M1535" s="9" t="s">
        <v>31</v>
      </c>
      <c r="N1535" s="9" t="s">
        <v>32</v>
      </c>
      <c r="O1535" s="12" t="s">
        <v>33</v>
      </c>
      <c r="P1535" s="12" t="s">
        <v>34</v>
      </c>
      <c r="Q1535" s="9"/>
      <c r="R1535" s="18"/>
      <c r="S1535" s="18"/>
      <c r="T1535" s="18"/>
      <c r="U1535" s="18"/>
      <c r="V1535" s="18"/>
      <c r="W1535" s="15"/>
      <c r="X1535" s="15"/>
    </row>
    <row r="1536">
      <c r="A1536" s="7">
        <v>1535.0</v>
      </c>
      <c r="B1536" s="8" t="s">
        <v>6643</v>
      </c>
      <c r="C1536" s="9" t="s">
        <v>6644</v>
      </c>
      <c r="D1536" s="10" t="str">
        <f>HYPERLINK("https://facebook.com/367089020688300_516124992451368", "367089020688300_516124992451368")</f>
        <v>367089020688300_516124992451368</v>
      </c>
      <c r="E1536" s="11">
        <v>256.0</v>
      </c>
      <c r="F1536" s="11">
        <v>13.0</v>
      </c>
      <c r="G1536" s="11">
        <v>266.0</v>
      </c>
      <c r="H1536" s="9" t="s">
        <v>26</v>
      </c>
      <c r="I1536" s="9" t="s">
        <v>6645</v>
      </c>
      <c r="J1536" s="9" t="s">
        <v>6646</v>
      </c>
      <c r="K1536" s="9" t="s">
        <v>6647</v>
      </c>
      <c r="L1536" s="9" t="s">
        <v>30</v>
      </c>
      <c r="M1536" s="9" t="s">
        <v>31</v>
      </c>
      <c r="N1536" s="9" t="s">
        <v>32</v>
      </c>
      <c r="O1536" s="12" t="s">
        <v>33</v>
      </c>
      <c r="P1536" s="12" t="s">
        <v>34</v>
      </c>
      <c r="Q1536" s="9"/>
      <c r="R1536" s="18"/>
      <c r="S1536" s="18"/>
      <c r="T1536" s="18"/>
      <c r="U1536" s="18"/>
      <c r="V1536" s="18"/>
      <c r="W1536" s="15"/>
      <c r="X1536" s="15"/>
    </row>
    <row r="1537">
      <c r="A1537" s="7">
        <v>1536.0</v>
      </c>
      <c r="B1537" s="8" t="s">
        <v>6648</v>
      </c>
      <c r="C1537" s="9" t="s">
        <v>6649</v>
      </c>
      <c r="D1537" s="10" t="str">
        <f>HYPERLINK("https://facebook.com/367089020688300_534725550591312", "367089020688300_534725550591312")</f>
        <v>367089020688300_534725550591312</v>
      </c>
      <c r="E1537" s="11">
        <v>137.0</v>
      </c>
      <c r="F1537" s="11">
        <v>5.0</v>
      </c>
      <c r="G1537" s="11">
        <v>89.0</v>
      </c>
      <c r="H1537" s="9" t="s">
        <v>26</v>
      </c>
      <c r="I1537" s="9" t="s">
        <v>6650</v>
      </c>
      <c r="J1537" s="16" t="s">
        <v>6651</v>
      </c>
      <c r="K1537" s="9"/>
      <c r="L1537" s="9" t="s">
        <v>30</v>
      </c>
      <c r="M1537" s="9" t="s">
        <v>31</v>
      </c>
      <c r="N1537" s="9" t="s">
        <v>32</v>
      </c>
      <c r="O1537" s="12" t="s">
        <v>33</v>
      </c>
      <c r="P1537" s="12" t="s">
        <v>34</v>
      </c>
      <c r="Q1537" s="9"/>
      <c r="R1537" s="18"/>
      <c r="S1537" s="18"/>
      <c r="T1537" s="18"/>
      <c r="U1537" s="18"/>
      <c r="V1537" s="18"/>
      <c r="W1537" s="15"/>
      <c r="X1537" s="15"/>
    </row>
    <row r="1538">
      <c r="A1538" s="7">
        <v>1537.0</v>
      </c>
      <c r="B1538" s="8" t="s">
        <v>6652</v>
      </c>
      <c r="C1538" s="9" t="s">
        <v>6653</v>
      </c>
      <c r="D1538" s="10" t="str">
        <f>HYPERLINK("https://facebook.com/367089020688300_481345582595976", "367089020688300_481345582595976")</f>
        <v>367089020688300_481345582595976</v>
      </c>
      <c r="E1538" s="11">
        <v>435.0</v>
      </c>
      <c r="F1538" s="11">
        <v>5.0</v>
      </c>
      <c r="G1538" s="11">
        <v>354.0</v>
      </c>
      <c r="H1538" s="9" t="s">
        <v>26</v>
      </c>
      <c r="I1538" s="9" t="s">
        <v>3729</v>
      </c>
      <c r="J1538" s="9" t="s">
        <v>6654</v>
      </c>
      <c r="K1538" s="9" t="s">
        <v>6655</v>
      </c>
      <c r="L1538" s="9" t="s">
        <v>30</v>
      </c>
      <c r="M1538" s="9" t="s">
        <v>31</v>
      </c>
      <c r="N1538" s="9" t="s">
        <v>32</v>
      </c>
      <c r="O1538" s="12" t="s">
        <v>33</v>
      </c>
      <c r="P1538" s="12" t="s">
        <v>34</v>
      </c>
      <c r="Q1538" s="9"/>
      <c r="R1538" s="18"/>
      <c r="S1538" s="18"/>
      <c r="T1538" s="18"/>
      <c r="U1538" s="18"/>
      <c r="V1538" s="18"/>
      <c r="W1538" s="15"/>
      <c r="X1538" s="15"/>
    </row>
    <row r="1539">
      <c r="A1539" s="7">
        <v>1538.0</v>
      </c>
      <c r="B1539" s="8" t="s">
        <v>6656</v>
      </c>
      <c r="C1539" s="9" t="s">
        <v>6657</v>
      </c>
      <c r="D1539" s="10" t="str">
        <f>HYPERLINK("https://facebook.com/367089020688300_540409253356275", "367089020688300_540409253356275")</f>
        <v>367089020688300_540409253356275</v>
      </c>
      <c r="E1539" s="11">
        <v>103.0</v>
      </c>
      <c r="F1539" s="11">
        <v>0.0</v>
      </c>
      <c r="G1539" s="11">
        <v>56.0</v>
      </c>
      <c r="H1539" s="9" t="s">
        <v>26</v>
      </c>
      <c r="I1539" s="9" t="s">
        <v>6658</v>
      </c>
      <c r="J1539" s="16" t="s">
        <v>6659</v>
      </c>
      <c r="K1539" s="9"/>
      <c r="L1539" s="9" t="s">
        <v>30</v>
      </c>
      <c r="M1539" s="9" t="s">
        <v>31</v>
      </c>
      <c r="N1539" s="9" t="s">
        <v>32</v>
      </c>
      <c r="O1539" s="12" t="s">
        <v>33</v>
      </c>
      <c r="P1539" s="12" t="s">
        <v>34</v>
      </c>
      <c r="Q1539" s="9"/>
      <c r="R1539" s="18"/>
      <c r="S1539" s="18"/>
      <c r="T1539" s="18"/>
      <c r="U1539" s="18"/>
      <c r="V1539" s="18"/>
      <c r="W1539" s="15"/>
      <c r="X1539" s="15"/>
    </row>
    <row r="1540">
      <c r="A1540" s="7">
        <v>1539.0</v>
      </c>
      <c r="B1540" s="8" t="s">
        <v>6660</v>
      </c>
      <c r="C1540" s="9" t="s">
        <v>6661</v>
      </c>
      <c r="D1540" s="10" t="str">
        <f>HYPERLINK("https://facebook.com/367089020688300_529025327828001", "367089020688300_529025327828001")</f>
        <v>367089020688300_529025327828001</v>
      </c>
      <c r="E1540" s="11">
        <v>202.0</v>
      </c>
      <c r="F1540" s="11">
        <v>4.0</v>
      </c>
      <c r="G1540" s="11">
        <v>275.0</v>
      </c>
      <c r="H1540" s="9" t="s">
        <v>26</v>
      </c>
      <c r="I1540" s="9" t="s">
        <v>6662</v>
      </c>
      <c r="J1540" s="9" t="s">
        <v>6663</v>
      </c>
      <c r="K1540" s="9" t="s">
        <v>219</v>
      </c>
      <c r="L1540" s="9" t="s">
        <v>30</v>
      </c>
      <c r="M1540" s="9" t="s">
        <v>31</v>
      </c>
      <c r="N1540" s="9" t="s">
        <v>32</v>
      </c>
      <c r="O1540" s="12" t="s">
        <v>33</v>
      </c>
      <c r="P1540" s="12" t="s">
        <v>34</v>
      </c>
      <c r="Q1540" s="9"/>
      <c r="R1540" s="18"/>
      <c r="S1540" s="18"/>
      <c r="T1540" s="18"/>
      <c r="U1540" s="18"/>
      <c r="V1540" s="18"/>
      <c r="W1540" s="15"/>
      <c r="X1540" s="15"/>
    </row>
    <row r="1541">
      <c r="A1541" s="7">
        <v>1540.0</v>
      </c>
      <c r="B1541" s="8" t="s">
        <v>6664</v>
      </c>
      <c r="C1541" s="9" t="s">
        <v>6665</v>
      </c>
      <c r="D1541" s="10" t="str">
        <f>HYPERLINK("https://facebook.com/367089020688300_529187014478499", "367089020688300_529187014478499")</f>
        <v>367089020688300_529187014478499</v>
      </c>
      <c r="E1541" s="11">
        <v>333.0</v>
      </c>
      <c r="F1541" s="11">
        <v>4.0</v>
      </c>
      <c r="G1541" s="11">
        <v>225.0</v>
      </c>
      <c r="H1541" s="9" t="s">
        <v>26</v>
      </c>
      <c r="I1541" s="9" t="s">
        <v>6666</v>
      </c>
      <c r="J1541" s="9" t="s">
        <v>6667</v>
      </c>
      <c r="K1541" s="9" t="s">
        <v>1409</v>
      </c>
      <c r="L1541" s="9" t="s">
        <v>30</v>
      </c>
      <c r="M1541" s="9" t="s">
        <v>31</v>
      </c>
      <c r="N1541" s="9" t="s">
        <v>32</v>
      </c>
      <c r="O1541" s="12" t="s">
        <v>33</v>
      </c>
      <c r="P1541" s="12" t="s">
        <v>34</v>
      </c>
      <c r="Q1541" s="9"/>
      <c r="R1541" s="18"/>
      <c r="S1541" s="18"/>
      <c r="T1541" s="18"/>
      <c r="U1541" s="18"/>
      <c r="V1541" s="18"/>
      <c r="W1541" s="15"/>
      <c r="X1541" s="15"/>
    </row>
    <row r="1542">
      <c r="A1542" s="7">
        <v>1541.0</v>
      </c>
      <c r="B1542" s="8" t="s">
        <v>6668</v>
      </c>
      <c r="C1542" s="9" t="s">
        <v>6669</v>
      </c>
      <c r="D1542" s="10" t="str">
        <f>HYPERLINK("https://facebook.com/367089020688300_515451195852081", "367089020688300_515451195852081")</f>
        <v>367089020688300_515451195852081</v>
      </c>
      <c r="E1542" s="11">
        <v>1265.0</v>
      </c>
      <c r="F1542" s="11">
        <v>41.0</v>
      </c>
      <c r="G1542" s="11">
        <v>1143.0</v>
      </c>
      <c r="H1542" s="9" t="s">
        <v>26</v>
      </c>
      <c r="I1542" s="9" t="s">
        <v>6670</v>
      </c>
      <c r="J1542" s="16" t="s">
        <v>6671</v>
      </c>
      <c r="K1542" s="9"/>
      <c r="L1542" s="9" t="s">
        <v>30</v>
      </c>
      <c r="M1542" s="9" t="s">
        <v>31</v>
      </c>
      <c r="N1542" s="9" t="s">
        <v>32</v>
      </c>
      <c r="O1542" s="12" t="s">
        <v>33</v>
      </c>
      <c r="P1542" s="12" t="s">
        <v>34</v>
      </c>
      <c r="Q1542" s="9"/>
      <c r="R1542" s="18"/>
      <c r="S1542" s="18"/>
      <c r="T1542" s="18"/>
      <c r="U1542" s="18"/>
      <c r="V1542" s="18"/>
      <c r="W1542" s="15"/>
      <c r="X1542" s="15"/>
    </row>
    <row r="1543">
      <c r="A1543" s="7">
        <v>1542.0</v>
      </c>
      <c r="B1543" s="8" t="s">
        <v>6672</v>
      </c>
      <c r="C1543" s="9" t="s">
        <v>6673</v>
      </c>
      <c r="D1543" s="10" t="str">
        <f>HYPERLINK("https://facebook.com/367089020688300_552424825488051", "367089020688300_552424825488051")</f>
        <v>367089020688300_552424825488051</v>
      </c>
      <c r="E1543" s="11">
        <v>928.0</v>
      </c>
      <c r="F1543" s="11">
        <v>9.0</v>
      </c>
      <c r="G1543" s="11">
        <v>527.0</v>
      </c>
      <c r="H1543" s="9" t="s">
        <v>26</v>
      </c>
      <c r="I1543" s="9" t="s">
        <v>6674</v>
      </c>
      <c r="J1543" s="16" t="s">
        <v>6675</v>
      </c>
      <c r="K1543" s="9"/>
      <c r="L1543" s="9" t="s">
        <v>30</v>
      </c>
      <c r="M1543" s="9" t="s">
        <v>31</v>
      </c>
      <c r="N1543" s="9" t="s">
        <v>32</v>
      </c>
      <c r="O1543" s="12" t="s">
        <v>33</v>
      </c>
      <c r="P1543" s="12" t="s">
        <v>34</v>
      </c>
      <c r="Q1543" s="9"/>
      <c r="R1543" s="18"/>
      <c r="S1543" s="18"/>
      <c r="T1543" s="18"/>
      <c r="U1543" s="18"/>
      <c r="V1543" s="18"/>
      <c r="W1543" s="15"/>
      <c r="X1543" s="15"/>
    </row>
    <row r="1544">
      <c r="A1544" s="7">
        <v>1543.0</v>
      </c>
      <c r="B1544" s="8" t="s">
        <v>6676</v>
      </c>
      <c r="C1544" s="9" t="s">
        <v>6677</v>
      </c>
      <c r="D1544" s="10" t="str">
        <f>HYPERLINK("https://facebook.com/367089020688300_451062512290950", "367089020688300_451062512290950")</f>
        <v>367089020688300_451062512290950</v>
      </c>
      <c r="E1544" s="11">
        <v>220.0</v>
      </c>
      <c r="F1544" s="11">
        <v>10.0</v>
      </c>
      <c r="G1544" s="11">
        <v>226.0</v>
      </c>
      <c r="H1544" s="9" t="s">
        <v>26</v>
      </c>
      <c r="I1544" s="9" t="s">
        <v>6678</v>
      </c>
      <c r="J1544" s="9" t="s">
        <v>6679</v>
      </c>
      <c r="K1544" s="9" t="s">
        <v>219</v>
      </c>
      <c r="L1544" s="9" t="s">
        <v>30</v>
      </c>
      <c r="M1544" s="9" t="s">
        <v>31</v>
      </c>
      <c r="N1544" s="9" t="s">
        <v>32</v>
      </c>
      <c r="O1544" s="12" t="s">
        <v>33</v>
      </c>
      <c r="P1544" s="12" t="s">
        <v>34</v>
      </c>
      <c r="Q1544" s="9"/>
      <c r="R1544" s="18"/>
      <c r="S1544" s="18"/>
      <c r="T1544" s="18"/>
      <c r="U1544" s="18"/>
      <c r="V1544" s="18"/>
      <c r="W1544" s="15"/>
      <c r="X1544" s="15"/>
    </row>
    <row r="1545">
      <c r="A1545" s="7">
        <v>1544.0</v>
      </c>
      <c r="B1545" s="8" t="s">
        <v>6680</v>
      </c>
      <c r="C1545" s="9" t="s">
        <v>6681</v>
      </c>
      <c r="D1545" s="10" t="str">
        <f>HYPERLINK("https://facebook.com/367089020688300_550352132361987", "367089020688300_550352132361987")</f>
        <v>367089020688300_550352132361987</v>
      </c>
      <c r="E1545" s="11">
        <v>131.0</v>
      </c>
      <c r="F1545" s="11">
        <v>1.0</v>
      </c>
      <c r="G1545" s="11">
        <v>144.0</v>
      </c>
      <c r="H1545" s="9" t="s">
        <v>26</v>
      </c>
      <c r="I1545" s="9" t="s">
        <v>1192</v>
      </c>
      <c r="J1545" s="9" t="s">
        <v>1193</v>
      </c>
      <c r="K1545" s="9" t="s">
        <v>6682</v>
      </c>
      <c r="L1545" s="9" t="s">
        <v>30</v>
      </c>
      <c r="M1545" s="9" t="s">
        <v>31</v>
      </c>
      <c r="N1545" s="9" t="s">
        <v>32</v>
      </c>
      <c r="O1545" s="12" t="s">
        <v>33</v>
      </c>
      <c r="P1545" s="12" t="s">
        <v>34</v>
      </c>
      <c r="Q1545" s="9"/>
      <c r="R1545" s="18"/>
      <c r="S1545" s="18"/>
      <c r="T1545" s="18"/>
      <c r="U1545" s="18"/>
      <c r="V1545" s="18"/>
      <c r="W1545" s="15"/>
      <c r="X1545" s="15"/>
    </row>
    <row r="1546">
      <c r="A1546" s="7">
        <v>1545.0</v>
      </c>
      <c r="B1546" s="8" t="s">
        <v>6683</v>
      </c>
      <c r="C1546" s="9" t="s">
        <v>6684</v>
      </c>
      <c r="D1546" s="10" t="str">
        <f>HYPERLINK("https://facebook.com/367089020688300_548881055842428", "367089020688300_548881055842428")</f>
        <v>367089020688300_548881055842428</v>
      </c>
      <c r="E1546" s="11">
        <v>22.0</v>
      </c>
      <c r="F1546" s="11">
        <v>0.0</v>
      </c>
      <c r="G1546" s="11">
        <v>19.0</v>
      </c>
      <c r="H1546" s="9" t="s">
        <v>26</v>
      </c>
      <c r="I1546" s="9" t="s">
        <v>6685</v>
      </c>
      <c r="J1546" s="16" t="s">
        <v>6686</v>
      </c>
      <c r="K1546" s="9"/>
      <c r="L1546" s="9" t="s">
        <v>30</v>
      </c>
      <c r="M1546" s="9" t="s">
        <v>31</v>
      </c>
      <c r="N1546" s="9" t="s">
        <v>32</v>
      </c>
      <c r="O1546" s="12" t="s">
        <v>33</v>
      </c>
      <c r="P1546" s="12" t="s">
        <v>34</v>
      </c>
      <c r="Q1546" s="9"/>
      <c r="R1546" s="18"/>
      <c r="S1546" s="18"/>
      <c r="T1546" s="18"/>
      <c r="U1546" s="18"/>
      <c r="V1546" s="18"/>
      <c r="W1546" s="15"/>
      <c r="X1546" s="15"/>
    </row>
    <row r="1547">
      <c r="A1547" s="7">
        <v>1546.0</v>
      </c>
      <c r="B1547" s="8" t="s">
        <v>6687</v>
      </c>
      <c r="C1547" s="9" t="s">
        <v>6688</v>
      </c>
      <c r="D1547" s="10" t="str">
        <f>HYPERLINK("https://facebook.com/367089020688300_554256141971586", "367089020688300_554256141971586")</f>
        <v>367089020688300_554256141971586</v>
      </c>
      <c r="E1547" s="11">
        <v>99.0</v>
      </c>
      <c r="F1547" s="11">
        <v>2.0</v>
      </c>
      <c r="G1547" s="11">
        <v>142.0</v>
      </c>
      <c r="H1547" s="9" t="s">
        <v>26</v>
      </c>
      <c r="I1547" s="9" t="s">
        <v>6689</v>
      </c>
      <c r="J1547" s="16" t="s">
        <v>6690</v>
      </c>
      <c r="K1547" s="9"/>
      <c r="L1547" s="9" t="s">
        <v>30</v>
      </c>
      <c r="M1547" s="9" t="s">
        <v>31</v>
      </c>
      <c r="N1547" s="9" t="s">
        <v>32</v>
      </c>
      <c r="O1547" s="12" t="s">
        <v>33</v>
      </c>
      <c r="P1547" s="12" t="s">
        <v>34</v>
      </c>
      <c r="Q1547" s="9"/>
      <c r="R1547" s="18"/>
      <c r="S1547" s="18"/>
      <c r="T1547" s="18"/>
      <c r="U1547" s="18"/>
      <c r="V1547" s="18"/>
      <c r="W1547" s="15"/>
      <c r="X1547" s="15"/>
    </row>
    <row r="1548">
      <c r="A1548" s="7">
        <v>1547.0</v>
      </c>
      <c r="B1548" s="8" t="s">
        <v>6691</v>
      </c>
      <c r="C1548" s="9" t="s">
        <v>6692</v>
      </c>
      <c r="D1548" s="10" t="str">
        <f>HYPERLINK("https://facebook.com/367089020688300_419450145452187", "367089020688300_419450145452187")</f>
        <v>367089020688300_419450145452187</v>
      </c>
      <c r="E1548" s="11">
        <v>252.0</v>
      </c>
      <c r="F1548" s="11">
        <v>4.0</v>
      </c>
      <c r="G1548" s="11">
        <v>258.0</v>
      </c>
      <c r="H1548" s="9" t="s">
        <v>26</v>
      </c>
      <c r="I1548" s="9" t="s">
        <v>6693</v>
      </c>
      <c r="J1548" s="9" t="s">
        <v>6694</v>
      </c>
      <c r="K1548" s="9" t="s">
        <v>6695</v>
      </c>
      <c r="L1548" s="9" t="s">
        <v>30</v>
      </c>
      <c r="M1548" s="9" t="s">
        <v>31</v>
      </c>
      <c r="N1548" s="9" t="s">
        <v>32</v>
      </c>
      <c r="O1548" s="12" t="s">
        <v>33</v>
      </c>
      <c r="P1548" s="12" t="s">
        <v>34</v>
      </c>
      <c r="Q1548" s="9"/>
      <c r="R1548" s="18"/>
      <c r="S1548" s="18"/>
      <c r="T1548" s="18"/>
      <c r="U1548" s="18"/>
      <c r="V1548" s="18"/>
      <c r="W1548" s="15"/>
      <c r="X1548" s="15"/>
    </row>
    <row r="1549">
      <c r="A1549" s="7">
        <v>1548.0</v>
      </c>
      <c r="B1549" s="8" t="s">
        <v>6696</v>
      </c>
      <c r="C1549" s="9" t="s">
        <v>6697</v>
      </c>
      <c r="D1549" s="10" t="str">
        <f>HYPERLINK("https://facebook.com/367089020688300_538775483519652", "367089020688300_538775483519652")</f>
        <v>367089020688300_538775483519652</v>
      </c>
      <c r="E1549" s="11">
        <v>7.0</v>
      </c>
      <c r="F1549" s="11">
        <v>0.0</v>
      </c>
      <c r="G1549" s="11">
        <v>4.0</v>
      </c>
      <c r="H1549" s="9" t="s">
        <v>26</v>
      </c>
      <c r="I1549" s="9" t="s">
        <v>6698</v>
      </c>
      <c r="J1549" s="16" t="s">
        <v>6699</v>
      </c>
      <c r="K1549" s="9"/>
      <c r="L1549" s="9" t="s">
        <v>30</v>
      </c>
      <c r="M1549" s="9" t="s">
        <v>31</v>
      </c>
      <c r="N1549" s="9" t="s">
        <v>32</v>
      </c>
      <c r="O1549" s="12" t="s">
        <v>33</v>
      </c>
      <c r="P1549" s="12" t="s">
        <v>34</v>
      </c>
      <c r="Q1549" s="9"/>
      <c r="R1549" s="18"/>
      <c r="S1549" s="18"/>
      <c r="T1549" s="18"/>
      <c r="U1549" s="18"/>
      <c r="V1549" s="18"/>
      <c r="W1549" s="15"/>
      <c r="X1549" s="15"/>
    </row>
    <row r="1550">
      <c r="A1550" s="7">
        <v>1549.0</v>
      </c>
      <c r="B1550" s="8" t="s">
        <v>6700</v>
      </c>
      <c r="C1550" s="9" t="s">
        <v>6701</v>
      </c>
      <c r="D1550" s="10" t="str">
        <f>HYPERLINK("https://facebook.com/367089020688300_457528201644381", "367089020688300_457528201644381")</f>
        <v>367089020688300_457528201644381</v>
      </c>
      <c r="E1550" s="11">
        <v>280.0</v>
      </c>
      <c r="F1550" s="11">
        <v>15.0</v>
      </c>
      <c r="G1550" s="11">
        <v>421.0</v>
      </c>
      <c r="H1550" s="9" t="s">
        <v>26</v>
      </c>
      <c r="I1550" s="9" t="s">
        <v>6702</v>
      </c>
      <c r="J1550" s="9" t="s">
        <v>6703</v>
      </c>
      <c r="K1550" s="9" t="s">
        <v>6704</v>
      </c>
      <c r="L1550" s="9" t="s">
        <v>30</v>
      </c>
      <c r="M1550" s="9" t="s">
        <v>31</v>
      </c>
      <c r="N1550" s="9" t="s">
        <v>32</v>
      </c>
      <c r="O1550" s="12" t="s">
        <v>33</v>
      </c>
      <c r="P1550" s="12" t="s">
        <v>34</v>
      </c>
      <c r="Q1550" s="9"/>
      <c r="R1550" s="18"/>
      <c r="S1550" s="18"/>
      <c r="T1550" s="18"/>
      <c r="U1550" s="18"/>
      <c r="V1550" s="18"/>
      <c r="W1550" s="15"/>
      <c r="X1550" s="15"/>
    </row>
    <row r="1551">
      <c r="A1551" s="7">
        <v>1550.0</v>
      </c>
      <c r="B1551" s="8" t="s">
        <v>6705</v>
      </c>
      <c r="C1551" s="9" t="s">
        <v>6706</v>
      </c>
      <c r="D1551" s="10" t="str">
        <f>HYPERLINK("https://facebook.com/367089020688300_520329818697552", "367089020688300_520329818697552")</f>
        <v>367089020688300_520329818697552</v>
      </c>
      <c r="E1551" s="11">
        <v>71.0</v>
      </c>
      <c r="F1551" s="11">
        <v>1.0</v>
      </c>
      <c r="G1551" s="11">
        <v>57.0</v>
      </c>
      <c r="H1551" s="9" t="s">
        <v>26</v>
      </c>
      <c r="I1551" s="9" t="s">
        <v>6707</v>
      </c>
      <c r="J1551" s="9" t="s">
        <v>6708</v>
      </c>
      <c r="K1551" s="9" t="s">
        <v>6709</v>
      </c>
      <c r="L1551" s="9" t="s">
        <v>30</v>
      </c>
      <c r="M1551" s="9" t="s">
        <v>31</v>
      </c>
      <c r="N1551" s="9" t="s">
        <v>32</v>
      </c>
      <c r="O1551" s="12" t="s">
        <v>33</v>
      </c>
      <c r="P1551" s="12" t="s">
        <v>34</v>
      </c>
      <c r="Q1551" s="9"/>
      <c r="R1551" s="18"/>
      <c r="S1551" s="18"/>
      <c r="T1551" s="18"/>
      <c r="U1551" s="18"/>
      <c r="V1551" s="18"/>
      <c r="W1551" s="15"/>
      <c r="X1551" s="15"/>
    </row>
    <row r="1552">
      <c r="A1552" s="7">
        <v>1551.0</v>
      </c>
      <c r="B1552" s="8" t="s">
        <v>6710</v>
      </c>
      <c r="C1552" s="9" t="s">
        <v>6711</v>
      </c>
      <c r="D1552" s="10" t="str">
        <f>HYPERLINK("https://facebook.com/367089020688300_539911290072738", "367089020688300_539911290072738")</f>
        <v>367089020688300_539911290072738</v>
      </c>
      <c r="E1552" s="11">
        <v>11.0</v>
      </c>
      <c r="F1552" s="11">
        <v>0.0</v>
      </c>
      <c r="G1552" s="11">
        <v>10.0</v>
      </c>
      <c r="H1552" s="9" t="s">
        <v>26</v>
      </c>
      <c r="I1552" s="9" t="s">
        <v>6712</v>
      </c>
      <c r="J1552" s="16" t="s">
        <v>6713</v>
      </c>
      <c r="K1552" s="9"/>
      <c r="L1552" s="9" t="s">
        <v>30</v>
      </c>
      <c r="M1552" s="9" t="s">
        <v>31</v>
      </c>
      <c r="N1552" s="9" t="s">
        <v>32</v>
      </c>
      <c r="O1552" s="12" t="s">
        <v>33</v>
      </c>
      <c r="P1552" s="12" t="s">
        <v>34</v>
      </c>
      <c r="Q1552" s="9"/>
      <c r="R1552" s="18"/>
      <c r="S1552" s="18"/>
      <c r="T1552" s="18"/>
      <c r="U1552" s="18"/>
      <c r="V1552" s="18"/>
      <c r="W1552" s="15"/>
      <c r="X1552" s="15"/>
    </row>
    <row r="1553">
      <c r="A1553" s="7">
        <v>1552.0</v>
      </c>
      <c r="B1553" s="8" t="s">
        <v>6714</v>
      </c>
      <c r="C1553" s="9" t="s">
        <v>6715</v>
      </c>
      <c r="D1553" s="10" t="str">
        <f>HYPERLINK("https://facebook.com/367089020688300_400081924055676", "367089020688300_400081924055676")</f>
        <v>367089020688300_400081924055676</v>
      </c>
      <c r="E1553" s="11">
        <v>609.0</v>
      </c>
      <c r="F1553" s="11">
        <v>13.0</v>
      </c>
      <c r="G1553" s="11">
        <v>622.0</v>
      </c>
      <c r="H1553" s="9" t="s">
        <v>26</v>
      </c>
      <c r="I1553" s="9" t="s">
        <v>2126</v>
      </c>
      <c r="J1553" s="9" t="s">
        <v>6716</v>
      </c>
      <c r="K1553" s="9" t="s">
        <v>6717</v>
      </c>
      <c r="L1553" s="9" t="s">
        <v>30</v>
      </c>
      <c r="M1553" s="9" t="s">
        <v>31</v>
      </c>
      <c r="N1553" s="9" t="s">
        <v>32</v>
      </c>
      <c r="O1553" s="12" t="s">
        <v>33</v>
      </c>
      <c r="P1553" s="12" t="s">
        <v>34</v>
      </c>
      <c r="Q1553" s="9"/>
      <c r="R1553" s="18"/>
      <c r="S1553" s="18"/>
      <c r="T1553" s="18"/>
      <c r="U1553" s="18"/>
      <c r="V1553" s="18"/>
      <c r="W1553" s="15"/>
      <c r="X1553" s="15"/>
    </row>
    <row r="1554">
      <c r="A1554" s="7">
        <v>1553.0</v>
      </c>
      <c r="B1554" s="8" t="s">
        <v>6718</v>
      </c>
      <c r="C1554" s="9" t="s">
        <v>6719</v>
      </c>
      <c r="D1554" s="10" t="str">
        <f>HYPERLINK("https://facebook.com/367089020688300_511378522926015", "367089020688300_511378522926015")</f>
        <v>367089020688300_511378522926015</v>
      </c>
      <c r="E1554" s="11">
        <v>14.0</v>
      </c>
      <c r="F1554" s="11">
        <v>0.0</v>
      </c>
      <c r="G1554" s="11">
        <v>23.0</v>
      </c>
      <c r="H1554" s="9" t="s">
        <v>26</v>
      </c>
      <c r="I1554" s="9" t="s">
        <v>6720</v>
      </c>
      <c r="J1554" s="9" t="s">
        <v>6721</v>
      </c>
      <c r="K1554" s="9" t="s">
        <v>51</v>
      </c>
      <c r="L1554" s="9" t="s">
        <v>30</v>
      </c>
      <c r="M1554" s="9" t="s">
        <v>31</v>
      </c>
      <c r="N1554" s="9" t="s">
        <v>32</v>
      </c>
      <c r="O1554" s="12" t="s">
        <v>33</v>
      </c>
      <c r="P1554" s="12" t="s">
        <v>34</v>
      </c>
      <c r="Q1554" s="9"/>
      <c r="R1554" s="18"/>
      <c r="S1554" s="18"/>
      <c r="T1554" s="18"/>
      <c r="U1554" s="18"/>
      <c r="V1554" s="18"/>
      <c r="W1554" s="15"/>
      <c r="X1554" s="15"/>
    </row>
    <row r="1555">
      <c r="A1555" s="7">
        <v>1554.0</v>
      </c>
      <c r="B1555" s="8" t="s">
        <v>6722</v>
      </c>
      <c r="C1555" s="9" t="s">
        <v>6723</v>
      </c>
      <c r="D1555" s="10" t="str">
        <f>HYPERLINK("https://facebook.com/367089020688300_537089533688247", "367089020688300_537089533688247")</f>
        <v>367089020688300_537089533688247</v>
      </c>
      <c r="E1555" s="11">
        <v>38.0</v>
      </c>
      <c r="F1555" s="11">
        <v>0.0</v>
      </c>
      <c r="G1555" s="11">
        <v>19.0</v>
      </c>
      <c r="H1555" s="9" t="s">
        <v>26</v>
      </c>
      <c r="I1555" s="9" t="s">
        <v>4711</v>
      </c>
      <c r="J1555" s="16" t="s">
        <v>4712</v>
      </c>
      <c r="K1555" s="9"/>
      <c r="L1555" s="9" t="s">
        <v>30</v>
      </c>
      <c r="M1555" s="9" t="s">
        <v>31</v>
      </c>
      <c r="N1555" s="9" t="s">
        <v>32</v>
      </c>
      <c r="O1555" s="12" t="s">
        <v>33</v>
      </c>
      <c r="P1555" s="12" t="s">
        <v>34</v>
      </c>
      <c r="Q1555" s="9"/>
      <c r="R1555" s="18"/>
      <c r="S1555" s="18"/>
      <c r="T1555" s="18"/>
      <c r="U1555" s="18"/>
      <c r="V1555" s="18"/>
      <c r="W1555" s="15"/>
      <c r="X1555" s="15"/>
    </row>
    <row r="1556">
      <c r="A1556" s="7">
        <v>1555.0</v>
      </c>
      <c r="B1556" s="8" t="s">
        <v>6724</v>
      </c>
      <c r="C1556" s="9" t="s">
        <v>6725</v>
      </c>
      <c r="D1556" s="10" t="str">
        <f>HYPERLINK("https://facebook.com/367089020688300_553865808677286", "367089020688300_553865808677286")</f>
        <v>367089020688300_553865808677286</v>
      </c>
      <c r="E1556" s="11">
        <v>144.0</v>
      </c>
      <c r="F1556" s="11">
        <v>4.0</v>
      </c>
      <c r="G1556" s="11">
        <v>134.0</v>
      </c>
      <c r="H1556" s="9" t="s">
        <v>26</v>
      </c>
      <c r="I1556" s="9" t="s">
        <v>6726</v>
      </c>
      <c r="J1556" s="16" t="s">
        <v>6727</v>
      </c>
      <c r="K1556" s="9"/>
      <c r="L1556" s="9" t="s">
        <v>30</v>
      </c>
      <c r="M1556" s="9" t="s">
        <v>31</v>
      </c>
      <c r="N1556" s="9" t="s">
        <v>32</v>
      </c>
      <c r="O1556" s="12" t="s">
        <v>33</v>
      </c>
      <c r="P1556" s="12" t="s">
        <v>34</v>
      </c>
      <c r="Q1556" s="9"/>
      <c r="R1556" s="18"/>
      <c r="S1556" s="18"/>
      <c r="T1556" s="18"/>
      <c r="U1556" s="18"/>
      <c r="V1556" s="18"/>
      <c r="W1556" s="15"/>
      <c r="X1556" s="15"/>
    </row>
    <row r="1557">
      <c r="A1557" s="7">
        <v>1556.0</v>
      </c>
      <c r="B1557" s="8" t="s">
        <v>6728</v>
      </c>
      <c r="C1557" s="9" t="s">
        <v>6729</v>
      </c>
      <c r="D1557" s="10" t="str">
        <f>HYPERLINK("https://facebook.com/367089020688300_554332155297318", "367089020688300_554332155297318")</f>
        <v>367089020688300_554332155297318</v>
      </c>
      <c r="E1557" s="11">
        <v>97.0</v>
      </c>
      <c r="F1557" s="11">
        <v>0.0</v>
      </c>
      <c r="G1557" s="11">
        <v>107.0</v>
      </c>
      <c r="H1557" s="9" t="s">
        <v>26</v>
      </c>
      <c r="I1557" s="9" t="s">
        <v>6730</v>
      </c>
      <c r="J1557" s="16" t="s">
        <v>6731</v>
      </c>
      <c r="K1557" s="9"/>
      <c r="L1557" s="9" t="s">
        <v>30</v>
      </c>
      <c r="M1557" s="9" t="s">
        <v>31</v>
      </c>
      <c r="N1557" s="9" t="s">
        <v>32</v>
      </c>
      <c r="O1557" s="12" t="s">
        <v>33</v>
      </c>
      <c r="P1557" s="12" t="s">
        <v>34</v>
      </c>
      <c r="Q1557" s="9"/>
      <c r="R1557" s="18"/>
      <c r="S1557" s="18"/>
      <c r="T1557" s="18"/>
      <c r="U1557" s="18"/>
      <c r="V1557" s="18"/>
      <c r="W1557" s="15"/>
      <c r="X1557" s="15"/>
    </row>
    <row r="1558">
      <c r="A1558" s="7">
        <v>1557.0</v>
      </c>
      <c r="B1558" s="8" t="s">
        <v>6732</v>
      </c>
      <c r="C1558" s="9" t="s">
        <v>6733</v>
      </c>
      <c r="D1558" s="10" t="str">
        <f>HYPERLINK("https://facebook.com/367089020688300_548649205865613", "367089020688300_548649205865613")</f>
        <v>367089020688300_548649205865613</v>
      </c>
      <c r="E1558" s="11">
        <v>64.0</v>
      </c>
      <c r="F1558" s="11">
        <v>0.0</v>
      </c>
      <c r="G1558" s="11">
        <v>35.0</v>
      </c>
      <c r="H1558" s="9" t="s">
        <v>26</v>
      </c>
      <c r="I1558" s="9" t="s">
        <v>6734</v>
      </c>
      <c r="J1558" s="16" t="s">
        <v>6735</v>
      </c>
      <c r="K1558" s="9"/>
      <c r="L1558" s="9" t="s">
        <v>30</v>
      </c>
      <c r="M1558" s="9" t="s">
        <v>31</v>
      </c>
      <c r="N1558" s="9" t="s">
        <v>32</v>
      </c>
      <c r="O1558" s="12" t="s">
        <v>33</v>
      </c>
      <c r="P1558" s="12" t="s">
        <v>34</v>
      </c>
      <c r="Q1558" s="9"/>
      <c r="R1558" s="18"/>
      <c r="S1558" s="18"/>
      <c r="T1558" s="18"/>
      <c r="U1558" s="18"/>
      <c r="V1558" s="18"/>
      <c r="W1558" s="15"/>
      <c r="X1558" s="15"/>
    </row>
    <row r="1559">
      <c r="A1559" s="7">
        <v>1558.0</v>
      </c>
      <c r="B1559" s="8" t="s">
        <v>6736</v>
      </c>
      <c r="C1559" s="9" t="s">
        <v>6737</v>
      </c>
      <c r="D1559" s="10" t="str">
        <f>HYPERLINK("https://facebook.com/367089020688300_559045351492665", "367089020688300_559045351492665")</f>
        <v>367089020688300_559045351492665</v>
      </c>
      <c r="E1559" s="11">
        <v>22.0</v>
      </c>
      <c r="F1559" s="11">
        <v>0.0</v>
      </c>
      <c r="G1559" s="11">
        <v>20.0</v>
      </c>
      <c r="H1559" s="9" t="s">
        <v>26</v>
      </c>
      <c r="I1559" s="9" t="s">
        <v>6738</v>
      </c>
      <c r="J1559" s="16" t="s">
        <v>6739</v>
      </c>
      <c r="K1559" s="9"/>
      <c r="L1559" s="9" t="s">
        <v>30</v>
      </c>
      <c r="M1559" s="9" t="s">
        <v>31</v>
      </c>
      <c r="N1559" s="9" t="s">
        <v>32</v>
      </c>
      <c r="O1559" s="12" t="s">
        <v>33</v>
      </c>
      <c r="P1559" s="12" t="s">
        <v>34</v>
      </c>
      <c r="Q1559" s="9"/>
      <c r="R1559" s="18"/>
      <c r="S1559" s="18"/>
      <c r="T1559" s="18"/>
      <c r="U1559" s="18"/>
      <c r="V1559" s="18"/>
      <c r="W1559" s="15"/>
      <c r="X1559" s="15"/>
    </row>
    <row r="1560">
      <c r="A1560" s="7">
        <v>1559.0</v>
      </c>
      <c r="B1560" s="8" t="s">
        <v>6740</v>
      </c>
      <c r="C1560" s="9" t="s">
        <v>6741</v>
      </c>
      <c r="D1560" s="10" t="str">
        <f>HYPERLINK("https://facebook.com/367089020688300_460574128006455", "367089020688300_460574128006455")</f>
        <v>367089020688300_460574128006455</v>
      </c>
      <c r="E1560" s="11">
        <v>1914.0</v>
      </c>
      <c r="F1560" s="11">
        <v>19.0</v>
      </c>
      <c r="G1560" s="11">
        <v>1501.0</v>
      </c>
      <c r="H1560" s="9" t="s">
        <v>26</v>
      </c>
      <c r="I1560" s="9" t="s">
        <v>6742</v>
      </c>
      <c r="J1560" s="9" t="s">
        <v>6743</v>
      </c>
      <c r="K1560" s="9" t="s">
        <v>249</v>
      </c>
      <c r="L1560" s="9" t="s">
        <v>30</v>
      </c>
      <c r="M1560" s="9" t="s">
        <v>31</v>
      </c>
      <c r="N1560" s="9" t="s">
        <v>32</v>
      </c>
      <c r="O1560" s="12" t="s">
        <v>33</v>
      </c>
      <c r="P1560" s="12" t="s">
        <v>34</v>
      </c>
      <c r="Q1560" s="9"/>
      <c r="R1560" s="18"/>
      <c r="S1560" s="18"/>
      <c r="T1560" s="18"/>
      <c r="U1560" s="18"/>
      <c r="V1560" s="18"/>
      <c r="W1560" s="15"/>
      <c r="X1560" s="15"/>
    </row>
    <row r="1561">
      <c r="A1561" s="7">
        <v>1560.0</v>
      </c>
      <c r="B1561" s="8" t="s">
        <v>6744</v>
      </c>
      <c r="C1561" s="9" t="s">
        <v>6745</v>
      </c>
      <c r="D1561" s="10" t="str">
        <f>HYPERLINK("https://facebook.com/367089020688300_559581211439079", "367089020688300_559581211439079")</f>
        <v>367089020688300_559581211439079</v>
      </c>
      <c r="E1561" s="11">
        <v>484.0</v>
      </c>
      <c r="F1561" s="11">
        <v>3.0</v>
      </c>
      <c r="G1561" s="11">
        <v>211.0</v>
      </c>
      <c r="H1561" s="9" t="s">
        <v>26</v>
      </c>
      <c r="I1561" s="9" t="s">
        <v>6746</v>
      </c>
      <c r="J1561" s="9" t="s">
        <v>6747</v>
      </c>
      <c r="K1561" s="9" t="s">
        <v>6748</v>
      </c>
      <c r="L1561" s="9" t="s">
        <v>30</v>
      </c>
      <c r="M1561" s="9" t="s">
        <v>31</v>
      </c>
      <c r="N1561" s="9" t="s">
        <v>32</v>
      </c>
      <c r="O1561" s="12" t="s">
        <v>33</v>
      </c>
      <c r="P1561" s="12" t="s">
        <v>34</v>
      </c>
      <c r="Q1561" s="9"/>
      <c r="R1561" s="18"/>
      <c r="S1561" s="18"/>
      <c r="T1561" s="18"/>
      <c r="U1561" s="18"/>
      <c r="V1561" s="18"/>
      <c r="W1561" s="15"/>
      <c r="X1561" s="15"/>
    </row>
    <row r="1562">
      <c r="A1562" s="7">
        <v>1561.0</v>
      </c>
      <c r="B1562" s="8" t="s">
        <v>6749</v>
      </c>
      <c r="C1562" s="9" t="s">
        <v>6750</v>
      </c>
      <c r="D1562" s="10" t="str">
        <f>HYPERLINK("https://facebook.com/367089020688300_556749638388903", "367089020688300_556749638388903")</f>
        <v>367089020688300_556749638388903</v>
      </c>
      <c r="E1562" s="11">
        <v>15.0</v>
      </c>
      <c r="F1562" s="11">
        <v>0.0</v>
      </c>
      <c r="G1562" s="11">
        <v>8.0</v>
      </c>
      <c r="H1562" s="9" t="s">
        <v>26</v>
      </c>
      <c r="I1562" s="9" t="s">
        <v>6751</v>
      </c>
      <c r="J1562" s="16" t="s">
        <v>6752</v>
      </c>
      <c r="K1562" s="9"/>
      <c r="L1562" s="9" t="s">
        <v>30</v>
      </c>
      <c r="M1562" s="9" t="s">
        <v>31</v>
      </c>
      <c r="N1562" s="9" t="s">
        <v>32</v>
      </c>
      <c r="O1562" s="12" t="s">
        <v>33</v>
      </c>
      <c r="P1562" s="12" t="s">
        <v>34</v>
      </c>
      <c r="Q1562" s="9"/>
      <c r="R1562" s="18"/>
      <c r="S1562" s="18"/>
      <c r="T1562" s="18"/>
      <c r="U1562" s="18"/>
      <c r="V1562" s="18"/>
      <c r="W1562" s="15"/>
      <c r="X1562" s="15"/>
    </row>
    <row r="1563">
      <c r="A1563" s="7">
        <v>1562.0</v>
      </c>
      <c r="B1563" s="8" t="s">
        <v>6753</v>
      </c>
      <c r="C1563" s="9" t="s">
        <v>6754</v>
      </c>
      <c r="D1563" s="10" t="str">
        <f>HYPERLINK("https://facebook.com/367089020688300_537862946944239", "367089020688300_537862946944239")</f>
        <v>367089020688300_537862946944239</v>
      </c>
      <c r="E1563" s="11">
        <v>1010.0</v>
      </c>
      <c r="F1563" s="11">
        <v>113.0</v>
      </c>
      <c r="G1563" s="11">
        <v>822.0</v>
      </c>
      <c r="H1563" s="9" t="s">
        <v>26</v>
      </c>
      <c r="I1563" s="9" t="s">
        <v>6755</v>
      </c>
      <c r="J1563" s="16" t="s">
        <v>6756</v>
      </c>
      <c r="K1563" s="9"/>
      <c r="L1563" s="9" t="s">
        <v>30</v>
      </c>
      <c r="M1563" s="9" t="s">
        <v>31</v>
      </c>
      <c r="N1563" s="9" t="s">
        <v>32</v>
      </c>
      <c r="O1563" s="12" t="s">
        <v>33</v>
      </c>
      <c r="P1563" s="12" t="s">
        <v>34</v>
      </c>
      <c r="Q1563" s="9"/>
      <c r="R1563" s="18"/>
      <c r="S1563" s="18"/>
      <c r="T1563" s="18"/>
      <c r="U1563" s="18"/>
      <c r="V1563" s="18"/>
      <c r="W1563" s="15"/>
      <c r="X1563" s="15"/>
    </row>
    <row r="1564">
      <c r="A1564" s="7">
        <v>1563.0</v>
      </c>
      <c r="B1564" s="8" t="s">
        <v>6757</v>
      </c>
      <c r="C1564" s="9" t="s">
        <v>6758</v>
      </c>
      <c r="D1564" s="10" t="str">
        <f>HYPERLINK("https://facebook.com/367089020688300_552401078823759", "367089020688300_552401078823759")</f>
        <v>367089020688300_552401078823759</v>
      </c>
      <c r="E1564" s="11">
        <v>14.0</v>
      </c>
      <c r="F1564" s="11">
        <v>0.0</v>
      </c>
      <c r="G1564" s="11">
        <v>6.0</v>
      </c>
      <c r="H1564" s="9" t="s">
        <v>26</v>
      </c>
      <c r="I1564" s="9" t="s">
        <v>6759</v>
      </c>
      <c r="J1564" s="16" t="s">
        <v>6760</v>
      </c>
      <c r="K1564" s="9"/>
      <c r="L1564" s="9" t="s">
        <v>30</v>
      </c>
      <c r="M1564" s="9" t="s">
        <v>31</v>
      </c>
      <c r="N1564" s="9" t="s">
        <v>32</v>
      </c>
      <c r="O1564" s="12" t="s">
        <v>33</v>
      </c>
      <c r="P1564" s="12" t="s">
        <v>34</v>
      </c>
      <c r="Q1564" s="9"/>
      <c r="R1564" s="18"/>
      <c r="S1564" s="18"/>
      <c r="T1564" s="18"/>
      <c r="U1564" s="18"/>
      <c r="V1564" s="18"/>
      <c r="W1564" s="15"/>
      <c r="X1564" s="15"/>
    </row>
    <row r="1565">
      <c r="A1565" s="7">
        <v>1564.0</v>
      </c>
      <c r="B1565" s="8" t="s">
        <v>6761</v>
      </c>
      <c r="C1565" s="9" t="s">
        <v>6762</v>
      </c>
      <c r="D1565" s="10" t="str">
        <f>HYPERLINK("https://facebook.com/367089020688300_508179216579279", "367089020688300_508179216579279")</f>
        <v>367089020688300_508179216579279</v>
      </c>
      <c r="E1565" s="11">
        <v>28.0</v>
      </c>
      <c r="F1565" s="11">
        <v>1.0</v>
      </c>
      <c r="G1565" s="11">
        <v>67.0</v>
      </c>
      <c r="H1565" s="9" t="s">
        <v>26</v>
      </c>
      <c r="I1565" s="9" t="s">
        <v>6763</v>
      </c>
      <c r="J1565" s="9" t="s">
        <v>6764</v>
      </c>
      <c r="K1565" s="9" t="s">
        <v>6765</v>
      </c>
      <c r="L1565" s="9" t="s">
        <v>30</v>
      </c>
      <c r="M1565" s="9" t="s">
        <v>31</v>
      </c>
      <c r="N1565" s="9" t="s">
        <v>32</v>
      </c>
      <c r="O1565" s="12" t="s">
        <v>33</v>
      </c>
      <c r="P1565" s="12" t="s">
        <v>34</v>
      </c>
      <c r="Q1565" s="9"/>
      <c r="R1565" s="18"/>
      <c r="S1565" s="18"/>
      <c r="T1565" s="18"/>
      <c r="U1565" s="18"/>
      <c r="V1565" s="18"/>
      <c r="W1565" s="15"/>
      <c r="X1565" s="15"/>
    </row>
    <row r="1566">
      <c r="A1566" s="7">
        <v>1565.0</v>
      </c>
      <c r="B1566" s="8" t="s">
        <v>6766</v>
      </c>
      <c r="C1566" s="9" t="s">
        <v>6767</v>
      </c>
      <c r="D1566" s="10" t="str">
        <f>HYPERLINK("https://facebook.com/367089020688300_546888769374990", "367089020688300_546888769374990")</f>
        <v>367089020688300_546888769374990</v>
      </c>
      <c r="E1566" s="11">
        <v>895.0</v>
      </c>
      <c r="F1566" s="11">
        <v>22.0</v>
      </c>
      <c r="G1566" s="11">
        <v>417.0</v>
      </c>
      <c r="H1566" s="9" t="s">
        <v>26</v>
      </c>
      <c r="I1566" s="9" t="s">
        <v>6768</v>
      </c>
      <c r="J1566" s="16" t="s">
        <v>6769</v>
      </c>
      <c r="K1566" s="9"/>
      <c r="L1566" s="9" t="s">
        <v>30</v>
      </c>
      <c r="M1566" s="9" t="s">
        <v>31</v>
      </c>
      <c r="N1566" s="9" t="s">
        <v>32</v>
      </c>
      <c r="O1566" s="12" t="s">
        <v>33</v>
      </c>
      <c r="P1566" s="12" t="s">
        <v>34</v>
      </c>
      <c r="Q1566" s="9"/>
      <c r="R1566" s="18"/>
      <c r="S1566" s="18"/>
      <c r="T1566" s="18"/>
      <c r="U1566" s="18"/>
      <c r="V1566" s="18"/>
      <c r="W1566" s="15"/>
      <c r="X1566" s="15"/>
    </row>
    <row r="1567">
      <c r="A1567" s="7">
        <v>1566.0</v>
      </c>
      <c r="B1567" s="8" t="s">
        <v>6770</v>
      </c>
      <c r="C1567" s="9" t="s">
        <v>6771</v>
      </c>
      <c r="D1567" s="10" t="str">
        <f>HYPERLINK("https://facebook.com/367089020688300_511101972953670", "367089020688300_511101972953670")</f>
        <v>367089020688300_511101972953670</v>
      </c>
      <c r="E1567" s="11">
        <v>759.0</v>
      </c>
      <c r="F1567" s="11">
        <v>48.0</v>
      </c>
      <c r="G1567" s="11">
        <v>758.0</v>
      </c>
      <c r="H1567" s="9" t="s">
        <v>26</v>
      </c>
      <c r="I1567" s="9" t="s">
        <v>6772</v>
      </c>
      <c r="J1567" s="9" t="s">
        <v>6773</v>
      </c>
      <c r="K1567" s="9" t="s">
        <v>6774</v>
      </c>
      <c r="L1567" s="9" t="s">
        <v>30</v>
      </c>
      <c r="M1567" s="9" t="s">
        <v>31</v>
      </c>
      <c r="N1567" s="9" t="s">
        <v>32</v>
      </c>
      <c r="O1567" s="12" t="s">
        <v>33</v>
      </c>
      <c r="P1567" s="12" t="s">
        <v>34</v>
      </c>
      <c r="Q1567" s="9"/>
      <c r="R1567" s="18"/>
      <c r="S1567" s="18"/>
      <c r="T1567" s="18"/>
      <c r="U1567" s="18"/>
      <c r="V1567" s="18"/>
      <c r="W1567" s="15"/>
      <c r="X1567" s="15"/>
    </row>
    <row r="1568">
      <c r="A1568" s="7">
        <v>1567.0</v>
      </c>
      <c r="B1568" s="8" t="s">
        <v>6775</v>
      </c>
      <c r="C1568" s="9" t="s">
        <v>6776</v>
      </c>
      <c r="D1568" s="10" t="str">
        <f>HYPERLINK("https://facebook.com/367089020688300_556484648415402", "367089020688300_556484648415402")</f>
        <v>367089020688300_556484648415402</v>
      </c>
      <c r="E1568" s="11">
        <v>12.0</v>
      </c>
      <c r="F1568" s="11">
        <v>0.0</v>
      </c>
      <c r="G1568" s="11">
        <v>12.0</v>
      </c>
      <c r="H1568" s="9" t="s">
        <v>26</v>
      </c>
      <c r="I1568" s="9" t="s">
        <v>6777</v>
      </c>
      <c r="J1568" s="16" t="s">
        <v>6778</v>
      </c>
      <c r="K1568" s="9"/>
      <c r="L1568" s="9" t="s">
        <v>30</v>
      </c>
      <c r="M1568" s="9" t="s">
        <v>31</v>
      </c>
      <c r="N1568" s="9" t="s">
        <v>32</v>
      </c>
      <c r="O1568" s="12" t="s">
        <v>33</v>
      </c>
      <c r="P1568" s="12" t="s">
        <v>34</v>
      </c>
      <c r="Q1568" s="9"/>
      <c r="R1568" s="18"/>
      <c r="S1568" s="18"/>
      <c r="T1568" s="18"/>
      <c r="U1568" s="18"/>
      <c r="V1568" s="18"/>
      <c r="W1568" s="15"/>
      <c r="X1568" s="15"/>
    </row>
    <row r="1569">
      <c r="A1569" s="7">
        <v>1568.0</v>
      </c>
      <c r="B1569" s="8" t="s">
        <v>6779</v>
      </c>
      <c r="C1569" s="9" t="s">
        <v>6780</v>
      </c>
      <c r="D1569" s="10" t="str">
        <f>HYPERLINK("https://facebook.com/367089020688300_538900086840525", "367089020688300_538900086840525")</f>
        <v>367089020688300_538900086840525</v>
      </c>
      <c r="E1569" s="11">
        <v>10.0</v>
      </c>
      <c r="F1569" s="11">
        <v>0.0</v>
      </c>
      <c r="G1569" s="11">
        <v>11.0</v>
      </c>
      <c r="H1569" s="9" t="s">
        <v>26</v>
      </c>
      <c r="I1569" s="9" t="s">
        <v>6781</v>
      </c>
      <c r="J1569" s="9" t="s">
        <v>6782</v>
      </c>
      <c r="K1569" s="9" t="s">
        <v>6783</v>
      </c>
      <c r="L1569" s="9" t="s">
        <v>30</v>
      </c>
      <c r="M1569" s="9" t="s">
        <v>31</v>
      </c>
      <c r="N1569" s="9" t="s">
        <v>32</v>
      </c>
      <c r="O1569" s="12" t="s">
        <v>33</v>
      </c>
      <c r="P1569" s="12" t="s">
        <v>34</v>
      </c>
      <c r="Q1569" s="9"/>
      <c r="R1569" s="18"/>
      <c r="S1569" s="18"/>
      <c r="T1569" s="18"/>
      <c r="U1569" s="18"/>
      <c r="V1569" s="18"/>
      <c r="W1569" s="15"/>
      <c r="X1569" s="15"/>
    </row>
    <row r="1570">
      <c r="A1570" s="7">
        <v>1569.0</v>
      </c>
      <c r="B1570" s="8" t="s">
        <v>6784</v>
      </c>
      <c r="C1570" s="9" t="s">
        <v>6785</v>
      </c>
      <c r="D1570" s="10" t="str">
        <f>HYPERLINK("https://facebook.com/367089020688300_549473059116561", "367089020688300_549473059116561")</f>
        <v>367089020688300_549473059116561</v>
      </c>
      <c r="E1570" s="11">
        <v>29.0</v>
      </c>
      <c r="F1570" s="11">
        <v>0.0</v>
      </c>
      <c r="G1570" s="11">
        <v>29.0</v>
      </c>
      <c r="H1570" s="9" t="s">
        <v>26</v>
      </c>
      <c r="I1570" s="9" t="s">
        <v>6786</v>
      </c>
      <c r="J1570" s="16" t="s">
        <v>6787</v>
      </c>
      <c r="K1570" s="9"/>
      <c r="L1570" s="9" t="s">
        <v>30</v>
      </c>
      <c r="M1570" s="9" t="s">
        <v>31</v>
      </c>
      <c r="N1570" s="9" t="s">
        <v>32</v>
      </c>
      <c r="O1570" s="12" t="s">
        <v>33</v>
      </c>
      <c r="P1570" s="12" t="s">
        <v>34</v>
      </c>
      <c r="Q1570" s="9"/>
      <c r="R1570" s="18"/>
      <c r="S1570" s="18"/>
      <c r="T1570" s="18"/>
      <c r="U1570" s="18"/>
      <c r="V1570" s="18"/>
      <c r="W1570" s="15"/>
      <c r="X1570" s="15"/>
    </row>
    <row r="1571">
      <c r="A1571" s="7">
        <v>1570.0</v>
      </c>
      <c r="B1571" s="8" t="s">
        <v>6788</v>
      </c>
      <c r="C1571" s="9" t="s">
        <v>6789</v>
      </c>
      <c r="D1571" s="10" t="str">
        <f>HYPERLINK("https://facebook.com/367089020688300_563165651080635", "367089020688300_563165651080635")</f>
        <v>367089020688300_563165651080635</v>
      </c>
      <c r="E1571" s="11">
        <v>53.0</v>
      </c>
      <c r="F1571" s="11">
        <v>1.0</v>
      </c>
      <c r="G1571" s="11">
        <v>66.0</v>
      </c>
      <c r="H1571" s="9" t="s">
        <v>26</v>
      </c>
      <c r="I1571" s="9" t="s">
        <v>6790</v>
      </c>
      <c r="J1571" s="16" t="s">
        <v>6791</v>
      </c>
      <c r="K1571" s="9"/>
      <c r="L1571" s="9" t="s">
        <v>30</v>
      </c>
      <c r="M1571" s="9" t="s">
        <v>31</v>
      </c>
      <c r="N1571" s="9" t="s">
        <v>32</v>
      </c>
      <c r="O1571" s="12" t="s">
        <v>33</v>
      </c>
      <c r="P1571" s="12" t="s">
        <v>34</v>
      </c>
      <c r="Q1571" s="9"/>
      <c r="R1571" s="18"/>
      <c r="S1571" s="18"/>
      <c r="T1571" s="18"/>
      <c r="U1571" s="18"/>
      <c r="V1571" s="18"/>
      <c r="W1571" s="15"/>
      <c r="X1571" s="15"/>
    </row>
    <row r="1572">
      <c r="A1572" s="7">
        <v>1571.0</v>
      </c>
      <c r="B1572" s="8" t="s">
        <v>6792</v>
      </c>
      <c r="C1572" s="9" t="s">
        <v>6793</v>
      </c>
      <c r="D1572" s="10" t="str">
        <f>HYPERLINK("https://facebook.com/367089020688300_523442268386307", "367089020688300_523442268386307")</f>
        <v>367089020688300_523442268386307</v>
      </c>
      <c r="E1572" s="11">
        <v>177.0</v>
      </c>
      <c r="F1572" s="11">
        <v>4.0</v>
      </c>
      <c r="G1572" s="11">
        <v>159.0</v>
      </c>
      <c r="H1572" s="9" t="s">
        <v>26</v>
      </c>
      <c r="I1572" s="9" t="s">
        <v>6794</v>
      </c>
      <c r="J1572" s="9" t="s">
        <v>6795</v>
      </c>
      <c r="K1572" s="9" t="s">
        <v>6796</v>
      </c>
      <c r="L1572" s="9" t="s">
        <v>30</v>
      </c>
      <c r="M1572" s="9" t="s">
        <v>31</v>
      </c>
      <c r="N1572" s="9" t="s">
        <v>32</v>
      </c>
      <c r="O1572" s="12" t="s">
        <v>33</v>
      </c>
      <c r="P1572" s="12" t="s">
        <v>34</v>
      </c>
      <c r="Q1572" s="9"/>
      <c r="R1572" s="18"/>
      <c r="S1572" s="18"/>
      <c r="T1572" s="18"/>
      <c r="U1572" s="18"/>
      <c r="V1572" s="18"/>
      <c r="W1572" s="15"/>
      <c r="X1572" s="15"/>
    </row>
    <row r="1573">
      <c r="A1573" s="7">
        <v>1572.0</v>
      </c>
      <c r="B1573" s="8" t="s">
        <v>6797</v>
      </c>
      <c r="C1573" s="9" t="s">
        <v>6798</v>
      </c>
      <c r="D1573" s="10" t="str">
        <f>HYPERLINK("https://facebook.com/367089020688300_395849647812237", "367089020688300_395849647812237")</f>
        <v>367089020688300_395849647812237</v>
      </c>
      <c r="E1573" s="11">
        <v>478.0</v>
      </c>
      <c r="F1573" s="11">
        <v>14.0</v>
      </c>
      <c r="G1573" s="11">
        <v>192.0</v>
      </c>
      <c r="H1573" s="9" t="s">
        <v>26</v>
      </c>
      <c r="I1573" s="9" t="s">
        <v>6799</v>
      </c>
      <c r="J1573" s="9" t="s">
        <v>6800</v>
      </c>
      <c r="K1573" s="9" t="s">
        <v>6801</v>
      </c>
      <c r="L1573" s="9" t="s">
        <v>30</v>
      </c>
      <c r="M1573" s="9" t="s">
        <v>31</v>
      </c>
      <c r="N1573" s="9" t="s">
        <v>32</v>
      </c>
      <c r="O1573" s="12" t="s">
        <v>33</v>
      </c>
      <c r="P1573" s="12" t="s">
        <v>34</v>
      </c>
      <c r="Q1573" s="9"/>
      <c r="R1573" s="18"/>
      <c r="S1573" s="18"/>
      <c r="T1573" s="18"/>
      <c r="U1573" s="18"/>
      <c r="V1573" s="18"/>
      <c r="W1573" s="15"/>
      <c r="X1573" s="15"/>
    </row>
    <row r="1574">
      <c r="A1574" s="7">
        <v>1573.0</v>
      </c>
      <c r="B1574" s="8" t="s">
        <v>6802</v>
      </c>
      <c r="C1574" s="9" t="s">
        <v>6803</v>
      </c>
      <c r="D1574" s="10" t="str">
        <f>HYPERLINK("https://facebook.com/367089020688300_548987985831735", "367089020688300_548987985831735")</f>
        <v>367089020688300_548987985831735</v>
      </c>
      <c r="E1574" s="11">
        <v>69.0</v>
      </c>
      <c r="F1574" s="11">
        <v>1.0</v>
      </c>
      <c r="G1574" s="11">
        <v>59.0</v>
      </c>
      <c r="H1574" s="9" t="s">
        <v>26</v>
      </c>
      <c r="I1574" s="9" t="s">
        <v>6804</v>
      </c>
      <c r="J1574" s="16" t="s">
        <v>6805</v>
      </c>
      <c r="K1574" s="9"/>
      <c r="L1574" s="9" t="s">
        <v>30</v>
      </c>
      <c r="M1574" s="9" t="s">
        <v>31</v>
      </c>
      <c r="N1574" s="9" t="s">
        <v>32</v>
      </c>
      <c r="O1574" s="12" t="s">
        <v>33</v>
      </c>
      <c r="P1574" s="12" t="s">
        <v>34</v>
      </c>
      <c r="Q1574" s="9"/>
      <c r="R1574" s="18"/>
      <c r="S1574" s="18"/>
      <c r="T1574" s="18"/>
      <c r="U1574" s="18"/>
      <c r="V1574" s="18"/>
      <c r="W1574" s="15"/>
      <c r="X1574" s="15"/>
    </row>
    <row r="1575">
      <c r="A1575" s="7">
        <v>1574.0</v>
      </c>
      <c r="B1575" s="8" t="s">
        <v>6806</v>
      </c>
      <c r="C1575" s="9" t="s">
        <v>6807</v>
      </c>
      <c r="D1575" s="10" t="str">
        <f>HYPERLINK("https://facebook.com/367089020688300_479483752782159", "367089020688300_479483752782159")</f>
        <v>367089020688300_479483752782159</v>
      </c>
      <c r="E1575" s="11">
        <v>156.0</v>
      </c>
      <c r="F1575" s="11">
        <v>6.0</v>
      </c>
      <c r="G1575" s="11">
        <v>236.0</v>
      </c>
      <c r="H1575" s="9" t="s">
        <v>26</v>
      </c>
      <c r="I1575" s="9" t="s">
        <v>6808</v>
      </c>
      <c r="J1575" s="9" t="s">
        <v>6809</v>
      </c>
      <c r="K1575" s="9" t="s">
        <v>3003</v>
      </c>
      <c r="L1575" s="9" t="s">
        <v>30</v>
      </c>
      <c r="M1575" s="9" t="s">
        <v>31</v>
      </c>
      <c r="N1575" s="9" t="s">
        <v>32</v>
      </c>
      <c r="O1575" s="12" t="s">
        <v>33</v>
      </c>
      <c r="P1575" s="12" t="s">
        <v>34</v>
      </c>
      <c r="Q1575" s="9"/>
      <c r="R1575" s="18"/>
      <c r="S1575" s="18"/>
      <c r="T1575" s="18"/>
      <c r="U1575" s="18"/>
      <c r="V1575" s="18"/>
      <c r="W1575" s="15"/>
      <c r="X1575" s="15"/>
    </row>
    <row r="1576">
      <c r="A1576" s="7">
        <v>1575.0</v>
      </c>
      <c r="B1576" s="8" t="s">
        <v>6810</v>
      </c>
      <c r="C1576" s="9" t="s">
        <v>6811</v>
      </c>
      <c r="D1576" s="10" t="str">
        <f>HYPERLINK("https://facebook.com/367089020688300_552377388826128", "367089020688300_552377388826128")</f>
        <v>367089020688300_552377388826128</v>
      </c>
      <c r="E1576" s="11">
        <v>4525.0</v>
      </c>
      <c r="F1576" s="11">
        <v>90.0</v>
      </c>
      <c r="G1576" s="11">
        <v>752.0</v>
      </c>
      <c r="H1576" s="9" t="s">
        <v>26</v>
      </c>
      <c r="I1576" s="9" t="s">
        <v>6812</v>
      </c>
      <c r="J1576" s="16" t="s">
        <v>6813</v>
      </c>
      <c r="K1576" s="9"/>
      <c r="L1576" s="9" t="s">
        <v>30</v>
      </c>
      <c r="M1576" s="9" t="s">
        <v>31</v>
      </c>
      <c r="N1576" s="9" t="s">
        <v>32</v>
      </c>
      <c r="O1576" s="12" t="s">
        <v>33</v>
      </c>
      <c r="P1576" s="12" t="s">
        <v>34</v>
      </c>
      <c r="Q1576" s="9"/>
      <c r="R1576" s="18"/>
      <c r="S1576" s="18"/>
      <c r="T1576" s="18"/>
      <c r="U1576" s="18"/>
      <c r="V1576" s="18"/>
      <c r="W1576" s="15"/>
      <c r="X1576" s="15"/>
    </row>
    <row r="1577">
      <c r="A1577" s="7">
        <v>1576.0</v>
      </c>
      <c r="B1577" s="8" t="s">
        <v>6814</v>
      </c>
      <c r="C1577" s="9" t="s">
        <v>6815</v>
      </c>
      <c r="D1577" s="10" t="str">
        <f>HYPERLINK("https://facebook.com/367089020688300_536527063744494", "367089020688300_536527063744494")</f>
        <v>367089020688300_536527063744494</v>
      </c>
      <c r="E1577" s="11">
        <v>16.0</v>
      </c>
      <c r="F1577" s="11">
        <v>0.0</v>
      </c>
      <c r="G1577" s="11">
        <v>20.0</v>
      </c>
      <c r="H1577" s="9" t="s">
        <v>26</v>
      </c>
      <c r="I1577" s="9" t="s">
        <v>6816</v>
      </c>
      <c r="J1577" s="9" t="s">
        <v>6817</v>
      </c>
      <c r="K1577" s="9" t="s">
        <v>1286</v>
      </c>
      <c r="L1577" s="9" t="s">
        <v>30</v>
      </c>
      <c r="M1577" s="9" t="s">
        <v>31</v>
      </c>
      <c r="N1577" s="9" t="s">
        <v>32</v>
      </c>
      <c r="O1577" s="12" t="s">
        <v>33</v>
      </c>
      <c r="P1577" s="12" t="s">
        <v>34</v>
      </c>
      <c r="Q1577" s="9"/>
      <c r="R1577" s="18"/>
      <c r="S1577" s="18"/>
      <c r="T1577" s="18"/>
      <c r="U1577" s="18"/>
      <c r="V1577" s="18"/>
      <c r="W1577" s="15"/>
      <c r="X1577" s="15"/>
    </row>
    <row r="1578">
      <c r="A1578" s="7">
        <v>1577.0</v>
      </c>
      <c r="B1578" s="8" t="s">
        <v>6818</v>
      </c>
      <c r="C1578" s="9" t="s">
        <v>6819</v>
      </c>
      <c r="D1578" s="10" t="str">
        <f>HYPERLINK("https://facebook.com/367089020688300_558621068201760", "367089020688300_558621068201760")</f>
        <v>367089020688300_558621068201760</v>
      </c>
      <c r="E1578" s="11">
        <v>184.0</v>
      </c>
      <c r="F1578" s="11">
        <v>0.0</v>
      </c>
      <c r="G1578" s="11">
        <v>34.0</v>
      </c>
      <c r="H1578" s="9" t="s">
        <v>26</v>
      </c>
      <c r="I1578" s="9" t="s">
        <v>6820</v>
      </c>
      <c r="J1578" s="16" t="s">
        <v>6821</v>
      </c>
      <c r="K1578" s="9"/>
      <c r="L1578" s="9" t="s">
        <v>30</v>
      </c>
      <c r="M1578" s="9" t="s">
        <v>31</v>
      </c>
      <c r="N1578" s="9" t="s">
        <v>32</v>
      </c>
      <c r="O1578" s="12" t="s">
        <v>33</v>
      </c>
      <c r="P1578" s="12" t="s">
        <v>34</v>
      </c>
      <c r="Q1578" s="9"/>
      <c r="R1578" s="18"/>
      <c r="S1578" s="18"/>
      <c r="T1578" s="18"/>
      <c r="U1578" s="18"/>
      <c r="V1578" s="18"/>
      <c r="W1578" s="15"/>
      <c r="X1578" s="15"/>
    </row>
    <row r="1579">
      <c r="A1579" s="7">
        <v>1578.0</v>
      </c>
      <c r="B1579" s="8" t="s">
        <v>6822</v>
      </c>
      <c r="C1579" s="9" t="s">
        <v>6823</v>
      </c>
      <c r="D1579" s="10" t="str">
        <f>HYPERLINK("https://facebook.com/367089020688300_542468099817057", "367089020688300_542468099817057")</f>
        <v>367089020688300_542468099817057</v>
      </c>
      <c r="E1579" s="11">
        <v>3.0</v>
      </c>
      <c r="F1579" s="11">
        <v>0.0</v>
      </c>
      <c r="G1579" s="11">
        <v>17.0</v>
      </c>
      <c r="H1579" s="9" t="s">
        <v>26</v>
      </c>
      <c r="I1579" s="9" t="s">
        <v>6824</v>
      </c>
      <c r="J1579" s="9" t="s">
        <v>6825</v>
      </c>
      <c r="K1579" s="9" t="s">
        <v>214</v>
      </c>
      <c r="L1579" s="9" t="s">
        <v>30</v>
      </c>
      <c r="M1579" s="9" t="s">
        <v>31</v>
      </c>
      <c r="N1579" s="9" t="s">
        <v>32</v>
      </c>
      <c r="O1579" s="12" t="s">
        <v>33</v>
      </c>
      <c r="P1579" s="12" t="s">
        <v>34</v>
      </c>
      <c r="Q1579" s="9"/>
      <c r="R1579" s="18"/>
      <c r="S1579" s="18"/>
      <c r="T1579" s="18"/>
      <c r="U1579" s="18"/>
      <c r="V1579" s="18"/>
      <c r="W1579" s="15"/>
      <c r="X1579" s="15"/>
    </row>
    <row r="1580">
      <c r="A1580" s="7">
        <v>1579.0</v>
      </c>
      <c r="B1580" s="8" t="s">
        <v>6826</v>
      </c>
      <c r="C1580" s="9" t="s">
        <v>6827</v>
      </c>
      <c r="D1580" s="10" t="str">
        <f>HYPERLINK("https://facebook.com/367089020688300_459436551453546", "367089020688300_459436551453546")</f>
        <v>367089020688300_459436551453546</v>
      </c>
      <c r="E1580" s="11">
        <v>220.0</v>
      </c>
      <c r="F1580" s="11">
        <v>3.0</v>
      </c>
      <c r="G1580" s="11">
        <v>300.0</v>
      </c>
      <c r="H1580" s="9" t="s">
        <v>26</v>
      </c>
      <c r="I1580" s="9" t="s">
        <v>6828</v>
      </c>
      <c r="J1580" s="9" t="s">
        <v>6829</v>
      </c>
      <c r="K1580" s="9" t="s">
        <v>471</v>
      </c>
      <c r="L1580" s="9" t="s">
        <v>30</v>
      </c>
      <c r="M1580" s="9" t="s">
        <v>31</v>
      </c>
      <c r="N1580" s="9" t="s">
        <v>32</v>
      </c>
      <c r="O1580" s="12" t="s">
        <v>33</v>
      </c>
      <c r="P1580" s="12" t="s">
        <v>34</v>
      </c>
      <c r="Q1580" s="9"/>
      <c r="R1580" s="18"/>
      <c r="S1580" s="18"/>
      <c r="T1580" s="18"/>
      <c r="U1580" s="18"/>
      <c r="V1580" s="18"/>
      <c r="W1580" s="15"/>
      <c r="X1580" s="15"/>
    </row>
    <row r="1581">
      <c r="A1581" s="7">
        <v>1580.0</v>
      </c>
      <c r="B1581" s="8" t="s">
        <v>6830</v>
      </c>
      <c r="C1581" s="9" t="s">
        <v>6831</v>
      </c>
      <c r="D1581" s="10" t="str">
        <f>HYPERLINK("https://facebook.com/367089020688300_548089219254945", "367089020688300_548089219254945")</f>
        <v>367089020688300_548089219254945</v>
      </c>
      <c r="E1581" s="11">
        <v>13.0</v>
      </c>
      <c r="F1581" s="11">
        <v>0.0</v>
      </c>
      <c r="G1581" s="11">
        <v>0.0</v>
      </c>
      <c r="H1581" s="9" t="s">
        <v>26</v>
      </c>
      <c r="I1581" s="9" t="s">
        <v>1917</v>
      </c>
      <c r="J1581" s="16" t="s">
        <v>6060</v>
      </c>
      <c r="K1581" s="9"/>
      <c r="L1581" s="9" t="s">
        <v>30</v>
      </c>
      <c r="M1581" s="9" t="s">
        <v>31</v>
      </c>
      <c r="N1581" s="9" t="s">
        <v>32</v>
      </c>
      <c r="O1581" s="12" t="s">
        <v>33</v>
      </c>
      <c r="P1581" s="12" t="s">
        <v>34</v>
      </c>
      <c r="Q1581" s="9"/>
      <c r="R1581" s="18"/>
      <c r="S1581" s="18"/>
      <c r="T1581" s="18"/>
      <c r="U1581" s="18"/>
      <c r="V1581" s="18"/>
      <c r="W1581" s="15"/>
      <c r="X1581" s="15"/>
    </row>
    <row r="1582">
      <c r="A1582" s="7">
        <v>1581.0</v>
      </c>
      <c r="B1582" s="8" t="s">
        <v>6832</v>
      </c>
      <c r="C1582" s="9" t="s">
        <v>6833</v>
      </c>
      <c r="D1582" s="10" t="str">
        <f>HYPERLINK("https://facebook.com/367089020688300_549962862400914", "367089020688300_549962862400914")</f>
        <v>367089020688300_549962862400914</v>
      </c>
      <c r="E1582" s="11">
        <v>218.0</v>
      </c>
      <c r="F1582" s="11">
        <v>4.0</v>
      </c>
      <c r="G1582" s="11">
        <v>420.0</v>
      </c>
      <c r="H1582" s="9" t="s">
        <v>26</v>
      </c>
      <c r="I1582" s="9" t="s">
        <v>1173</v>
      </c>
      <c r="J1582" s="16" t="s">
        <v>6834</v>
      </c>
      <c r="K1582" s="9"/>
      <c r="L1582" s="9" t="s">
        <v>30</v>
      </c>
      <c r="M1582" s="9" t="s">
        <v>31</v>
      </c>
      <c r="N1582" s="9" t="s">
        <v>32</v>
      </c>
      <c r="O1582" s="12" t="s">
        <v>33</v>
      </c>
      <c r="P1582" s="12" t="s">
        <v>34</v>
      </c>
      <c r="Q1582" s="9"/>
      <c r="R1582" s="18"/>
      <c r="S1582" s="18"/>
      <c r="T1582" s="18"/>
      <c r="U1582" s="18"/>
      <c r="V1582" s="18"/>
      <c r="W1582" s="15"/>
      <c r="X1582" s="15"/>
    </row>
    <row r="1583">
      <c r="A1583" s="7">
        <v>1582.0</v>
      </c>
      <c r="B1583" s="8" t="s">
        <v>6835</v>
      </c>
      <c r="C1583" s="9" t="s">
        <v>6836</v>
      </c>
      <c r="D1583" s="10" t="str">
        <f>HYPERLINK("https://facebook.com/367089020688300_511595629570971", "367089020688300_511595629570971")</f>
        <v>367089020688300_511595629570971</v>
      </c>
      <c r="E1583" s="11">
        <v>1763.0</v>
      </c>
      <c r="F1583" s="11">
        <v>55.0</v>
      </c>
      <c r="G1583" s="11">
        <v>1255.0</v>
      </c>
      <c r="H1583" s="9" t="s">
        <v>26</v>
      </c>
      <c r="I1583" s="9" t="s">
        <v>6837</v>
      </c>
      <c r="J1583" s="16" t="s">
        <v>6838</v>
      </c>
      <c r="K1583" s="9"/>
      <c r="L1583" s="9" t="s">
        <v>30</v>
      </c>
      <c r="M1583" s="9" t="s">
        <v>31</v>
      </c>
      <c r="N1583" s="9" t="s">
        <v>32</v>
      </c>
      <c r="O1583" s="12" t="s">
        <v>33</v>
      </c>
      <c r="P1583" s="12" t="s">
        <v>34</v>
      </c>
      <c r="Q1583" s="9"/>
      <c r="R1583" s="18"/>
      <c r="S1583" s="18"/>
      <c r="T1583" s="18"/>
      <c r="U1583" s="18"/>
      <c r="V1583" s="18"/>
      <c r="W1583" s="15"/>
      <c r="X1583" s="15"/>
    </row>
    <row r="1584">
      <c r="A1584" s="7">
        <v>1583.0</v>
      </c>
      <c r="B1584" s="8" t="s">
        <v>6839</v>
      </c>
      <c r="C1584" s="9" t="s">
        <v>6840</v>
      </c>
      <c r="D1584" s="10" t="str">
        <f>HYPERLINK("https://facebook.com/367089020688300_559065601490640", "367089020688300_559065601490640")</f>
        <v>367089020688300_559065601490640</v>
      </c>
      <c r="E1584" s="11">
        <v>1.0</v>
      </c>
      <c r="F1584" s="11">
        <v>0.0</v>
      </c>
      <c r="G1584" s="11">
        <v>0.0</v>
      </c>
      <c r="H1584" s="9" t="s">
        <v>26</v>
      </c>
      <c r="I1584" s="9" t="s">
        <v>6841</v>
      </c>
      <c r="J1584" s="16" t="s">
        <v>6842</v>
      </c>
      <c r="K1584" s="9"/>
      <c r="L1584" s="9" t="s">
        <v>30</v>
      </c>
      <c r="M1584" s="9" t="s">
        <v>31</v>
      </c>
      <c r="N1584" s="9" t="s">
        <v>32</v>
      </c>
      <c r="O1584" s="12" t="s">
        <v>33</v>
      </c>
      <c r="P1584" s="12" t="s">
        <v>34</v>
      </c>
      <c r="Q1584" s="9"/>
      <c r="R1584" s="18"/>
      <c r="S1584" s="18"/>
      <c r="T1584" s="18"/>
      <c r="U1584" s="18"/>
      <c r="V1584" s="18"/>
      <c r="W1584" s="15"/>
      <c r="X1584" s="15"/>
    </row>
    <row r="1585">
      <c r="A1585" s="7">
        <v>1584.0</v>
      </c>
      <c r="B1585" s="8" t="s">
        <v>6843</v>
      </c>
      <c r="C1585" s="9" t="s">
        <v>6844</v>
      </c>
      <c r="D1585" s="10" t="str">
        <f>HYPERLINK("https://facebook.com/367089020688300_397307370999798", "367089020688300_397307370999798")</f>
        <v>367089020688300_397307370999798</v>
      </c>
      <c r="E1585" s="11">
        <v>57.0</v>
      </c>
      <c r="F1585" s="11">
        <v>0.0</v>
      </c>
      <c r="G1585" s="11">
        <v>86.0</v>
      </c>
      <c r="H1585" s="9" t="s">
        <v>26</v>
      </c>
      <c r="I1585" s="9" t="s">
        <v>6845</v>
      </c>
      <c r="J1585" s="16" t="s">
        <v>6846</v>
      </c>
      <c r="K1585" s="9"/>
      <c r="L1585" s="9" t="s">
        <v>30</v>
      </c>
      <c r="M1585" s="9" t="s">
        <v>31</v>
      </c>
      <c r="N1585" s="9" t="s">
        <v>32</v>
      </c>
      <c r="O1585" s="12" t="s">
        <v>33</v>
      </c>
      <c r="P1585" s="12" t="s">
        <v>34</v>
      </c>
      <c r="Q1585" s="9"/>
      <c r="R1585" s="18"/>
      <c r="S1585" s="18"/>
      <c r="T1585" s="18"/>
      <c r="U1585" s="18"/>
      <c r="V1585" s="18"/>
      <c r="W1585" s="15"/>
      <c r="X1585" s="15"/>
    </row>
    <row r="1586">
      <c r="A1586" s="7">
        <v>1585.0</v>
      </c>
      <c r="B1586" s="8" t="s">
        <v>6847</v>
      </c>
      <c r="C1586" s="9" t="s">
        <v>6848</v>
      </c>
      <c r="D1586" s="10" t="str">
        <f>HYPERLINK("https://facebook.com/367089020688300_418752028855332", "367089020688300_418752028855332")</f>
        <v>367089020688300_418752028855332</v>
      </c>
      <c r="E1586" s="11">
        <v>919.0</v>
      </c>
      <c r="F1586" s="11">
        <v>146.0</v>
      </c>
      <c r="G1586" s="11">
        <v>413.0</v>
      </c>
      <c r="H1586" s="9" t="s">
        <v>26</v>
      </c>
      <c r="I1586" s="9" t="s">
        <v>6849</v>
      </c>
      <c r="J1586" s="9" t="s">
        <v>6850</v>
      </c>
      <c r="K1586" s="9" t="s">
        <v>4518</v>
      </c>
      <c r="L1586" s="9" t="s">
        <v>30</v>
      </c>
      <c r="M1586" s="9" t="s">
        <v>31</v>
      </c>
      <c r="N1586" s="9" t="s">
        <v>32</v>
      </c>
      <c r="O1586" s="12" t="s">
        <v>33</v>
      </c>
      <c r="P1586" s="12" t="s">
        <v>34</v>
      </c>
      <c r="Q1586" s="9"/>
      <c r="R1586" s="18"/>
      <c r="S1586" s="18"/>
      <c r="T1586" s="18"/>
      <c r="U1586" s="18"/>
      <c r="V1586" s="18"/>
      <c r="W1586" s="15"/>
      <c r="X1586" s="15"/>
    </row>
    <row r="1587">
      <c r="A1587" s="7">
        <v>1586.0</v>
      </c>
      <c r="B1587" s="8" t="s">
        <v>6851</v>
      </c>
      <c r="C1587" s="9" t="s">
        <v>6852</v>
      </c>
      <c r="D1587" s="10" t="str">
        <f>HYPERLINK("https://facebook.com/367089020688300_550437279020139", "367089020688300_550437279020139")</f>
        <v>367089020688300_550437279020139</v>
      </c>
      <c r="E1587" s="11">
        <v>85.0</v>
      </c>
      <c r="F1587" s="11">
        <v>0.0</v>
      </c>
      <c r="G1587" s="11">
        <v>72.0</v>
      </c>
      <c r="H1587" s="9" t="s">
        <v>26</v>
      </c>
      <c r="I1587" s="9" t="s">
        <v>6853</v>
      </c>
      <c r="J1587" s="16" t="s">
        <v>6854</v>
      </c>
      <c r="K1587" s="9"/>
      <c r="L1587" s="9" t="s">
        <v>30</v>
      </c>
      <c r="M1587" s="9" t="s">
        <v>31</v>
      </c>
      <c r="N1587" s="9" t="s">
        <v>32</v>
      </c>
      <c r="O1587" s="12" t="s">
        <v>33</v>
      </c>
      <c r="P1587" s="12" t="s">
        <v>34</v>
      </c>
      <c r="Q1587" s="9"/>
      <c r="R1587" s="18"/>
      <c r="S1587" s="18"/>
      <c r="T1587" s="18"/>
      <c r="U1587" s="18"/>
      <c r="V1587" s="18"/>
      <c r="W1587" s="15"/>
      <c r="X1587" s="15"/>
    </row>
    <row r="1588">
      <c r="A1588" s="7">
        <v>1587.0</v>
      </c>
      <c r="B1588" s="8" t="s">
        <v>6855</v>
      </c>
      <c r="C1588" s="9" t="s">
        <v>6856</v>
      </c>
      <c r="D1588" s="10" t="str">
        <f>HYPERLINK("https://facebook.com/367089020688300_556228355107698", "367089020688300_556228355107698")</f>
        <v>367089020688300_556228355107698</v>
      </c>
      <c r="E1588" s="11">
        <v>33.0</v>
      </c>
      <c r="F1588" s="11">
        <v>0.0</v>
      </c>
      <c r="G1588" s="11">
        <v>19.0</v>
      </c>
      <c r="H1588" s="9" t="s">
        <v>26</v>
      </c>
      <c r="I1588" s="9" t="s">
        <v>1965</v>
      </c>
      <c r="J1588" s="9" t="s">
        <v>6857</v>
      </c>
      <c r="K1588" s="9" t="s">
        <v>6858</v>
      </c>
      <c r="L1588" s="9" t="s">
        <v>30</v>
      </c>
      <c r="M1588" s="9" t="s">
        <v>31</v>
      </c>
      <c r="N1588" s="9" t="s">
        <v>32</v>
      </c>
      <c r="O1588" s="12" t="s">
        <v>33</v>
      </c>
      <c r="P1588" s="12" t="s">
        <v>34</v>
      </c>
      <c r="Q1588" s="9"/>
      <c r="R1588" s="18"/>
      <c r="S1588" s="18"/>
      <c r="T1588" s="18"/>
      <c r="U1588" s="18"/>
      <c r="V1588" s="18"/>
      <c r="W1588" s="15"/>
      <c r="X1588" s="15"/>
    </row>
    <row r="1589">
      <c r="A1589" s="7">
        <v>1588.0</v>
      </c>
      <c r="B1589" s="8" t="s">
        <v>6859</v>
      </c>
      <c r="C1589" s="9" t="s">
        <v>6860</v>
      </c>
      <c r="D1589" s="10" t="str">
        <f>HYPERLINK("https://facebook.com/367089020688300_507305163333351", "367089020688300_507305163333351")</f>
        <v>367089020688300_507305163333351</v>
      </c>
      <c r="E1589" s="11">
        <v>70.0</v>
      </c>
      <c r="F1589" s="11">
        <v>1.0</v>
      </c>
      <c r="G1589" s="11">
        <v>91.0</v>
      </c>
      <c r="H1589" s="9" t="s">
        <v>26</v>
      </c>
      <c r="I1589" s="9" t="s">
        <v>6861</v>
      </c>
      <c r="J1589" s="9" t="s">
        <v>6862</v>
      </c>
      <c r="K1589" s="9" t="s">
        <v>214</v>
      </c>
      <c r="L1589" s="9" t="s">
        <v>30</v>
      </c>
      <c r="M1589" s="9" t="s">
        <v>31</v>
      </c>
      <c r="N1589" s="9" t="s">
        <v>32</v>
      </c>
      <c r="O1589" s="12" t="s">
        <v>33</v>
      </c>
      <c r="P1589" s="12" t="s">
        <v>34</v>
      </c>
      <c r="Q1589" s="9"/>
      <c r="R1589" s="18"/>
      <c r="S1589" s="18"/>
      <c r="T1589" s="18"/>
      <c r="U1589" s="18"/>
      <c r="V1589" s="18"/>
      <c r="W1589" s="15"/>
      <c r="X1589" s="15"/>
    </row>
    <row r="1590">
      <c r="A1590" s="7">
        <v>1589.0</v>
      </c>
      <c r="B1590" s="8" t="s">
        <v>6863</v>
      </c>
      <c r="C1590" s="9" t="s">
        <v>6864</v>
      </c>
      <c r="D1590" s="10" t="str">
        <f>HYPERLINK("https://facebook.com/367089020688300_556569588406908", "367089020688300_556569588406908")</f>
        <v>367089020688300_556569588406908</v>
      </c>
      <c r="E1590" s="11">
        <v>9.0</v>
      </c>
      <c r="F1590" s="11">
        <v>0.0</v>
      </c>
      <c r="G1590" s="11">
        <v>4.0</v>
      </c>
      <c r="H1590" s="9" t="s">
        <v>26</v>
      </c>
      <c r="I1590" s="9" t="s">
        <v>6865</v>
      </c>
      <c r="J1590" s="9" t="s">
        <v>6866</v>
      </c>
      <c r="K1590" s="9"/>
      <c r="L1590" s="9" t="s">
        <v>30</v>
      </c>
      <c r="M1590" s="9" t="s">
        <v>31</v>
      </c>
      <c r="N1590" s="9" t="s">
        <v>32</v>
      </c>
      <c r="O1590" s="12" t="s">
        <v>33</v>
      </c>
      <c r="P1590" s="12" t="s">
        <v>34</v>
      </c>
      <c r="Q1590" s="9"/>
      <c r="R1590" s="18"/>
      <c r="S1590" s="18"/>
      <c r="T1590" s="18"/>
      <c r="U1590" s="18"/>
      <c r="V1590" s="18"/>
      <c r="W1590" s="15"/>
      <c r="X1590" s="15"/>
    </row>
    <row r="1591">
      <c r="A1591" s="7">
        <v>1590.0</v>
      </c>
      <c r="B1591" s="8" t="s">
        <v>6867</v>
      </c>
      <c r="C1591" s="9" t="s">
        <v>6868</v>
      </c>
      <c r="D1591" s="10" t="str">
        <f>HYPERLINK("https://facebook.com/367089020688300_525957418134792", "367089020688300_525957418134792")</f>
        <v>367089020688300_525957418134792</v>
      </c>
      <c r="E1591" s="11">
        <v>133.0</v>
      </c>
      <c r="F1591" s="11">
        <v>7.0</v>
      </c>
      <c r="G1591" s="11">
        <v>126.0</v>
      </c>
      <c r="H1591" s="9" t="s">
        <v>26</v>
      </c>
      <c r="I1591" s="9" t="s">
        <v>6869</v>
      </c>
      <c r="J1591" s="9" t="s">
        <v>6870</v>
      </c>
      <c r="K1591" s="9" t="s">
        <v>6871</v>
      </c>
      <c r="L1591" s="9" t="s">
        <v>30</v>
      </c>
      <c r="M1591" s="9" t="s">
        <v>31</v>
      </c>
      <c r="N1591" s="9" t="s">
        <v>32</v>
      </c>
      <c r="O1591" s="12" t="s">
        <v>33</v>
      </c>
      <c r="P1591" s="12" t="s">
        <v>34</v>
      </c>
      <c r="Q1591" s="9"/>
      <c r="R1591" s="18"/>
      <c r="S1591" s="18"/>
      <c r="T1591" s="18"/>
      <c r="U1591" s="18"/>
      <c r="V1591" s="18"/>
      <c r="W1591" s="15"/>
      <c r="X1591" s="15"/>
    </row>
    <row r="1592">
      <c r="A1592" s="7">
        <v>1591.0</v>
      </c>
      <c r="B1592" s="8" t="s">
        <v>6872</v>
      </c>
      <c r="C1592" s="9" t="s">
        <v>6873</v>
      </c>
      <c r="D1592" s="10" t="str">
        <f>HYPERLINK("https://facebook.com/367089020688300_400695200661015", "367089020688300_400695200661015")</f>
        <v>367089020688300_400695200661015</v>
      </c>
      <c r="E1592" s="11">
        <v>46.0</v>
      </c>
      <c r="F1592" s="11">
        <v>0.0</v>
      </c>
      <c r="G1592" s="11">
        <v>80.0</v>
      </c>
      <c r="H1592" s="9" t="s">
        <v>26</v>
      </c>
      <c r="I1592" s="9" t="s">
        <v>6874</v>
      </c>
      <c r="J1592" s="9" t="s">
        <v>6875</v>
      </c>
      <c r="K1592" s="9" t="s">
        <v>6876</v>
      </c>
      <c r="L1592" s="9" t="s">
        <v>30</v>
      </c>
      <c r="M1592" s="9" t="s">
        <v>31</v>
      </c>
      <c r="N1592" s="9" t="s">
        <v>32</v>
      </c>
      <c r="O1592" s="12" t="s">
        <v>33</v>
      </c>
      <c r="P1592" s="12" t="s">
        <v>34</v>
      </c>
      <c r="Q1592" s="9"/>
      <c r="R1592" s="18"/>
      <c r="S1592" s="18"/>
      <c r="T1592" s="18"/>
      <c r="U1592" s="18"/>
      <c r="V1592" s="18"/>
      <c r="W1592" s="15"/>
      <c r="X1592" s="15"/>
    </row>
    <row r="1593">
      <c r="A1593" s="7">
        <v>1592.0</v>
      </c>
      <c r="B1593" s="8" t="s">
        <v>6877</v>
      </c>
      <c r="C1593" s="9" t="s">
        <v>6878</v>
      </c>
      <c r="D1593" s="10" t="str">
        <f>HYPERLINK("https://facebook.com/367089020688300_537307506999783", "367089020688300_537307506999783")</f>
        <v>367089020688300_537307506999783</v>
      </c>
      <c r="E1593" s="11">
        <v>43.0</v>
      </c>
      <c r="F1593" s="11">
        <v>1.0</v>
      </c>
      <c r="G1593" s="11">
        <v>23.0</v>
      </c>
      <c r="H1593" s="9" t="s">
        <v>26</v>
      </c>
      <c r="I1593" s="9" t="s">
        <v>6879</v>
      </c>
      <c r="J1593" s="9" t="s">
        <v>6880</v>
      </c>
      <c r="K1593" s="9" t="s">
        <v>249</v>
      </c>
      <c r="L1593" s="9" t="s">
        <v>30</v>
      </c>
      <c r="M1593" s="9" t="s">
        <v>31</v>
      </c>
      <c r="N1593" s="9" t="s">
        <v>32</v>
      </c>
      <c r="O1593" s="12" t="s">
        <v>33</v>
      </c>
      <c r="P1593" s="12" t="s">
        <v>34</v>
      </c>
      <c r="Q1593" s="9"/>
      <c r="R1593" s="18"/>
      <c r="S1593" s="18"/>
      <c r="T1593" s="18"/>
      <c r="U1593" s="18"/>
      <c r="V1593" s="18"/>
      <c r="W1593" s="15"/>
      <c r="X1593" s="15"/>
    </row>
    <row r="1594">
      <c r="A1594" s="7">
        <v>1593.0</v>
      </c>
      <c r="B1594" s="8" t="s">
        <v>6881</v>
      </c>
      <c r="C1594" s="9" t="s">
        <v>6882</v>
      </c>
      <c r="D1594" s="10" t="str">
        <f>HYPERLINK("https://facebook.com/367089020688300_536472093749991", "367089020688300_536472093749991")</f>
        <v>367089020688300_536472093749991</v>
      </c>
      <c r="E1594" s="11">
        <v>123.0</v>
      </c>
      <c r="F1594" s="11">
        <v>0.0</v>
      </c>
      <c r="G1594" s="11">
        <v>42.0</v>
      </c>
      <c r="H1594" s="9" t="s">
        <v>26</v>
      </c>
      <c r="I1594" s="9" t="s">
        <v>6883</v>
      </c>
      <c r="J1594" s="16" t="s">
        <v>6884</v>
      </c>
      <c r="K1594" s="9"/>
      <c r="L1594" s="9" t="s">
        <v>30</v>
      </c>
      <c r="M1594" s="9" t="s">
        <v>31</v>
      </c>
      <c r="N1594" s="9" t="s">
        <v>32</v>
      </c>
      <c r="O1594" s="12" t="s">
        <v>33</v>
      </c>
      <c r="P1594" s="12" t="s">
        <v>34</v>
      </c>
      <c r="Q1594" s="9"/>
      <c r="R1594" s="18"/>
      <c r="S1594" s="18"/>
      <c r="T1594" s="18"/>
      <c r="U1594" s="18"/>
      <c r="V1594" s="18"/>
      <c r="W1594" s="15"/>
      <c r="X1594" s="15"/>
    </row>
    <row r="1595">
      <c r="A1595" s="7">
        <v>1594.0</v>
      </c>
      <c r="B1595" s="8" t="s">
        <v>6885</v>
      </c>
      <c r="C1595" s="9" t="s">
        <v>6886</v>
      </c>
      <c r="D1595" s="10" t="str">
        <f>HYPERLINK("https://facebook.com/367089020688300_543607923036408", "367089020688300_543607923036408")</f>
        <v>367089020688300_543607923036408</v>
      </c>
      <c r="E1595" s="11">
        <v>110.0</v>
      </c>
      <c r="F1595" s="11">
        <v>0.0</v>
      </c>
      <c r="G1595" s="11">
        <v>56.0</v>
      </c>
      <c r="H1595" s="9" t="s">
        <v>26</v>
      </c>
      <c r="I1595" s="9" t="s">
        <v>6887</v>
      </c>
      <c r="J1595" s="9" t="s">
        <v>6888</v>
      </c>
      <c r="K1595" s="9" t="s">
        <v>341</v>
      </c>
      <c r="L1595" s="9" t="s">
        <v>30</v>
      </c>
      <c r="M1595" s="9" t="s">
        <v>31</v>
      </c>
      <c r="N1595" s="9" t="s">
        <v>32</v>
      </c>
      <c r="O1595" s="12" t="s">
        <v>33</v>
      </c>
      <c r="P1595" s="12" t="s">
        <v>34</v>
      </c>
      <c r="Q1595" s="9"/>
      <c r="R1595" s="18"/>
      <c r="S1595" s="18"/>
      <c r="T1595" s="18"/>
      <c r="U1595" s="18"/>
      <c r="V1595" s="18"/>
      <c r="W1595" s="15"/>
      <c r="X1595" s="15"/>
    </row>
    <row r="1596">
      <c r="A1596" s="7">
        <v>1595.0</v>
      </c>
      <c r="B1596" s="8" t="s">
        <v>6889</v>
      </c>
      <c r="C1596" s="9" t="s">
        <v>6890</v>
      </c>
      <c r="D1596" s="10" t="str">
        <f>HYPERLINK("https://facebook.com/367089020688300_504113650319169", "367089020688300_504113650319169")</f>
        <v>367089020688300_504113650319169</v>
      </c>
      <c r="E1596" s="11">
        <v>341.0</v>
      </c>
      <c r="F1596" s="11">
        <v>26.0</v>
      </c>
      <c r="G1596" s="11">
        <v>441.0</v>
      </c>
      <c r="H1596" s="9" t="s">
        <v>26</v>
      </c>
      <c r="I1596" s="9" t="s">
        <v>6891</v>
      </c>
      <c r="J1596" s="9" t="s">
        <v>6892</v>
      </c>
      <c r="K1596" s="9" t="s">
        <v>6893</v>
      </c>
      <c r="L1596" s="9" t="s">
        <v>30</v>
      </c>
      <c r="M1596" s="9" t="s">
        <v>31</v>
      </c>
      <c r="N1596" s="9" t="s">
        <v>32</v>
      </c>
      <c r="O1596" s="12" t="s">
        <v>33</v>
      </c>
      <c r="P1596" s="12" t="s">
        <v>34</v>
      </c>
      <c r="Q1596" s="9"/>
      <c r="R1596" s="18"/>
      <c r="S1596" s="18"/>
      <c r="T1596" s="18"/>
      <c r="U1596" s="18"/>
      <c r="V1596" s="18"/>
      <c r="W1596" s="15"/>
      <c r="X1596" s="15"/>
    </row>
    <row r="1597">
      <c r="A1597" s="7">
        <v>1596.0</v>
      </c>
      <c r="B1597" s="8" t="s">
        <v>6894</v>
      </c>
      <c r="C1597" s="9" t="s">
        <v>6895</v>
      </c>
      <c r="D1597" s="10" t="str">
        <f>HYPERLINK("https://facebook.com/367089020688300_452036192193582", "367089020688300_452036192193582")</f>
        <v>367089020688300_452036192193582</v>
      </c>
      <c r="E1597" s="11">
        <v>289.0</v>
      </c>
      <c r="F1597" s="11">
        <v>2.0</v>
      </c>
      <c r="G1597" s="11">
        <v>122.0</v>
      </c>
      <c r="H1597" s="9" t="s">
        <v>26</v>
      </c>
      <c r="I1597" s="9" t="s">
        <v>6896</v>
      </c>
      <c r="J1597" s="9" t="s">
        <v>6897</v>
      </c>
      <c r="K1597" s="9" t="s">
        <v>51</v>
      </c>
      <c r="L1597" s="9" t="s">
        <v>30</v>
      </c>
      <c r="M1597" s="9" t="s">
        <v>31</v>
      </c>
      <c r="N1597" s="9" t="s">
        <v>32</v>
      </c>
      <c r="O1597" s="12" t="s">
        <v>33</v>
      </c>
      <c r="P1597" s="12" t="s">
        <v>34</v>
      </c>
      <c r="Q1597" s="9"/>
      <c r="R1597" s="18"/>
      <c r="S1597" s="18"/>
      <c r="T1597" s="18"/>
      <c r="U1597" s="18"/>
      <c r="V1597" s="18"/>
      <c r="W1597" s="15"/>
      <c r="X1597" s="15"/>
    </row>
    <row r="1598">
      <c r="A1598" s="7">
        <v>1597.0</v>
      </c>
      <c r="B1598" s="8" t="s">
        <v>6898</v>
      </c>
      <c r="C1598" s="9" t="s">
        <v>6899</v>
      </c>
      <c r="D1598" s="10" t="str">
        <f>HYPERLINK("https://facebook.com/367089020688300_486708088726392", "367089020688300_486708088726392")</f>
        <v>367089020688300_486708088726392</v>
      </c>
      <c r="E1598" s="11">
        <v>257.0</v>
      </c>
      <c r="F1598" s="11">
        <v>3.0</v>
      </c>
      <c r="G1598" s="11">
        <v>248.0</v>
      </c>
      <c r="H1598" s="9" t="s">
        <v>26</v>
      </c>
      <c r="I1598" s="9" t="s">
        <v>6900</v>
      </c>
      <c r="J1598" s="9" t="s">
        <v>6901</v>
      </c>
      <c r="K1598" s="9" t="s">
        <v>6902</v>
      </c>
      <c r="L1598" s="9" t="s">
        <v>30</v>
      </c>
      <c r="M1598" s="9" t="s">
        <v>31</v>
      </c>
      <c r="N1598" s="9" t="s">
        <v>32</v>
      </c>
      <c r="O1598" s="12" t="s">
        <v>33</v>
      </c>
      <c r="P1598" s="12" t="s">
        <v>34</v>
      </c>
      <c r="Q1598" s="9"/>
      <c r="R1598" s="18"/>
      <c r="S1598" s="18"/>
      <c r="T1598" s="18"/>
      <c r="U1598" s="18"/>
      <c r="V1598" s="18"/>
      <c r="W1598" s="15"/>
      <c r="X1598" s="15"/>
    </row>
    <row r="1599">
      <c r="A1599" s="7">
        <v>1598.0</v>
      </c>
      <c r="B1599" s="8" t="s">
        <v>6903</v>
      </c>
      <c r="C1599" s="9" t="s">
        <v>6904</v>
      </c>
      <c r="D1599" s="10" t="str">
        <f>HYPERLINK("https://facebook.com/367089020688300_554440498619817", "367089020688300_554440498619817")</f>
        <v>367089020688300_554440498619817</v>
      </c>
      <c r="E1599" s="11">
        <v>42.0</v>
      </c>
      <c r="F1599" s="11">
        <v>0.0</v>
      </c>
      <c r="G1599" s="11">
        <v>76.0</v>
      </c>
      <c r="H1599" s="9" t="s">
        <v>26</v>
      </c>
      <c r="I1599" s="9" t="s">
        <v>6905</v>
      </c>
      <c r="J1599" s="16" t="s">
        <v>6906</v>
      </c>
      <c r="K1599" s="9"/>
      <c r="L1599" s="9" t="s">
        <v>30</v>
      </c>
      <c r="M1599" s="9" t="s">
        <v>31</v>
      </c>
      <c r="N1599" s="9" t="s">
        <v>32</v>
      </c>
      <c r="O1599" s="12" t="s">
        <v>33</v>
      </c>
      <c r="P1599" s="12" t="s">
        <v>34</v>
      </c>
      <c r="Q1599" s="9"/>
      <c r="R1599" s="18"/>
      <c r="S1599" s="18"/>
      <c r="T1599" s="18"/>
      <c r="U1599" s="18"/>
      <c r="V1599" s="18"/>
      <c r="W1599" s="15"/>
      <c r="X1599" s="15"/>
    </row>
    <row r="1600">
      <c r="A1600" s="7">
        <v>1599.0</v>
      </c>
      <c r="B1600" s="8" t="s">
        <v>6907</v>
      </c>
      <c r="C1600" s="9" t="s">
        <v>6908</v>
      </c>
      <c r="D1600" s="10" t="str">
        <f>HYPERLINK("https://facebook.com/367089020688300_466715334059001", "367089020688300_466715334059001")</f>
        <v>367089020688300_466715334059001</v>
      </c>
      <c r="E1600" s="11">
        <v>2625.0</v>
      </c>
      <c r="F1600" s="11">
        <v>8.0</v>
      </c>
      <c r="G1600" s="11">
        <v>970.0</v>
      </c>
      <c r="H1600" s="9" t="s">
        <v>26</v>
      </c>
      <c r="I1600" s="9" t="s">
        <v>6909</v>
      </c>
      <c r="J1600" s="9" t="s">
        <v>6910</v>
      </c>
      <c r="K1600" s="9" t="s">
        <v>6911</v>
      </c>
      <c r="L1600" s="9" t="s">
        <v>30</v>
      </c>
      <c r="M1600" s="9" t="s">
        <v>31</v>
      </c>
      <c r="N1600" s="9" t="s">
        <v>32</v>
      </c>
      <c r="O1600" s="12" t="s">
        <v>33</v>
      </c>
      <c r="P1600" s="12" t="s">
        <v>34</v>
      </c>
      <c r="Q1600" s="9"/>
      <c r="R1600" s="18"/>
      <c r="S1600" s="18"/>
      <c r="T1600" s="18"/>
      <c r="U1600" s="18"/>
      <c r="V1600" s="18"/>
      <c r="W1600" s="15"/>
      <c r="X1600" s="15"/>
    </row>
    <row r="1601">
      <c r="A1601" s="7">
        <v>1600.0</v>
      </c>
      <c r="B1601" s="8" t="s">
        <v>6912</v>
      </c>
      <c r="C1601" s="9" t="s">
        <v>6913</v>
      </c>
      <c r="D1601" s="10" t="str">
        <f>HYPERLINK("https://facebook.com/367089020688300_563173837746483", "367089020688300_563173837746483")</f>
        <v>367089020688300_563173837746483</v>
      </c>
      <c r="E1601" s="11">
        <v>45.0</v>
      </c>
      <c r="F1601" s="11">
        <v>0.0</v>
      </c>
      <c r="G1601" s="11">
        <v>14.0</v>
      </c>
      <c r="H1601" s="9" t="s">
        <v>26</v>
      </c>
      <c r="I1601" s="9" t="s">
        <v>6914</v>
      </c>
      <c r="J1601" s="16" t="s">
        <v>6915</v>
      </c>
      <c r="K1601" s="9"/>
      <c r="L1601" s="9" t="s">
        <v>30</v>
      </c>
      <c r="M1601" s="9" t="s">
        <v>31</v>
      </c>
      <c r="N1601" s="9" t="s">
        <v>32</v>
      </c>
      <c r="O1601" s="12" t="s">
        <v>33</v>
      </c>
      <c r="P1601" s="12" t="s">
        <v>34</v>
      </c>
      <c r="Q1601" s="9"/>
      <c r="R1601" s="18"/>
      <c r="S1601" s="18"/>
      <c r="T1601" s="18"/>
      <c r="U1601" s="18"/>
      <c r="V1601" s="18"/>
      <c r="W1601" s="15"/>
      <c r="X1601" s="15"/>
    </row>
    <row r="1602">
      <c r="A1602" s="7">
        <v>1601.0</v>
      </c>
      <c r="B1602" s="8" t="s">
        <v>6916</v>
      </c>
      <c r="C1602" s="9" t="s">
        <v>6917</v>
      </c>
      <c r="D1602" s="10" t="str">
        <f>HYPERLINK("https://facebook.com/367089020688300_532216110842256", "367089020688300_532216110842256")</f>
        <v>367089020688300_532216110842256</v>
      </c>
      <c r="E1602" s="11">
        <v>147.0</v>
      </c>
      <c r="F1602" s="11">
        <v>3.0</v>
      </c>
      <c r="G1602" s="11">
        <v>173.0</v>
      </c>
      <c r="H1602" s="9" t="s">
        <v>26</v>
      </c>
      <c r="I1602" s="9" t="s">
        <v>6918</v>
      </c>
      <c r="J1602" s="16" t="s">
        <v>6919</v>
      </c>
      <c r="K1602" s="9"/>
      <c r="L1602" s="9" t="s">
        <v>30</v>
      </c>
      <c r="M1602" s="9" t="s">
        <v>31</v>
      </c>
      <c r="N1602" s="9" t="s">
        <v>32</v>
      </c>
      <c r="O1602" s="12" t="s">
        <v>33</v>
      </c>
      <c r="P1602" s="12" t="s">
        <v>34</v>
      </c>
      <c r="Q1602" s="9"/>
      <c r="R1602" s="18"/>
      <c r="S1602" s="18"/>
      <c r="T1602" s="18"/>
      <c r="U1602" s="18"/>
      <c r="V1602" s="18"/>
      <c r="W1602" s="15"/>
      <c r="X1602" s="15"/>
    </row>
    <row r="1603">
      <c r="A1603" s="7">
        <v>1602.0</v>
      </c>
      <c r="B1603" s="8" t="s">
        <v>6920</v>
      </c>
      <c r="C1603" s="9" t="s">
        <v>6921</v>
      </c>
      <c r="D1603" s="10" t="str">
        <f>HYPERLINK("https://facebook.com/367089020688300_426444281419440", "367089020688300_426444281419440")</f>
        <v>367089020688300_426444281419440</v>
      </c>
      <c r="E1603" s="11">
        <v>24.0</v>
      </c>
      <c r="F1603" s="11">
        <v>0.0</v>
      </c>
      <c r="G1603" s="11">
        <v>33.0</v>
      </c>
      <c r="H1603" s="9" t="s">
        <v>26</v>
      </c>
      <c r="I1603" s="9" t="s">
        <v>6922</v>
      </c>
      <c r="J1603" s="9" t="s">
        <v>6923</v>
      </c>
      <c r="K1603" s="9" t="s">
        <v>2498</v>
      </c>
      <c r="L1603" s="9" t="s">
        <v>30</v>
      </c>
      <c r="M1603" s="9" t="s">
        <v>31</v>
      </c>
      <c r="N1603" s="9" t="s">
        <v>32</v>
      </c>
      <c r="O1603" s="12" t="s">
        <v>33</v>
      </c>
      <c r="P1603" s="12" t="s">
        <v>34</v>
      </c>
      <c r="Q1603" s="9"/>
      <c r="R1603" s="18"/>
      <c r="S1603" s="18"/>
      <c r="T1603" s="18"/>
      <c r="U1603" s="18"/>
      <c r="V1603" s="18"/>
      <c r="W1603" s="15"/>
      <c r="X1603" s="15"/>
    </row>
    <row r="1604">
      <c r="A1604" s="7">
        <v>1603.0</v>
      </c>
      <c r="B1604" s="8" t="s">
        <v>6924</v>
      </c>
      <c r="C1604" s="9" t="s">
        <v>6925</v>
      </c>
      <c r="D1604" s="10" t="str">
        <f>HYPERLINK("https://facebook.com/367089020688300_560526628011204", "367089020688300_560526628011204")</f>
        <v>367089020688300_560526628011204</v>
      </c>
      <c r="E1604" s="11">
        <v>30.0</v>
      </c>
      <c r="F1604" s="11">
        <v>0.0</v>
      </c>
      <c r="G1604" s="11">
        <v>7.0</v>
      </c>
      <c r="H1604" s="9" t="s">
        <v>26</v>
      </c>
      <c r="I1604" s="9" t="s">
        <v>6222</v>
      </c>
      <c r="J1604" s="9" t="s">
        <v>6223</v>
      </c>
      <c r="K1604" s="9" t="s">
        <v>6926</v>
      </c>
      <c r="L1604" s="9" t="s">
        <v>30</v>
      </c>
      <c r="M1604" s="9" t="s">
        <v>31</v>
      </c>
      <c r="N1604" s="9" t="s">
        <v>32</v>
      </c>
      <c r="O1604" s="12" t="s">
        <v>33</v>
      </c>
      <c r="P1604" s="12" t="s">
        <v>34</v>
      </c>
      <c r="Q1604" s="9"/>
      <c r="R1604" s="18"/>
      <c r="S1604" s="18"/>
      <c r="T1604" s="18"/>
      <c r="U1604" s="18"/>
      <c r="V1604" s="18"/>
      <c r="W1604" s="15"/>
      <c r="X1604" s="15"/>
    </row>
    <row r="1605">
      <c r="A1605" s="7">
        <v>1604.0</v>
      </c>
      <c r="B1605" s="8" t="s">
        <v>6927</v>
      </c>
      <c r="C1605" s="9" t="s">
        <v>6928</v>
      </c>
      <c r="D1605" s="10" t="str">
        <f>HYPERLINK("https://facebook.com/367089020688300_507109616686239", "367089020688300_507109616686239")</f>
        <v>367089020688300_507109616686239</v>
      </c>
      <c r="E1605" s="11">
        <v>691.0</v>
      </c>
      <c r="F1605" s="11">
        <v>6.0</v>
      </c>
      <c r="G1605" s="11">
        <v>249.0</v>
      </c>
      <c r="H1605" s="9" t="s">
        <v>26</v>
      </c>
      <c r="I1605" s="9" t="s">
        <v>6929</v>
      </c>
      <c r="J1605" s="9" t="s">
        <v>6930</v>
      </c>
      <c r="K1605" s="9" t="s">
        <v>6931</v>
      </c>
      <c r="L1605" s="9" t="s">
        <v>30</v>
      </c>
      <c r="M1605" s="9" t="s">
        <v>31</v>
      </c>
      <c r="N1605" s="9" t="s">
        <v>32</v>
      </c>
      <c r="O1605" s="12" t="s">
        <v>33</v>
      </c>
      <c r="P1605" s="12" t="s">
        <v>34</v>
      </c>
      <c r="Q1605" s="9"/>
      <c r="R1605" s="18"/>
      <c r="S1605" s="18"/>
      <c r="T1605" s="18"/>
      <c r="U1605" s="18"/>
      <c r="V1605" s="18"/>
      <c r="W1605" s="15"/>
      <c r="X1605" s="15"/>
    </row>
    <row r="1606">
      <c r="A1606" s="7">
        <v>1605.0</v>
      </c>
      <c r="B1606" s="8" t="s">
        <v>6932</v>
      </c>
      <c r="C1606" s="9" t="s">
        <v>6933</v>
      </c>
      <c r="D1606" s="10" t="str">
        <f>HYPERLINK("https://facebook.com/367089020688300_555011511896049", "367089020688300_555011511896049")</f>
        <v>367089020688300_555011511896049</v>
      </c>
      <c r="E1606" s="11">
        <v>219.0</v>
      </c>
      <c r="F1606" s="11">
        <v>1.0</v>
      </c>
      <c r="G1606" s="11">
        <v>10.0</v>
      </c>
      <c r="H1606" s="9" t="s">
        <v>26</v>
      </c>
      <c r="I1606" s="9" t="s">
        <v>6934</v>
      </c>
      <c r="J1606" s="16" t="s">
        <v>6935</v>
      </c>
      <c r="K1606" s="9"/>
      <c r="L1606" s="9" t="s">
        <v>30</v>
      </c>
      <c r="M1606" s="9" t="s">
        <v>31</v>
      </c>
      <c r="N1606" s="9" t="s">
        <v>32</v>
      </c>
      <c r="O1606" s="12" t="s">
        <v>33</v>
      </c>
      <c r="P1606" s="12" t="s">
        <v>34</v>
      </c>
      <c r="Q1606" s="9"/>
      <c r="R1606" s="18"/>
      <c r="S1606" s="18"/>
      <c r="T1606" s="18"/>
      <c r="U1606" s="18"/>
      <c r="V1606" s="18"/>
      <c r="W1606" s="15"/>
      <c r="X1606" s="15"/>
    </row>
    <row r="1607">
      <c r="A1607" s="7">
        <v>1606.0</v>
      </c>
      <c r="B1607" s="8" t="s">
        <v>6936</v>
      </c>
      <c r="C1607" s="9" t="s">
        <v>6937</v>
      </c>
      <c r="D1607" s="10" t="str">
        <f>HYPERLINK("https://facebook.com/367089020688300_541982906532243", "367089020688300_541982906532243")</f>
        <v>367089020688300_541982906532243</v>
      </c>
      <c r="E1607" s="11">
        <v>10.0</v>
      </c>
      <c r="F1607" s="11">
        <v>0.0</v>
      </c>
      <c r="G1607" s="11">
        <v>33.0</v>
      </c>
      <c r="H1607" s="9" t="s">
        <v>26</v>
      </c>
      <c r="I1607" s="9" t="s">
        <v>6938</v>
      </c>
      <c r="J1607" s="9" t="s">
        <v>6939</v>
      </c>
      <c r="K1607" s="9" t="s">
        <v>6940</v>
      </c>
      <c r="L1607" s="9" t="s">
        <v>30</v>
      </c>
      <c r="M1607" s="9" t="s">
        <v>31</v>
      </c>
      <c r="N1607" s="9" t="s">
        <v>32</v>
      </c>
      <c r="O1607" s="12" t="s">
        <v>33</v>
      </c>
      <c r="P1607" s="12" t="s">
        <v>34</v>
      </c>
      <c r="Q1607" s="9"/>
      <c r="R1607" s="18"/>
      <c r="S1607" s="18"/>
      <c r="T1607" s="18"/>
      <c r="U1607" s="18"/>
      <c r="V1607" s="18"/>
      <c r="W1607" s="15"/>
      <c r="X1607" s="15"/>
    </row>
    <row r="1608">
      <c r="A1608" s="7">
        <v>1607.0</v>
      </c>
      <c r="B1608" s="8" t="s">
        <v>6941</v>
      </c>
      <c r="C1608" s="9" t="s">
        <v>6942</v>
      </c>
      <c r="D1608" s="10" t="str">
        <f>HYPERLINK("https://facebook.com/367089020688300_562438161153384", "367089020688300_562438161153384")</f>
        <v>367089020688300_562438161153384</v>
      </c>
      <c r="E1608" s="11">
        <v>253.0</v>
      </c>
      <c r="F1608" s="11">
        <v>3.0</v>
      </c>
      <c r="G1608" s="11">
        <v>402.0</v>
      </c>
      <c r="H1608" s="9" t="s">
        <v>26</v>
      </c>
      <c r="I1608" s="9" t="s">
        <v>6943</v>
      </c>
      <c r="J1608" s="16" t="s">
        <v>6944</v>
      </c>
      <c r="K1608" s="9"/>
      <c r="L1608" s="9" t="s">
        <v>30</v>
      </c>
      <c r="M1608" s="9" t="s">
        <v>31</v>
      </c>
      <c r="N1608" s="9" t="s">
        <v>32</v>
      </c>
      <c r="O1608" s="12" t="s">
        <v>33</v>
      </c>
      <c r="P1608" s="12" t="s">
        <v>34</v>
      </c>
      <c r="Q1608" s="9"/>
      <c r="R1608" s="18"/>
      <c r="S1608" s="18"/>
      <c r="T1608" s="18"/>
      <c r="U1608" s="18"/>
      <c r="V1608" s="18"/>
      <c r="W1608" s="15"/>
      <c r="X1608" s="15"/>
    </row>
    <row r="1609">
      <c r="A1609" s="7">
        <v>1608.0</v>
      </c>
      <c r="B1609" s="8" t="s">
        <v>6945</v>
      </c>
      <c r="C1609" s="9" t="s">
        <v>6946</v>
      </c>
      <c r="D1609" s="10" t="str">
        <f>HYPERLINK("https://facebook.com/367089020688300_489545441775990", "367089020688300_489545441775990")</f>
        <v>367089020688300_489545441775990</v>
      </c>
      <c r="E1609" s="11">
        <v>500.0</v>
      </c>
      <c r="F1609" s="11">
        <v>3.0</v>
      </c>
      <c r="G1609" s="11">
        <v>427.0</v>
      </c>
      <c r="H1609" s="9" t="s">
        <v>26</v>
      </c>
      <c r="I1609" s="9" t="s">
        <v>6947</v>
      </c>
      <c r="J1609" s="9" t="s">
        <v>6948</v>
      </c>
      <c r="K1609" s="9" t="s">
        <v>6949</v>
      </c>
      <c r="L1609" s="9" t="s">
        <v>30</v>
      </c>
      <c r="M1609" s="9" t="s">
        <v>31</v>
      </c>
      <c r="N1609" s="9" t="s">
        <v>32</v>
      </c>
      <c r="O1609" s="12" t="s">
        <v>33</v>
      </c>
      <c r="P1609" s="12" t="s">
        <v>34</v>
      </c>
      <c r="Q1609" s="9"/>
      <c r="R1609" s="18"/>
      <c r="S1609" s="18"/>
      <c r="T1609" s="18"/>
      <c r="U1609" s="18"/>
      <c r="V1609" s="18"/>
      <c r="W1609" s="15"/>
      <c r="X1609" s="15"/>
    </row>
    <row r="1610">
      <c r="A1610" s="7">
        <v>1609.0</v>
      </c>
      <c r="B1610" s="8" t="s">
        <v>6950</v>
      </c>
      <c r="C1610" s="9" t="s">
        <v>6951</v>
      </c>
      <c r="D1610" s="10" t="str">
        <f>HYPERLINK("https://facebook.com/367089020688300_499303490800185", "367089020688300_499303490800185")</f>
        <v>367089020688300_499303490800185</v>
      </c>
      <c r="E1610" s="11">
        <v>84.0</v>
      </c>
      <c r="F1610" s="11">
        <v>3.0</v>
      </c>
      <c r="G1610" s="11">
        <v>114.0</v>
      </c>
      <c r="H1610" s="9" t="s">
        <v>26</v>
      </c>
      <c r="I1610" s="9" t="s">
        <v>6952</v>
      </c>
      <c r="J1610" s="9" t="s">
        <v>6953</v>
      </c>
      <c r="K1610" s="9" t="s">
        <v>6954</v>
      </c>
      <c r="L1610" s="9" t="s">
        <v>30</v>
      </c>
      <c r="M1610" s="9" t="s">
        <v>31</v>
      </c>
      <c r="N1610" s="9" t="s">
        <v>32</v>
      </c>
      <c r="O1610" s="12" t="s">
        <v>33</v>
      </c>
      <c r="P1610" s="12" t="s">
        <v>34</v>
      </c>
      <c r="Q1610" s="9"/>
      <c r="R1610" s="18"/>
      <c r="S1610" s="18"/>
      <c r="T1610" s="18"/>
      <c r="U1610" s="18"/>
      <c r="V1610" s="18"/>
      <c r="W1610" s="15"/>
      <c r="X1610" s="15"/>
    </row>
    <row r="1611">
      <c r="A1611" s="7">
        <v>1610.0</v>
      </c>
      <c r="B1611" s="8" t="s">
        <v>6955</v>
      </c>
      <c r="C1611" s="9" t="s">
        <v>6956</v>
      </c>
      <c r="D1611" s="10" t="str">
        <f>HYPERLINK("https://facebook.com/367089020688300_555866668477200", "367089020688300_555866668477200")</f>
        <v>367089020688300_555866668477200</v>
      </c>
      <c r="E1611" s="11">
        <v>33.0</v>
      </c>
      <c r="F1611" s="11">
        <v>0.0</v>
      </c>
      <c r="G1611" s="11">
        <v>67.0</v>
      </c>
      <c r="H1611" s="9" t="s">
        <v>26</v>
      </c>
      <c r="I1611" s="9" t="s">
        <v>6957</v>
      </c>
      <c r="J1611" s="16" t="s">
        <v>6958</v>
      </c>
      <c r="K1611" s="9"/>
      <c r="L1611" s="9" t="s">
        <v>30</v>
      </c>
      <c r="M1611" s="9" t="s">
        <v>31</v>
      </c>
      <c r="N1611" s="9" t="s">
        <v>32</v>
      </c>
      <c r="O1611" s="12" t="s">
        <v>33</v>
      </c>
      <c r="P1611" s="12" t="s">
        <v>34</v>
      </c>
      <c r="Q1611" s="9"/>
      <c r="R1611" s="18"/>
      <c r="S1611" s="18"/>
      <c r="T1611" s="18"/>
      <c r="U1611" s="18"/>
      <c r="V1611" s="18"/>
      <c r="W1611" s="15"/>
      <c r="X1611" s="15"/>
    </row>
    <row r="1612">
      <c r="A1612" s="7">
        <v>1611.0</v>
      </c>
      <c r="B1612" s="8" t="s">
        <v>6959</v>
      </c>
      <c r="C1612" s="9" t="s">
        <v>6960</v>
      </c>
      <c r="D1612" s="10" t="str">
        <f>HYPERLINK("https://facebook.com/367089020688300_552552255475308", "367089020688300_552552255475308")</f>
        <v>367089020688300_552552255475308</v>
      </c>
      <c r="E1612" s="11">
        <v>89.0</v>
      </c>
      <c r="F1612" s="11">
        <v>2.0</v>
      </c>
      <c r="G1612" s="11">
        <v>63.0</v>
      </c>
      <c r="H1612" s="9" t="s">
        <v>26</v>
      </c>
      <c r="I1612" s="9" t="s">
        <v>6961</v>
      </c>
      <c r="J1612" s="16" t="s">
        <v>6962</v>
      </c>
      <c r="K1612" s="9"/>
      <c r="L1612" s="9" t="s">
        <v>30</v>
      </c>
      <c r="M1612" s="9" t="s">
        <v>31</v>
      </c>
      <c r="N1612" s="9" t="s">
        <v>32</v>
      </c>
      <c r="O1612" s="12" t="s">
        <v>33</v>
      </c>
      <c r="P1612" s="12" t="s">
        <v>34</v>
      </c>
      <c r="Q1612" s="9"/>
      <c r="R1612" s="18"/>
      <c r="S1612" s="18"/>
      <c r="T1612" s="18"/>
      <c r="U1612" s="18"/>
      <c r="V1612" s="18"/>
      <c r="W1612" s="15"/>
      <c r="X1612" s="15"/>
    </row>
    <row r="1613">
      <c r="A1613" s="7">
        <v>1612.0</v>
      </c>
      <c r="B1613" s="8" t="s">
        <v>6963</v>
      </c>
      <c r="C1613" s="9" t="s">
        <v>6964</v>
      </c>
      <c r="D1613" s="10" t="str">
        <f>HYPERLINK("https://facebook.com/367089020688300_559730664757467", "367089020688300_559730664757467")</f>
        <v>367089020688300_559730664757467</v>
      </c>
      <c r="E1613" s="11">
        <v>688.0</v>
      </c>
      <c r="F1613" s="11">
        <v>6.0</v>
      </c>
      <c r="G1613" s="11">
        <v>216.0</v>
      </c>
      <c r="H1613" s="9" t="s">
        <v>26</v>
      </c>
      <c r="I1613" s="9" t="s">
        <v>6965</v>
      </c>
      <c r="J1613" s="16" t="s">
        <v>6966</v>
      </c>
      <c r="K1613" s="9"/>
      <c r="L1613" s="9" t="s">
        <v>30</v>
      </c>
      <c r="M1613" s="9" t="s">
        <v>31</v>
      </c>
      <c r="N1613" s="9" t="s">
        <v>32</v>
      </c>
      <c r="O1613" s="12" t="s">
        <v>33</v>
      </c>
      <c r="P1613" s="12" t="s">
        <v>34</v>
      </c>
      <c r="Q1613" s="9"/>
      <c r="R1613" s="18"/>
      <c r="S1613" s="18"/>
      <c r="T1613" s="18"/>
      <c r="U1613" s="18"/>
      <c r="V1613" s="18"/>
      <c r="W1613" s="15"/>
      <c r="X1613" s="15"/>
    </row>
    <row r="1614">
      <c r="A1614" s="7">
        <v>1613.0</v>
      </c>
      <c r="B1614" s="8" t="s">
        <v>6967</v>
      </c>
      <c r="C1614" s="9" t="s">
        <v>6968</v>
      </c>
      <c r="D1614" s="10" t="str">
        <f>HYPERLINK("https://facebook.com/367089020688300_533453487385185", "367089020688300_533453487385185")</f>
        <v>367089020688300_533453487385185</v>
      </c>
      <c r="E1614" s="11">
        <v>41.0</v>
      </c>
      <c r="F1614" s="11">
        <v>0.0</v>
      </c>
      <c r="G1614" s="11">
        <v>40.0</v>
      </c>
      <c r="H1614" s="9" t="s">
        <v>26</v>
      </c>
      <c r="I1614" s="9" t="s">
        <v>6969</v>
      </c>
      <c r="J1614" s="9" t="s">
        <v>6970</v>
      </c>
      <c r="K1614" s="9" t="s">
        <v>649</v>
      </c>
      <c r="L1614" s="9" t="s">
        <v>30</v>
      </c>
      <c r="M1614" s="9" t="s">
        <v>31</v>
      </c>
      <c r="N1614" s="9" t="s">
        <v>32</v>
      </c>
      <c r="O1614" s="12" t="s">
        <v>33</v>
      </c>
      <c r="P1614" s="12" t="s">
        <v>34</v>
      </c>
      <c r="Q1614" s="9"/>
      <c r="R1614" s="18"/>
      <c r="S1614" s="18"/>
      <c r="T1614" s="18"/>
      <c r="U1614" s="18"/>
      <c r="V1614" s="18"/>
      <c r="W1614" s="15"/>
      <c r="X1614" s="15"/>
    </row>
    <row r="1615">
      <c r="A1615" s="7">
        <v>1614.0</v>
      </c>
      <c r="B1615" s="8" t="s">
        <v>6971</v>
      </c>
      <c r="C1615" s="9" t="s">
        <v>6972</v>
      </c>
      <c r="D1615" s="10" t="str">
        <f>HYPERLINK("https://facebook.com/367089020688300_553524118711455", "367089020688300_553524118711455")</f>
        <v>367089020688300_553524118711455</v>
      </c>
      <c r="E1615" s="11">
        <v>5.0</v>
      </c>
      <c r="F1615" s="11">
        <v>0.0</v>
      </c>
      <c r="G1615" s="11">
        <v>2.0</v>
      </c>
      <c r="H1615" s="9" t="s">
        <v>26</v>
      </c>
      <c r="I1615" s="9" t="s">
        <v>6973</v>
      </c>
      <c r="J1615" s="16" t="s">
        <v>6974</v>
      </c>
      <c r="K1615" s="9"/>
      <c r="L1615" s="9" t="s">
        <v>30</v>
      </c>
      <c r="M1615" s="9" t="s">
        <v>31</v>
      </c>
      <c r="N1615" s="9" t="s">
        <v>32</v>
      </c>
      <c r="O1615" s="12" t="s">
        <v>33</v>
      </c>
      <c r="P1615" s="12" t="s">
        <v>34</v>
      </c>
      <c r="Q1615" s="9"/>
      <c r="R1615" s="18"/>
      <c r="S1615" s="18"/>
      <c r="T1615" s="18"/>
      <c r="U1615" s="18"/>
      <c r="V1615" s="18"/>
      <c r="W1615" s="15"/>
      <c r="X1615" s="15"/>
    </row>
    <row r="1616">
      <c r="A1616" s="7">
        <v>1615.0</v>
      </c>
      <c r="B1616" s="8" t="s">
        <v>6975</v>
      </c>
      <c r="C1616" s="9" t="s">
        <v>6976</v>
      </c>
      <c r="D1616" s="10" t="str">
        <f>HYPERLINK("https://facebook.com/367089020688300_533748294022371", "367089020688300_533748294022371")</f>
        <v>367089020688300_533748294022371</v>
      </c>
      <c r="E1616" s="11">
        <v>175.0</v>
      </c>
      <c r="F1616" s="11">
        <v>16.0</v>
      </c>
      <c r="G1616" s="11">
        <v>164.0</v>
      </c>
      <c r="H1616" s="9" t="s">
        <v>26</v>
      </c>
      <c r="I1616" s="9" t="s">
        <v>739</v>
      </c>
      <c r="J1616" s="16" t="s">
        <v>6977</v>
      </c>
      <c r="K1616" s="9"/>
      <c r="L1616" s="9" t="s">
        <v>30</v>
      </c>
      <c r="M1616" s="9" t="s">
        <v>31</v>
      </c>
      <c r="N1616" s="9" t="s">
        <v>32</v>
      </c>
      <c r="O1616" s="12" t="s">
        <v>33</v>
      </c>
      <c r="P1616" s="12" t="s">
        <v>34</v>
      </c>
      <c r="Q1616" s="9"/>
      <c r="R1616" s="18"/>
      <c r="S1616" s="18"/>
      <c r="T1616" s="18"/>
      <c r="U1616" s="18"/>
      <c r="V1616" s="18"/>
      <c r="W1616" s="15"/>
      <c r="X1616" s="15"/>
    </row>
    <row r="1617">
      <c r="A1617" s="7">
        <v>1616.0</v>
      </c>
      <c r="B1617" s="8" t="s">
        <v>6978</v>
      </c>
      <c r="C1617" s="9" t="s">
        <v>6979</v>
      </c>
      <c r="D1617" s="10" t="str">
        <f>HYPERLINK("https://facebook.com/367089020688300_548112279252639", "367089020688300_548112279252639")</f>
        <v>367089020688300_548112279252639</v>
      </c>
      <c r="E1617" s="11">
        <v>99.0</v>
      </c>
      <c r="F1617" s="11">
        <v>1.0</v>
      </c>
      <c r="G1617" s="11">
        <v>34.0</v>
      </c>
      <c r="H1617" s="9" t="s">
        <v>26</v>
      </c>
      <c r="I1617" s="9" t="s">
        <v>6980</v>
      </c>
      <c r="J1617" s="16" t="s">
        <v>6981</v>
      </c>
      <c r="K1617" s="9"/>
      <c r="L1617" s="9" t="s">
        <v>30</v>
      </c>
      <c r="M1617" s="9" t="s">
        <v>31</v>
      </c>
      <c r="N1617" s="9" t="s">
        <v>32</v>
      </c>
      <c r="O1617" s="12" t="s">
        <v>33</v>
      </c>
      <c r="P1617" s="12" t="s">
        <v>34</v>
      </c>
      <c r="Q1617" s="9"/>
      <c r="R1617" s="18"/>
      <c r="S1617" s="18"/>
      <c r="T1617" s="18"/>
      <c r="U1617" s="18"/>
      <c r="V1617" s="18"/>
      <c r="W1617" s="15"/>
      <c r="X1617" s="15"/>
    </row>
    <row r="1618">
      <c r="A1618" s="7">
        <v>1617.0</v>
      </c>
      <c r="B1618" s="8" t="s">
        <v>6982</v>
      </c>
      <c r="C1618" s="9" t="s">
        <v>6983</v>
      </c>
      <c r="D1618" s="10" t="str">
        <f>HYPERLINK("https://facebook.com/367089020688300_510491113014756", "367089020688300_510491113014756")</f>
        <v>367089020688300_510491113014756</v>
      </c>
      <c r="E1618" s="11">
        <v>1037.0</v>
      </c>
      <c r="F1618" s="11">
        <v>51.0</v>
      </c>
      <c r="G1618" s="11">
        <v>391.0</v>
      </c>
      <c r="H1618" s="9" t="s">
        <v>26</v>
      </c>
      <c r="I1618" s="9" t="s">
        <v>6984</v>
      </c>
      <c r="J1618" s="9" t="s">
        <v>6985</v>
      </c>
      <c r="K1618" s="9" t="s">
        <v>6986</v>
      </c>
      <c r="L1618" s="9" t="s">
        <v>30</v>
      </c>
      <c r="M1618" s="9" t="s">
        <v>31</v>
      </c>
      <c r="N1618" s="9" t="s">
        <v>32</v>
      </c>
      <c r="O1618" s="12" t="s">
        <v>33</v>
      </c>
      <c r="P1618" s="12" t="s">
        <v>34</v>
      </c>
      <c r="Q1618" s="9"/>
      <c r="R1618" s="18"/>
      <c r="S1618" s="18"/>
      <c r="T1618" s="18"/>
      <c r="U1618" s="18"/>
      <c r="V1618" s="18"/>
      <c r="W1618" s="15"/>
      <c r="X1618" s="15"/>
    </row>
    <row r="1619">
      <c r="A1619" s="7">
        <v>1618.0</v>
      </c>
      <c r="B1619" s="8" t="s">
        <v>6987</v>
      </c>
      <c r="C1619" s="9" t="s">
        <v>6988</v>
      </c>
      <c r="D1619" s="10" t="str">
        <f>HYPERLINK("https://facebook.com/367089020688300_485168815546986", "367089020688300_485168815546986")</f>
        <v>367089020688300_485168815546986</v>
      </c>
      <c r="E1619" s="11">
        <v>228.0</v>
      </c>
      <c r="F1619" s="11">
        <v>10.0</v>
      </c>
      <c r="G1619" s="11">
        <v>186.0</v>
      </c>
      <c r="H1619" s="9" t="s">
        <v>26</v>
      </c>
      <c r="I1619" s="9" t="s">
        <v>6989</v>
      </c>
      <c r="J1619" s="9" t="s">
        <v>6990</v>
      </c>
      <c r="K1619" s="9" t="s">
        <v>6991</v>
      </c>
      <c r="L1619" s="9" t="s">
        <v>30</v>
      </c>
      <c r="M1619" s="9" t="s">
        <v>31</v>
      </c>
      <c r="N1619" s="9" t="s">
        <v>32</v>
      </c>
      <c r="O1619" s="12" t="s">
        <v>33</v>
      </c>
      <c r="P1619" s="12" t="s">
        <v>34</v>
      </c>
      <c r="Q1619" s="9"/>
      <c r="R1619" s="18"/>
      <c r="S1619" s="18"/>
      <c r="T1619" s="18"/>
      <c r="U1619" s="18"/>
      <c r="V1619" s="18"/>
      <c r="W1619" s="15"/>
      <c r="X1619" s="15"/>
    </row>
    <row r="1620">
      <c r="A1620" s="7">
        <v>1619.0</v>
      </c>
      <c r="B1620" s="8" t="s">
        <v>6992</v>
      </c>
      <c r="C1620" s="9" t="s">
        <v>6993</v>
      </c>
      <c r="D1620" s="10" t="str">
        <f>HYPERLINK("https://facebook.com/367089020688300_561298991267301", "367089020688300_561298991267301")</f>
        <v>367089020688300_561298991267301</v>
      </c>
      <c r="E1620" s="11">
        <v>23.0</v>
      </c>
      <c r="F1620" s="11">
        <v>0.0</v>
      </c>
      <c r="G1620" s="11">
        <v>5.0</v>
      </c>
      <c r="H1620" s="9" t="s">
        <v>26</v>
      </c>
      <c r="I1620" s="9" t="s">
        <v>6994</v>
      </c>
      <c r="J1620" s="9" t="s">
        <v>6995</v>
      </c>
      <c r="K1620" s="9" t="s">
        <v>6996</v>
      </c>
      <c r="L1620" s="9" t="s">
        <v>30</v>
      </c>
      <c r="M1620" s="9" t="s">
        <v>31</v>
      </c>
      <c r="N1620" s="9" t="s">
        <v>32</v>
      </c>
      <c r="O1620" s="12" t="s">
        <v>33</v>
      </c>
      <c r="P1620" s="12" t="s">
        <v>34</v>
      </c>
      <c r="Q1620" s="9"/>
      <c r="R1620" s="18"/>
      <c r="S1620" s="18"/>
      <c r="T1620" s="18"/>
      <c r="U1620" s="18"/>
      <c r="V1620" s="18"/>
      <c r="W1620" s="15"/>
      <c r="X1620" s="15"/>
    </row>
    <row r="1621">
      <c r="A1621" s="7">
        <v>1620.0</v>
      </c>
      <c r="B1621" s="8" t="s">
        <v>6997</v>
      </c>
      <c r="C1621" s="9" t="s">
        <v>6998</v>
      </c>
      <c r="D1621" s="10" t="str">
        <f>HYPERLINK("https://facebook.com/367089020688300_546853526045181", "367089020688300_546853526045181")</f>
        <v>367089020688300_546853526045181</v>
      </c>
      <c r="E1621" s="11">
        <v>50.0</v>
      </c>
      <c r="F1621" s="11">
        <v>1.0</v>
      </c>
      <c r="G1621" s="11">
        <v>28.0</v>
      </c>
      <c r="H1621" s="9" t="s">
        <v>26</v>
      </c>
      <c r="I1621" s="9" t="s">
        <v>6999</v>
      </c>
      <c r="J1621" s="9" t="s">
        <v>7000</v>
      </c>
      <c r="K1621" s="9" t="s">
        <v>7001</v>
      </c>
      <c r="L1621" s="9" t="s">
        <v>30</v>
      </c>
      <c r="M1621" s="9" t="s">
        <v>31</v>
      </c>
      <c r="N1621" s="9" t="s">
        <v>32</v>
      </c>
      <c r="O1621" s="12" t="s">
        <v>33</v>
      </c>
      <c r="P1621" s="12" t="s">
        <v>34</v>
      </c>
      <c r="Q1621" s="9"/>
      <c r="R1621" s="18"/>
      <c r="S1621" s="18"/>
      <c r="T1621" s="18"/>
      <c r="U1621" s="18"/>
      <c r="V1621" s="18"/>
      <c r="W1621" s="15"/>
      <c r="X1621" s="15"/>
    </row>
    <row r="1622">
      <c r="A1622" s="7">
        <v>1621.0</v>
      </c>
      <c r="B1622" s="8" t="s">
        <v>7002</v>
      </c>
      <c r="C1622" s="9" t="s">
        <v>7003</v>
      </c>
      <c r="D1622" s="10" t="str">
        <f>HYPERLINK("https://facebook.com/367089020688300_447956442601557", "367089020688300_447956442601557")</f>
        <v>367089020688300_447956442601557</v>
      </c>
      <c r="E1622" s="11">
        <v>1128.0</v>
      </c>
      <c r="F1622" s="11">
        <v>55.0</v>
      </c>
      <c r="G1622" s="11">
        <v>1142.0</v>
      </c>
      <c r="H1622" s="9" t="s">
        <v>26</v>
      </c>
      <c r="I1622" s="9" t="s">
        <v>1293</v>
      </c>
      <c r="J1622" s="9" t="s">
        <v>1294</v>
      </c>
      <c r="K1622" s="9" t="s">
        <v>7004</v>
      </c>
      <c r="L1622" s="9" t="s">
        <v>30</v>
      </c>
      <c r="M1622" s="9" t="s">
        <v>31</v>
      </c>
      <c r="N1622" s="9" t="s">
        <v>32</v>
      </c>
      <c r="O1622" s="12" t="s">
        <v>33</v>
      </c>
      <c r="P1622" s="12" t="s">
        <v>34</v>
      </c>
      <c r="Q1622" s="9"/>
      <c r="R1622" s="18"/>
      <c r="S1622" s="18"/>
      <c r="T1622" s="18"/>
      <c r="U1622" s="18"/>
      <c r="V1622" s="18"/>
      <c r="W1622" s="15"/>
      <c r="X1622" s="15"/>
    </row>
    <row r="1623">
      <c r="A1623" s="7">
        <v>1622.0</v>
      </c>
      <c r="B1623" s="8" t="s">
        <v>7005</v>
      </c>
      <c r="C1623" s="9" t="s">
        <v>7006</v>
      </c>
      <c r="D1623" s="10" t="str">
        <f>HYPERLINK("https://facebook.com/367089020688300_462653097798558", "367089020688300_462653097798558")</f>
        <v>367089020688300_462653097798558</v>
      </c>
      <c r="E1623" s="11">
        <v>288.0</v>
      </c>
      <c r="F1623" s="11">
        <v>14.0</v>
      </c>
      <c r="G1623" s="11">
        <v>424.0</v>
      </c>
      <c r="H1623" s="9" t="s">
        <v>26</v>
      </c>
      <c r="I1623" s="9" t="s">
        <v>7007</v>
      </c>
      <c r="J1623" s="9" t="s">
        <v>7008</v>
      </c>
      <c r="K1623" s="9" t="s">
        <v>7009</v>
      </c>
      <c r="L1623" s="9" t="s">
        <v>30</v>
      </c>
      <c r="M1623" s="9" t="s">
        <v>31</v>
      </c>
      <c r="N1623" s="9" t="s">
        <v>32</v>
      </c>
      <c r="O1623" s="12" t="s">
        <v>33</v>
      </c>
      <c r="P1623" s="12" t="s">
        <v>34</v>
      </c>
      <c r="Q1623" s="9"/>
      <c r="R1623" s="18"/>
      <c r="S1623" s="18"/>
      <c r="T1623" s="18"/>
      <c r="U1623" s="18"/>
      <c r="V1623" s="18"/>
      <c r="W1623" s="15"/>
      <c r="X1623" s="15"/>
    </row>
    <row r="1624">
      <c r="A1624" s="7">
        <v>1623.0</v>
      </c>
      <c r="B1624" s="8" t="s">
        <v>7010</v>
      </c>
      <c r="C1624" s="9" t="s">
        <v>7011</v>
      </c>
      <c r="D1624" s="10" t="str">
        <f>HYPERLINK("https://facebook.com/367089020688300_553189852078215", "367089020688300_553189852078215")</f>
        <v>367089020688300_553189852078215</v>
      </c>
      <c r="E1624" s="11">
        <v>81.0</v>
      </c>
      <c r="F1624" s="11">
        <v>1.0</v>
      </c>
      <c r="G1624" s="11">
        <v>44.0</v>
      </c>
      <c r="H1624" s="9" t="s">
        <v>26</v>
      </c>
      <c r="I1624" s="9" t="s">
        <v>7012</v>
      </c>
      <c r="J1624" s="16" t="s">
        <v>7013</v>
      </c>
      <c r="K1624" s="9"/>
      <c r="L1624" s="9" t="s">
        <v>30</v>
      </c>
      <c r="M1624" s="9" t="s">
        <v>31</v>
      </c>
      <c r="N1624" s="9" t="s">
        <v>32</v>
      </c>
      <c r="O1624" s="12" t="s">
        <v>33</v>
      </c>
      <c r="P1624" s="12" t="s">
        <v>34</v>
      </c>
      <c r="Q1624" s="9"/>
      <c r="R1624" s="18"/>
      <c r="S1624" s="18"/>
      <c r="T1624" s="18"/>
      <c r="U1624" s="18"/>
      <c r="V1624" s="18"/>
      <c r="W1624" s="15"/>
      <c r="X1624" s="15"/>
    </row>
    <row r="1625">
      <c r="A1625" s="7">
        <v>1624.0</v>
      </c>
      <c r="B1625" s="8" t="s">
        <v>7014</v>
      </c>
      <c r="C1625" s="9" t="s">
        <v>7015</v>
      </c>
      <c r="D1625" s="10" t="str">
        <f>HYPERLINK("https://facebook.com/367089020688300_549677079096159", "367089020688300_549677079096159")</f>
        <v>367089020688300_549677079096159</v>
      </c>
      <c r="E1625" s="11">
        <v>123.0</v>
      </c>
      <c r="F1625" s="11">
        <v>0.0</v>
      </c>
      <c r="G1625" s="11">
        <v>83.0</v>
      </c>
      <c r="H1625" s="9" t="s">
        <v>26</v>
      </c>
      <c r="I1625" s="9" t="s">
        <v>7016</v>
      </c>
      <c r="J1625" s="16" t="s">
        <v>7017</v>
      </c>
      <c r="K1625" s="9"/>
      <c r="L1625" s="9" t="s">
        <v>30</v>
      </c>
      <c r="M1625" s="9" t="s">
        <v>31</v>
      </c>
      <c r="N1625" s="9" t="s">
        <v>32</v>
      </c>
      <c r="O1625" s="12" t="s">
        <v>33</v>
      </c>
      <c r="P1625" s="12" t="s">
        <v>34</v>
      </c>
      <c r="Q1625" s="9"/>
      <c r="R1625" s="18"/>
      <c r="S1625" s="18"/>
      <c r="T1625" s="18"/>
      <c r="U1625" s="18"/>
      <c r="V1625" s="18"/>
      <c r="W1625" s="15"/>
      <c r="X1625" s="15"/>
    </row>
    <row r="1626">
      <c r="A1626" s="7">
        <v>1625.0</v>
      </c>
      <c r="B1626" s="8" t="s">
        <v>7018</v>
      </c>
      <c r="C1626" s="9" t="s">
        <v>7019</v>
      </c>
      <c r="D1626" s="10" t="str">
        <f>HYPERLINK("https://facebook.com/367089020688300_524981604899040", "367089020688300_524981604899040")</f>
        <v>367089020688300_524981604899040</v>
      </c>
      <c r="E1626" s="11">
        <v>927.0</v>
      </c>
      <c r="F1626" s="11">
        <v>21.0</v>
      </c>
      <c r="G1626" s="11">
        <v>247.0</v>
      </c>
      <c r="H1626" s="9" t="s">
        <v>26</v>
      </c>
      <c r="I1626" s="9" t="s">
        <v>7020</v>
      </c>
      <c r="J1626" s="9" t="s">
        <v>7021</v>
      </c>
      <c r="K1626" s="9" t="s">
        <v>7022</v>
      </c>
      <c r="L1626" s="9" t="s">
        <v>30</v>
      </c>
      <c r="M1626" s="9" t="s">
        <v>31</v>
      </c>
      <c r="N1626" s="9" t="s">
        <v>32</v>
      </c>
      <c r="O1626" s="12" t="s">
        <v>33</v>
      </c>
      <c r="P1626" s="12" t="s">
        <v>34</v>
      </c>
      <c r="Q1626" s="9"/>
      <c r="R1626" s="18"/>
      <c r="S1626" s="18"/>
      <c r="T1626" s="18"/>
      <c r="U1626" s="18"/>
      <c r="V1626" s="18"/>
      <c r="W1626" s="15"/>
      <c r="X1626" s="15"/>
    </row>
    <row r="1627">
      <c r="A1627" s="7">
        <v>1626.0</v>
      </c>
      <c r="B1627" s="8" t="s">
        <v>7023</v>
      </c>
      <c r="C1627" s="9" t="s">
        <v>7024</v>
      </c>
      <c r="D1627" s="10" t="str">
        <f>HYPERLINK("https://facebook.com/367089020688300_483218249075376", "367089020688300_483218249075376")</f>
        <v>367089020688300_483218249075376</v>
      </c>
      <c r="E1627" s="11">
        <v>680.0</v>
      </c>
      <c r="F1627" s="11">
        <v>24.0</v>
      </c>
      <c r="G1627" s="11">
        <v>410.0</v>
      </c>
      <c r="H1627" s="9" t="s">
        <v>26</v>
      </c>
      <c r="I1627" s="9" t="s">
        <v>7025</v>
      </c>
      <c r="J1627" s="16" t="s">
        <v>7026</v>
      </c>
      <c r="K1627" s="9"/>
      <c r="L1627" s="9" t="s">
        <v>30</v>
      </c>
      <c r="M1627" s="9" t="s">
        <v>31</v>
      </c>
      <c r="N1627" s="9" t="s">
        <v>32</v>
      </c>
      <c r="O1627" s="12" t="s">
        <v>33</v>
      </c>
      <c r="P1627" s="12" t="s">
        <v>34</v>
      </c>
      <c r="Q1627" s="9"/>
      <c r="R1627" s="18"/>
      <c r="S1627" s="18"/>
      <c r="T1627" s="18"/>
      <c r="U1627" s="18"/>
      <c r="V1627" s="18"/>
      <c r="W1627" s="15"/>
      <c r="X1627" s="15"/>
    </row>
    <row r="1628">
      <c r="A1628" s="7">
        <v>1627.0</v>
      </c>
      <c r="B1628" s="8" t="s">
        <v>7027</v>
      </c>
      <c r="C1628" s="9" t="s">
        <v>7028</v>
      </c>
      <c r="D1628" s="10" t="str">
        <f>HYPERLINK("https://facebook.com/367089020688300_560283704702163", "367089020688300_560283704702163")</f>
        <v>367089020688300_560283704702163</v>
      </c>
      <c r="E1628" s="11">
        <v>726.0</v>
      </c>
      <c r="F1628" s="11">
        <v>2.0</v>
      </c>
      <c r="G1628" s="11">
        <v>284.0</v>
      </c>
      <c r="H1628" s="9" t="s">
        <v>26</v>
      </c>
      <c r="I1628" s="9" t="s">
        <v>7029</v>
      </c>
      <c r="J1628" s="9" t="s">
        <v>7030</v>
      </c>
      <c r="K1628" s="9" t="s">
        <v>7031</v>
      </c>
      <c r="L1628" s="9" t="s">
        <v>30</v>
      </c>
      <c r="M1628" s="9" t="s">
        <v>31</v>
      </c>
      <c r="N1628" s="9" t="s">
        <v>32</v>
      </c>
      <c r="O1628" s="12" t="s">
        <v>33</v>
      </c>
      <c r="P1628" s="12" t="s">
        <v>34</v>
      </c>
      <c r="Q1628" s="9"/>
      <c r="R1628" s="18"/>
      <c r="S1628" s="18"/>
      <c r="T1628" s="18"/>
      <c r="U1628" s="18"/>
      <c r="V1628" s="18"/>
      <c r="W1628" s="15"/>
      <c r="X1628" s="15"/>
    </row>
    <row r="1629">
      <c r="A1629" s="7">
        <v>1628.0</v>
      </c>
      <c r="B1629" s="8" t="s">
        <v>7032</v>
      </c>
      <c r="C1629" s="9" t="s">
        <v>7033</v>
      </c>
      <c r="D1629" s="10" t="str">
        <f>HYPERLINK("https://facebook.com/367089020688300_545167902880410", "367089020688300_545167902880410")</f>
        <v>367089020688300_545167902880410</v>
      </c>
      <c r="E1629" s="11">
        <v>13.0</v>
      </c>
      <c r="F1629" s="11">
        <v>0.0</v>
      </c>
      <c r="G1629" s="11">
        <v>6.0</v>
      </c>
      <c r="H1629" s="9" t="s">
        <v>26</v>
      </c>
      <c r="I1629" s="9" t="s">
        <v>3892</v>
      </c>
      <c r="J1629" s="9" t="s">
        <v>3893</v>
      </c>
      <c r="K1629" s="9" t="s">
        <v>249</v>
      </c>
      <c r="L1629" s="9" t="s">
        <v>30</v>
      </c>
      <c r="M1629" s="9" t="s">
        <v>31</v>
      </c>
      <c r="N1629" s="9" t="s">
        <v>32</v>
      </c>
      <c r="O1629" s="12" t="s">
        <v>33</v>
      </c>
      <c r="P1629" s="12" t="s">
        <v>34</v>
      </c>
      <c r="Q1629" s="9"/>
      <c r="R1629" s="18"/>
      <c r="S1629" s="18"/>
      <c r="T1629" s="18"/>
      <c r="U1629" s="18"/>
      <c r="V1629" s="18"/>
      <c r="W1629" s="15"/>
      <c r="X1629" s="15"/>
    </row>
    <row r="1630">
      <c r="A1630" s="7">
        <v>1629.0</v>
      </c>
      <c r="B1630" s="8" t="s">
        <v>7034</v>
      </c>
      <c r="C1630" s="9" t="s">
        <v>7035</v>
      </c>
      <c r="D1630" s="10" t="str">
        <f>HYPERLINK("https://facebook.com/367089020688300_400116327385569", "367089020688300_400116327385569")</f>
        <v>367089020688300_400116327385569</v>
      </c>
      <c r="E1630" s="11">
        <v>90.0</v>
      </c>
      <c r="F1630" s="11">
        <v>10.0</v>
      </c>
      <c r="G1630" s="11">
        <v>220.0</v>
      </c>
      <c r="H1630" s="9" t="s">
        <v>26</v>
      </c>
      <c r="I1630" s="9" t="s">
        <v>7036</v>
      </c>
      <c r="J1630" s="9" t="s">
        <v>7037</v>
      </c>
      <c r="K1630" s="9" t="s">
        <v>7038</v>
      </c>
      <c r="L1630" s="9" t="s">
        <v>30</v>
      </c>
      <c r="M1630" s="9" t="s">
        <v>31</v>
      </c>
      <c r="N1630" s="9" t="s">
        <v>32</v>
      </c>
      <c r="O1630" s="12" t="s">
        <v>33</v>
      </c>
      <c r="P1630" s="12" t="s">
        <v>34</v>
      </c>
      <c r="Q1630" s="9"/>
      <c r="R1630" s="18"/>
      <c r="S1630" s="18"/>
      <c r="T1630" s="18"/>
      <c r="U1630" s="18"/>
      <c r="V1630" s="18"/>
      <c r="W1630" s="15"/>
      <c r="X1630" s="15"/>
    </row>
    <row r="1631">
      <c r="A1631" s="7">
        <v>1630.0</v>
      </c>
      <c r="B1631" s="8" t="s">
        <v>7039</v>
      </c>
      <c r="C1631" s="9" t="s">
        <v>7040</v>
      </c>
      <c r="D1631" s="10" t="str">
        <f>HYPERLINK("https://facebook.com/367089020688300_503288250401709", "367089020688300_503288250401709")</f>
        <v>367089020688300_503288250401709</v>
      </c>
      <c r="E1631" s="11">
        <v>40.0</v>
      </c>
      <c r="F1631" s="11">
        <v>2.0</v>
      </c>
      <c r="G1631" s="11">
        <v>127.0</v>
      </c>
      <c r="H1631" s="9" t="s">
        <v>26</v>
      </c>
      <c r="I1631" s="9" t="s">
        <v>5787</v>
      </c>
      <c r="J1631" s="9" t="s">
        <v>7041</v>
      </c>
      <c r="K1631" s="9" t="s">
        <v>7042</v>
      </c>
      <c r="L1631" s="9" t="s">
        <v>30</v>
      </c>
      <c r="M1631" s="9" t="s">
        <v>31</v>
      </c>
      <c r="N1631" s="9" t="s">
        <v>32</v>
      </c>
      <c r="O1631" s="12" t="s">
        <v>33</v>
      </c>
      <c r="P1631" s="12" t="s">
        <v>34</v>
      </c>
      <c r="Q1631" s="9"/>
      <c r="R1631" s="18"/>
      <c r="S1631" s="18"/>
      <c r="T1631" s="18"/>
      <c r="U1631" s="18"/>
      <c r="V1631" s="18"/>
      <c r="W1631" s="15"/>
      <c r="X1631" s="15"/>
    </row>
    <row r="1632">
      <c r="A1632" s="7">
        <v>1631.0</v>
      </c>
      <c r="B1632" s="8" t="s">
        <v>7043</v>
      </c>
      <c r="C1632" s="9" t="s">
        <v>7044</v>
      </c>
      <c r="D1632" s="10" t="str">
        <f>HYPERLINK("https://facebook.com/367089020688300_546984476032086", "367089020688300_546984476032086")</f>
        <v>367089020688300_546984476032086</v>
      </c>
      <c r="E1632" s="11">
        <v>173.0</v>
      </c>
      <c r="F1632" s="11">
        <v>3.0</v>
      </c>
      <c r="G1632" s="11">
        <v>142.0</v>
      </c>
      <c r="H1632" s="9" t="s">
        <v>26</v>
      </c>
      <c r="I1632" s="9" t="s">
        <v>5774</v>
      </c>
      <c r="J1632" s="16" t="s">
        <v>5775</v>
      </c>
      <c r="K1632" s="9"/>
      <c r="L1632" s="9" t="s">
        <v>30</v>
      </c>
      <c r="M1632" s="9" t="s">
        <v>31</v>
      </c>
      <c r="N1632" s="9" t="s">
        <v>32</v>
      </c>
      <c r="O1632" s="12" t="s">
        <v>33</v>
      </c>
      <c r="P1632" s="12" t="s">
        <v>34</v>
      </c>
      <c r="Q1632" s="9"/>
      <c r="R1632" s="18"/>
      <c r="S1632" s="18"/>
      <c r="T1632" s="18"/>
      <c r="U1632" s="18"/>
      <c r="V1632" s="18"/>
      <c r="W1632" s="15"/>
      <c r="X1632" s="15"/>
    </row>
    <row r="1633">
      <c r="A1633" s="7">
        <v>1632.0</v>
      </c>
      <c r="B1633" s="8" t="s">
        <v>7045</v>
      </c>
      <c r="C1633" s="9" t="s">
        <v>7046</v>
      </c>
      <c r="D1633" s="10" t="str">
        <f>HYPERLINK("https://facebook.com/367089020688300_446788782718323", "367089020688300_446788782718323")</f>
        <v>367089020688300_446788782718323</v>
      </c>
      <c r="E1633" s="11">
        <v>650.0</v>
      </c>
      <c r="F1633" s="11">
        <v>24.0</v>
      </c>
      <c r="G1633" s="11">
        <v>488.0</v>
      </c>
      <c r="H1633" s="9" t="s">
        <v>26</v>
      </c>
      <c r="I1633" s="9" t="s">
        <v>7047</v>
      </c>
      <c r="J1633" s="9" t="s">
        <v>7048</v>
      </c>
      <c r="K1633" s="9" t="s">
        <v>7049</v>
      </c>
      <c r="L1633" s="9" t="s">
        <v>30</v>
      </c>
      <c r="M1633" s="9" t="s">
        <v>31</v>
      </c>
      <c r="N1633" s="9" t="s">
        <v>32</v>
      </c>
      <c r="O1633" s="12" t="s">
        <v>33</v>
      </c>
      <c r="P1633" s="12" t="s">
        <v>34</v>
      </c>
      <c r="Q1633" s="9"/>
      <c r="R1633" s="18"/>
      <c r="S1633" s="18"/>
      <c r="T1633" s="18"/>
      <c r="U1633" s="18"/>
      <c r="V1633" s="18"/>
      <c r="W1633" s="15"/>
      <c r="X1633" s="15"/>
    </row>
    <row r="1634">
      <c r="A1634" s="7">
        <v>1633.0</v>
      </c>
      <c r="B1634" s="8" t="s">
        <v>7050</v>
      </c>
      <c r="C1634" s="9" t="s">
        <v>7051</v>
      </c>
      <c r="D1634" s="10" t="str">
        <f>HYPERLINK("https://facebook.com/367089020688300_513338052730062", "367089020688300_513338052730062")</f>
        <v>367089020688300_513338052730062</v>
      </c>
      <c r="E1634" s="11">
        <v>201.0</v>
      </c>
      <c r="F1634" s="11">
        <v>12.0</v>
      </c>
      <c r="G1634" s="11">
        <v>105.0</v>
      </c>
      <c r="H1634" s="9" t="s">
        <v>26</v>
      </c>
      <c r="I1634" s="9" t="s">
        <v>7052</v>
      </c>
      <c r="J1634" s="9" t="s">
        <v>7053</v>
      </c>
      <c r="K1634" s="9" t="s">
        <v>7054</v>
      </c>
      <c r="L1634" s="9" t="s">
        <v>30</v>
      </c>
      <c r="M1634" s="9" t="s">
        <v>31</v>
      </c>
      <c r="N1634" s="9" t="s">
        <v>32</v>
      </c>
      <c r="O1634" s="12" t="s">
        <v>33</v>
      </c>
      <c r="P1634" s="12" t="s">
        <v>34</v>
      </c>
      <c r="Q1634" s="9"/>
      <c r="R1634" s="18"/>
      <c r="S1634" s="18"/>
      <c r="T1634" s="18"/>
      <c r="U1634" s="18"/>
      <c r="V1634" s="18"/>
      <c r="W1634" s="15"/>
      <c r="X1634" s="15"/>
    </row>
    <row r="1635">
      <c r="A1635" s="7">
        <v>1634.0</v>
      </c>
      <c r="B1635" s="8" t="s">
        <v>7055</v>
      </c>
      <c r="C1635" s="9" t="s">
        <v>7056</v>
      </c>
      <c r="D1635" s="10" t="str">
        <f>HYPERLINK("https://facebook.com/367089020688300_562835721113628", "367089020688300_562835721113628")</f>
        <v>367089020688300_562835721113628</v>
      </c>
      <c r="E1635" s="11">
        <v>37.0</v>
      </c>
      <c r="F1635" s="11">
        <v>0.0</v>
      </c>
      <c r="G1635" s="11">
        <v>70.0</v>
      </c>
      <c r="H1635" s="9" t="s">
        <v>26</v>
      </c>
      <c r="I1635" s="9" t="s">
        <v>7057</v>
      </c>
      <c r="J1635" s="16" t="s">
        <v>7058</v>
      </c>
      <c r="K1635" s="9"/>
      <c r="L1635" s="9" t="s">
        <v>30</v>
      </c>
      <c r="M1635" s="9" t="s">
        <v>31</v>
      </c>
      <c r="N1635" s="9" t="s">
        <v>32</v>
      </c>
      <c r="O1635" s="12" t="s">
        <v>33</v>
      </c>
      <c r="P1635" s="12" t="s">
        <v>34</v>
      </c>
      <c r="Q1635" s="9"/>
      <c r="R1635" s="18"/>
      <c r="S1635" s="18"/>
      <c r="T1635" s="18"/>
      <c r="U1635" s="18"/>
      <c r="V1635" s="18"/>
      <c r="W1635" s="15"/>
      <c r="X1635" s="15"/>
    </row>
    <row r="1636">
      <c r="A1636" s="7">
        <v>1635.0</v>
      </c>
      <c r="B1636" s="8" t="s">
        <v>7059</v>
      </c>
      <c r="C1636" s="9" t="s">
        <v>7060</v>
      </c>
      <c r="D1636" s="10" t="str">
        <f>HYPERLINK("https://facebook.com/367089020688300_502106927186508", "367089020688300_502106927186508")</f>
        <v>367089020688300_502106927186508</v>
      </c>
      <c r="E1636" s="11">
        <v>22.0</v>
      </c>
      <c r="F1636" s="11">
        <v>1.0</v>
      </c>
      <c r="G1636" s="11">
        <v>30.0</v>
      </c>
      <c r="H1636" s="9" t="s">
        <v>26</v>
      </c>
      <c r="I1636" s="9" t="s">
        <v>7061</v>
      </c>
      <c r="J1636" s="9" t="s">
        <v>7062</v>
      </c>
      <c r="K1636" s="9" t="s">
        <v>7063</v>
      </c>
      <c r="L1636" s="9" t="s">
        <v>30</v>
      </c>
      <c r="M1636" s="9" t="s">
        <v>31</v>
      </c>
      <c r="N1636" s="9" t="s">
        <v>32</v>
      </c>
      <c r="O1636" s="12" t="s">
        <v>33</v>
      </c>
      <c r="P1636" s="12" t="s">
        <v>34</v>
      </c>
      <c r="Q1636" s="9"/>
      <c r="R1636" s="18"/>
      <c r="S1636" s="18"/>
      <c r="T1636" s="18"/>
      <c r="U1636" s="18"/>
      <c r="V1636" s="18"/>
      <c r="W1636" s="15"/>
      <c r="X1636" s="15"/>
    </row>
    <row r="1637">
      <c r="A1637" s="7">
        <v>1636.0</v>
      </c>
      <c r="B1637" s="8" t="s">
        <v>7064</v>
      </c>
      <c r="C1637" s="9" t="s">
        <v>7065</v>
      </c>
      <c r="D1637" s="10" t="str">
        <f>HYPERLINK("https://facebook.com/367089020688300_414695085927693", "367089020688300_414695085927693")</f>
        <v>367089020688300_414695085927693</v>
      </c>
      <c r="E1637" s="11">
        <v>121.0</v>
      </c>
      <c r="F1637" s="11">
        <v>4.0</v>
      </c>
      <c r="G1637" s="11">
        <v>141.0</v>
      </c>
      <c r="H1637" s="9" t="s">
        <v>26</v>
      </c>
      <c r="I1637" s="9" t="s">
        <v>7066</v>
      </c>
      <c r="J1637" s="9" t="s">
        <v>7067</v>
      </c>
      <c r="K1637" s="9" t="s">
        <v>7068</v>
      </c>
      <c r="L1637" s="9" t="s">
        <v>30</v>
      </c>
      <c r="M1637" s="9" t="s">
        <v>31</v>
      </c>
      <c r="N1637" s="9" t="s">
        <v>32</v>
      </c>
      <c r="O1637" s="12" t="s">
        <v>33</v>
      </c>
      <c r="P1637" s="12" t="s">
        <v>34</v>
      </c>
      <c r="Q1637" s="9"/>
      <c r="R1637" s="18"/>
      <c r="S1637" s="18"/>
      <c r="T1637" s="18"/>
      <c r="U1637" s="18"/>
      <c r="V1637" s="18"/>
      <c r="W1637" s="15"/>
      <c r="X1637" s="15"/>
    </row>
    <row r="1638">
      <c r="A1638" s="7">
        <v>1637.0</v>
      </c>
      <c r="B1638" s="8" t="s">
        <v>7069</v>
      </c>
      <c r="C1638" s="9" t="s">
        <v>7070</v>
      </c>
      <c r="D1638" s="10" t="str">
        <f>HYPERLINK("https://facebook.com/367089020688300_539374330126434", "367089020688300_539374330126434")</f>
        <v>367089020688300_539374330126434</v>
      </c>
      <c r="E1638" s="11">
        <v>145.0</v>
      </c>
      <c r="F1638" s="11">
        <v>3.0</v>
      </c>
      <c r="G1638" s="11">
        <v>31.0</v>
      </c>
      <c r="H1638" s="9" t="s">
        <v>26</v>
      </c>
      <c r="I1638" s="9" t="s">
        <v>7071</v>
      </c>
      <c r="J1638" s="9" t="s">
        <v>7072</v>
      </c>
      <c r="K1638" s="9" t="s">
        <v>7073</v>
      </c>
      <c r="L1638" s="9" t="s">
        <v>30</v>
      </c>
      <c r="M1638" s="9" t="s">
        <v>31</v>
      </c>
      <c r="N1638" s="9" t="s">
        <v>32</v>
      </c>
      <c r="O1638" s="12" t="s">
        <v>33</v>
      </c>
      <c r="P1638" s="12" t="s">
        <v>34</v>
      </c>
      <c r="Q1638" s="9"/>
      <c r="R1638" s="18"/>
      <c r="S1638" s="18"/>
      <c r="T1638" s="18"/>
      <c r="U1638" s="18"/>
      <c r="V1638" s="18"/>
      <c r="W1638" s="15"/>
      <c r="X1638" s="15"/>
    </row>
    <row r="1639">
      <c r="A1639" s="7">
        <v>1638.0</v>
      </c>
      <c r="B1639" s="8" t="s">
        <v>7074</v>
      </c>
      <c r="C1639" s="9" t="s">
        <v>7075</v>
      </c>
      <c r="D1639" s="10" t="str">
        <f>HYPERLINK("https://facebook.com/367089020688300_509039829826551", "367089020688300_509039829826551")</f>
        <v>367089020688300_509039829826551</v>
      </c>
      <c r="E1639" s="11">
        <v>148.0</v>
      </c>
      <c r="F1639" s="11">
        <v>4.0</v>
      </c>
      <c r="G1639" s="11">
        <v>332.0</v>
      </c>
      <c r="H1639" s="9" t="s">
        <v>26</v>
      </c>
      <c r="I1639" s="9" t="s">
        <v>6560</v>
      </c>
      <c r="J1639" s="9" t="s">
        <v>7076</v>
      </c>
      <c r="K1639" s="9" t="s">
        <v>7077</v>
      </c>
      <c r="L1639" s="9" t="s">
        <v>30</v>
      </c>
      <c r="M1639" s="9" t="s">
        <v>31</v>
      </c>
      <c r="N1639" s="9" t="s">
        <v>32</v>
      </c>
      <c r="O1639" s="12" t="s">
        <v>33</v>
      </c>
      <c r="P1639" s="12" t="s">
        <v>34</v>
      </c>
      <c r="Q1639" s="9"/>
      <c r="R1639" s="18"/>
      <c r="S1639" s="18"/>
      <c r="T1639" s="18"/>
      <c r="U1639" s="18"/>
      <c r="V1639" s="18"/>
      <c r="W1639" s="15"/>
      <c r="X1639" s="15"/>
    </row>
    <row r="1640">
      <c r="A1640" s="7">
        <v>1639.0</v>
      </c>
      <c r="B1640" s="8" t="s">
        <v>7078</v>
      </c>
      <c r="C1640" s="9" t="s">
        <v>7079</v>
      </c>
      <c r="D1640" s="10" t="str">
        <f>HYPERLINK("https://facebook.com/367089020688300_535356093861591", "367089020688300_535356093861591")</f>
        <v>367089020688300_535356093861591</v>
      </c>
      <c r="E1640" s="11">
        <v>14.0</v>
      </c>
      <c r="F1640" s="11">
        <v>0.0</v>
      </c>
      <c r="G1640" s="11">
        <v>6.0</v>
      </c>
      <c r="H1640" s="9" t="s">
        <v>26</v>
      </c>
      <c r="I1640" s="9" t="s">
        <v>1085</v>
      </c>
      <c r="J1640" s="16" t="s">
        <v>1086</v>
      </c>
      <c r="K1640" s="9"/>
      <c r="L1640" s="9" t="s">
        <v>30</v>
      </c>
      <c r="M1640" s="9" t="s">
        <v>31</v>
      </c>
      <c r="N1640" s="9" t="s">
        <v>32</v>
      </c>
      <c r="O1640" s="12" t="s">
        <v>33</v>
      </c>
      <c r="P1640" s="12" t="s">
        <v>34</v>
      </c>
      <c r="Q1640" s="9"/>
      <c r="R1640" s="18"/>
      <c r="S1640" s="18"/>
      <c r="T1640" s="18"/>
      <c r="U1640" s="18"/>
      <c r="V1640" s="18"/>
      <c r="W1640" s="15"/>
      <c r="X1640" s="15"/>
    </row>
    <row r="1641">
      <c r="A1641" s="7">
        <v>1640.0</v>
      </c>
      <c r="B1641" s="8" t="s">
        <v>7080</v>
      </c>
      <c r="C1641" s="9" t="s">
        <v>7081</v>
      </c>
      <c r="D1641" s="10" t="str">
        <f>HYPERLINK("https://facebook.com/367089020688300_549569819106885", "367089020688300_549569819106885")</f>
        <v>367089020688300_549569819106885</v>
      </c>
      <c r="E1641" s="11">
        <v>135.0</v>
      </c>
      <c r="F1641" s="11">
        <v>1.0</v>
      </c>
      <c r="G1641" s="11">
        <v>181.0</v>
      </c>
      <c r="H1641" s="9" t="s">
        <v>26</v>
      </c>
      <c r="I1641" s="9" t="s">
        <v>7082</v>
      </c>
      <c r="J1641" s="16" t="s">
        <v>7083</v>
      </c>
      <c r="K1641" s="9"/>
      <c r="L1641" s="9" t="s">
        <v>30</v>
      </c>
      <c r="M1641" s="9" t="s">
        <v>31</v>
      </c>
      <c r="N1641" s="9" t="s">
        <v>32</v>
      </c>
      <c r="O1641" s="12" t="s">
        <v>33</v>
      </c>
      <c r="P1641" s="12" t="s">
        <v>34</v>
      </c>
      <c r="Q1641" s="9"/>
      <c r="R1641" s="18"/>
      <c r="S1641" s="18"/>
      <c r="T1641" s="18"/>
      <c r="U1641" s="18"/>
      <c r="V1641" s="18"/>
      <c r="W1641" s="15"/>
      <c r="X1641" s="15"/>
    </row>
    <row r="1642">
      <c r="A1642" s="7">
        <v>1641.0</v>
      </c>
      <c r="B1642" s="8" t="s">
        <v>7084</v>
      </c>
      <c r="C1642" s="9" t="s">
        <v>7085</v>
      </c>
      <c r="D1642" s="10" t="str">
        <f>HYPERLINK("https://facebook.com/367089020688300_554323355298198", "367089020688300_554323355298198")</f>
        <v>367089020688300_554323355298198</v>
      </c>
      <c r="E1642" s="11">
        <v>16.0</v>
      </c>
      <c r="F1642" s="11">
        <v>0.0</v>
      </c>
      <c r="G1642" s="11">
        <v>9.0</v>
      </c>
      <c r="H1642" s="9" t="s">
        <v>26</v>
      </c>
      <c r="I1642" s="9" t="s">
        <v>6169</v>
      </c>
      <c r="J1642" s="16" t="s">
        <v>6170</v>
      </c>
      <c r="K1642" s="9"/>
      <c r="L1642" s="9" t="s">
        <v>30</v>
      </c>
      <c r="M1642" s="9" t="s">
        <v>31</v>
      </c>
      <c r="N1642" s="9" t="s">
        <v>32</v>
      </c>
      <c r="O1642" s="12" t="s">
        <v>33</v>
      </c>
      <c r="P1642" s="12" t="s">
        <v>34</v>
      </c>
      <c r="Q1642" s="9"/>
      <c r="R1642" s="18"/>
      <c r="S1642" s="18"/>
      <c r="T1642" s="18"/>
      <c r="U1642" s="18"/>
      <c r="V1642" s="18"/>
      <c r="W1642" s="15"/>
      <c r="X1642" s="15"/>
    </row>
    <row r="1643">
      <c r="A1643" s="7">
        <v>1642.0</v>
      </c>
      <c r="B1643" s="8" t="s">
        <v>7086</v>
      </c>
      <c r="C1643" s="9" t="s">
        <v>7087</v>
      </c>
      <c r="D1643" s="10" t="str">
        <f>HYPERLINK("https://facebook.com/367089020688300_512890619441472", "367089020688300_512890619441472")</f>
        <v>367089020688300_512890619441472</v>
      </c>
      <c r="E1643" s="11">
        <v>395.0</v>
      </c>
      <c r="F1643" s="11">
        <v>25.0</v>
      </c>
      <c r="G1643" s="11">
        <v>237.0</v>
      </c>
      <c r="H1643" s="9" t="s">
        <v>26</v>
      </c>
      <c r="I1643" s="9" t="s">
        <v>7088</v>
      </c>
      <c r="J1643" s="9" t="s">
        <v>7089</v>
      </c>
      <c r="K1643" s="9" t="s">
        <v>7090</v>
      </c>
      <c r="L1643" s="9" t="s">
        <v>30</v>
      </c>
      <c r="M1643" s="9" t="s">
        <v>31</v>
      </c>
      <c r="N1643" s="9" t="s">
        <v>32</v>
      </c>
      <c r="O1643" s="12" t="s">
        <v>33</v>
      </c>
      <c r="P1643" s="12" t="s">
        <v>34</v>
      </c>
      <c r="Q1643" s="9"/>
      <c r="R1643" s="18"/>
      <c r="S1643" s="18"/>
      <c r="T1643" s="18"/>
      <c r="U1643" s="18"/>
      <c r="V1643" s="18"/>
      <c r="W1643" s="15"/>
      <c r="X1643" s="15"/>
    </row>
    <row r="1644">
      <c r="A1644" s="7">
        <v>1643.0</v>
      </c>
      <c r="B1644" s="8" t="s">
        <v>7091</v>
      </c>
      <c r="C1644" s="9" t="s">
        <v>7092</v>
      </c>
      <c r="D1644" s="10" t="str">
        <f>HYPERLINK("https://facebook.com/367089020688300_409465543117314", "367089020688300_409465543117314")</f>
        <v>367089020688300_409465543117314</v>
      </c>
      <c r="E1644" s="11">
        <v>850.0</v>
      </c>
      <c r="F1644" s="11">
        <v>18.0</v>
      </c>
      <c r="G1644" s="11">
        <v>403.0</v>
      </c>
      <c r="H1644" s="9" t="s">
        <v>26</v>
      </c>
      <c r="I1644" s="9" t="s">
        <v>7093</v>
      </c>
      <c r="J1644" s="9" t="s">
        <v>7094</v>
      </c>
      <c r="K1644" s="9" t="s">
        <v>471</v>
      </c>
      <c r="L1644" s="9" t="s">
        <v>30</v>
      </c>
      <c r="M1644" s="9" t="s">
        <v>31</v>
      </c>
      <c r="N1644" s="9" t="s">
        <v>32</v>
      </c>
      <c r="O1644" s="12" t="s">
        <v>33</v>
      </c>
      <c r="P1644" s="12" t="s">
        <v>34</v>
      </c>
      <c r="Q1644" s="9"/>
      <c r="R1644" s="18"/>
      <c r="S1644" s="18"/>
      <c r="T1644" s="18"/>
      <c r="U1644" s="18"/>
      <c r="V1644" s="18"/>
      <c r="W1644" s="15"/>
      <c r="X1644" s="15"/>
    </row>
    <row r="1645">
      <c r="A1645" s="7">
        <v>1644.0</v>
      </c>
      <c r="B1645" s="8" t="s">
        <v>7095</v>
      </c>
      <c r="C1645" s="9" t="s">
        <v>7096</v>
      </c>
      <c r="D1645" s="10" t="str">
        <f>HYPERLINK("https://facebook.com/367089020688300_479293129467888", "367089020688300_479293129467888")</f>
        <v>367089020688300_479293129467888</v>
      </c>
      <c r="E1645" s="11">
        <v>33.0</v>
      </c>
      <c r="F1645" s="11">
        <v>0.0</v>
      </c>
      <c r="G1645" s="11">
        <v>15.0</v>
      </c>
      <c r="H1645" s="9" t="s">
        <v>26</v>
      </c>
      <c r="I1645" s="9" t="s">
        <v>7097</v>
      </c>
      <c r="J1645" s="9" t="s">
        <v>7098</v>
      </c>
      <c r="K1645" s="9" t="s">
        <v>5481</v>
      </c>
      <c r="L1645" s="9" t="s">
        <v>30</v>
      </c>
      <c r="M1645" s="9" t="s">
        <v>31</v>
      </c>
      <c r="N1645" s="9" t="s">
        <v>32</v>
      </c>
      <c r="O1645" s="12" t="s">
        <v>33</v>
      </c>
      <c r="P1645" s="12" t="s">
        <v>34</v>
      </c>
      <c r="Q1645" s="9"/>
      <c r="R1645" s="18"/>
      <c r="S1645" s="18"/>
      <c r="T1645" s="18"/>
      <c r="U1645" s="18"/>
      <c r="V1645" s="18"/>
      <c r="W1645" s="15"/>
      <c r="X1645" s="15"/>
    </row>
    <row r="1646">
      <c r="A1646" s="7">
        <v>1645.0</v>
      </c>
      <c r="B1646" s="8" t="s">
        <v>7099</v>
      </c>
      <c r="C1646" s="9" t="s">
        <v>7100</v>
      </c>
      <c r="D1646" s="10" t="str">
        <f>HYPERLINK("https://facebook.com/367089020688300_520504412013426", "367089020688300_520504412013426")</f>
        <v>367089020688300_520504412013426</v>
      </c>
      <c r="E1646" s="11">
        <v>8.0</v>
      </c>
      <c r="F1646" s="11">
        <v>0.0</v>
      </c>
      <c r="G1646" s="11">
        <v>25.0</v>
      </c>
      <c r="H1646" s="9" t="s">
        <v>26</v>
      </c>
      <c r="I1646" s="9" t="s">
        <v>6582</v>
      </c>
      <c r="J1646" s="16" t="s">
        <v>6583</v>
      </c>
      <c r="K1646" s="9"/>
      <c r="L1646" s="9" t="s">
        <v>30</v>
      </c>
      <c r="M1646" s="9" t="s">
        <v>31</v>
      </c>
      <c r="N1646" s="9" t="s">
        <v>32</v>
      </c>
      <c r="O1646" s="12" t="s">
        <v>33</v>
      </c>
      <c r="P1646" s="12" t="s">
        <v>34</v>
      </c>
      <c r="Q1646" s="9"/>
      <c r="R1646" s="18"/>
      <c r="S1646" s="18"/>
      <c r="T1646" s="18"/>
      <c r="U1646" s="18"/>
      <c r="V1646" s="18"/>
      <c r="W1646" s="15"/>
      <c r="X1646" s="15"/>
    </row>
    <row r="1647">
      <c r="A1647" s="7">
        <v>1646.0</v>
      </c>
      <c r="B1647" s="8" t="s">
        <v>7101</v>
      </c>
      <c r="C1647" s="9" t="s">
        <v>7102</v>
      </c>
      <c r="D1647" s="10" t="str">
        <f>HYPERLINK("https://facebook.com/367089020688300_544157756314758", "367089020688300_544157756314758")</f>
        <v>367089020688300_544157756314758</v>
      </c>
      <c r="E1647" s="11">
        <v>847.0</v>
      </c>
      <c r="F1647" s="11">
        <v>71.0</v>
      </c>
      <c r="G1647" s="11">
        <v>719.0</v>
      </c>
      <c r="H1647" s="9" t="s">
        <v>26</v>
      </c>
      <c r="I1647" s="9" t="s">
        <v>743</v>
      </c>
      <c r="J1647" s="16" t="s">
        <v>7103</v>
      </c>
      <c r="K1647" s="9"/>
      <c r="L1647" s="9" t="s">
        <v>30</v>
      </c>
      <c r="M1647" s="9" t="s">
        <v>31</v>
      </c>
      <c r="N1647" s="9" t="s">
        <v>32</v>
      </c>
      <c r="O1647" s="12" t="s">
        <v>33</v>
      </c>
      <c r="P1647" s="12" t="s">
        <v>34</v>
      </c>
      <c r="Q1647" s="9"/>
      <c r="R1647" s="18"/>
      <c r="S1647" s="18"/>
      <c r="T1647" s="18"/>
      <c r="U1647" s="18"/>
      <c r="V1647" s="18"/>
      <c r="W1647" s="15"/>
      <c r="X1647" s="15"/>
    </row>
    <row r="1648">
      <c r="A1648" s="7">
        <v>1647.0</v>
      </c>
      <c r="B1648" s="8" t="s">
        <v>7104</v>
      </c>
      <c r="C1648" s="9" t="s">
        <v>7105</v>
      </c>
      <c r="D1648" s="10" t="str">
        <f>HYPERLINK("https://facebook.com/367089020688300_397410107656191", "367089020688300_397410107656191")</f>
        <v>367089020688300_397410107656191</v>
      </c>
      <c r="E1648" s="11">
        <v>1027.0</v>
      </c>
      <c r="F1648" s="11">
        <v>149.0</v>
      </c>
      <c r="G1648" s="11">
        <v>814.0</v>
      </c>
      <c r="H1648" s="9" t="s">
        <v>26</v>
      </c>
      <c r="I1648" s="9" t="s">
        <v>7106</v>
      </c>
      <c r="J1648" s="9" t="s">
        <v>7107</v>
      </c>
      <c r="K1648" s="9" t="s">
        <v>7108</v>
      </c>
      <c r="L1648" s="9" t="s">
        <v>30</v>
      </c>
      <c r="M1648" s="9" t="s">
        <v>31</v>
      </c>
      <c r="N1648" s="9" t="s">
        <v>32</v>
      </c>
      <c r="O1648" s="12" t="s">
        <v>33</v>
      </c>
      <c r="P1648" s="12" t="s">
        <v>34</v>
      </c>
      <c r="Q1648" s="9"/>
      <c r="R1648" s="18"/>
      <c r="S1648" s="18"/>
      <c r="T1648" s="18"/>
      <c r="U1648" s="18"/>
      <c r="V1648" s="18"/>
      <c r="W1648" s="15"/>
      <c r="X1648" s="15"/>
    </row>
    <row r="1649">
      <c r="A1649" s="7">
        <v>1648.0</v>
      </c>
      <c r="B1649" s="8" t="s">
        <v>7109</v>
      </c>
      <c r="C1649" s="9" t="s">
        <v>7110</v>
      </c>
      <c r="D1649" s="10" t="str">
        <f>HYPERLINK("https://facebook.com/367089020688300_460283454702189", "367089020688300_460283454702189")</f>
        <v>367089020688300_460283454702189</v>
      </c>
      <c r="E1649" s="11">
        <v>1752.0</v>
      </c>
      <c r="F1649" s="11">
        <v>33.0</v>
      </c>
      <c r="G1649" s="11">
        <v>913.0</v>
      </c>
      <c r="H1649" s="9" t="s">
        <v>26</v>
      </c>
      <c r="I1649" s="9" t="s">
        <v>2126</v>
      </c>
      <c r="J1649" s="9" t="s">
        <v>7111</v>
      </c>
      <c r="K1649" s="9" t="s">
        <v>7112</v>
      </c>
      <c r="L1649" s="9" t="s">
        <v>30</v>
      </c>
      <c r="M1649" s="9" t="s">
        <v>31</v>
      </c>
      <c r="N1649" s="9" t="s">
        <v>32</v>
      </c>
      <c r="O1649" s="12" t="s">
        <v>33</v>
      </c>
      <c r="P1649" s="12" t="s">
        <v>34</v>
      </c>
      <c r="Q1649" s="9"/>
      <c r="R1649" s="18"/>
      <c r="S1649" s="18"/>
      <c r="T1649" s="18"/>
      <c r="U1649" s="18"/>
      <c r="V1649" s="18"/>
      <c r="W1649" s="15"/>
      <c r="X1649" s="15"/>
    </row>
    <row r="1650">
      <c r="A1650" s="7">
        <v>1649.0</v>
      </c>
      <c r="B1650" s="8" t="s">
        <v>7113</v>
      </c>
      <c r="C1650" s="9" t="s">
        <v>7114</v>
      </c>
      <c r="D1650" s="10" t="str">
        <f>HYPERLINK("https://facebook.com/367089020688300_534508287279705", "367089020688300_534508287279705")</f>
        <v>367089020688300_534508287279705</v>
      </c>
      <c r="E1650" s="11">
        <v>152.0</v>
      </c>
      <c r="F1650" s="11">
        <v>2.0</v>
      </c>
      <c r="G1650" s="11">
        <v>285.0</v>
      </c>
      <c r="H1650" s="9" t="s">
        <v>26</v>
      </c>
      <c r="I1650" s="9" t="s">
        <v>7115</v>
      </c>
      <c r="J1650" s="16" t="s">
        <v>7116</v>
      </c>
      <c r="K1650" s="9"/>
      <c r="L1650" s="9" t="s">
        <v>30</v>
      </c>
      <c r="M1650" s="9" t="s">
        <v>31</v>
      </c>
      <c r="N1650" s="9" t="s">
        <v>32</v>
      </c>
      <c r="O1650" s="12" t="s">
        <v>33</v>
      </c>
      <c r="P1650" s="12" t="s">
        <v>34</v>
      </c>
      <c r="Q1650" s="9"/>
      <c r="R1650" s="18"/>
      <c r="S1650" s="18"/>
      <c r="T1650" s="18"/>
      <c r="U1650" s="18"/>
      <c r="V1650" s="18"/>
      <c r="W1650" s="15"/>
      <c r="X1650" s="15"/>
    </row>
    <row r="1651">
      <c r="A1651" s="7">
        <v>1650.0</v>
      </c>
      <c r="B1651" s="8" t="s">
        <v>7117</v>
      </c>
      <c r="C1651" s="9" t="s">
        <v>7118</v>
      </c>
      <c r="D1651" s="10" t="str">
        <f>HYPERLINK("https://facebook.com/367089020688300_544123436318190", "367089020688300_544123436318190")</f>
        <v>367089020688300_544123436318190</v>
      </c>
      <c r="E1651" s="11">
        <v>15.0</v>
      </c>
      <c r="F1651" s="11">
        <v>0.0</v>
      </c>
      <c r="G1651" s="11">
        <v>23.0</v>
      </c>
      <c r="H1651" s="9" t="s">
        <v>26</v>
      </c>
      <c r="I1651" s="9" t="s">
        <v>7119</v>
      </c>
      <c r="J1651" s="16" t="s">
        <v>7120</v>
      </c>
      <c r="K1651" s="9"/>
      <c r="L1651" s="9" t="s">
        <v>30</v>
      </c>
      <c r="M1651" s="9" t="s">
        <v>31</v>
      </c>
      <c r="N1651" s="9" t="s">
        <v>32</v>
      </c>
      <c r="O1651" s="12" t="s">
        <v>33</v>
      </c>
      <c r="P1651" s="12" t="s">
        <v>34</v>
      </c>
      <c r="Q1651" s="9"/>
      <c r="R1651" s="18"/>
      <c r="S1651" s="18"/>
      <c r="T1651" s="18"/>
      <c r="U1651" s="18"/>
      <c r="V1651" s="18"/>
      <c r="W1651" s="15"/>
      <c r="X1651" s="15"/>
    </row>
    <row r="1652">
      <c r="A1652" s="7">
        <v>1651.0</v>
      </c>
      <c r="B1652" s="21" t="s">
        <v>7121</v>
      </c>
      <c r="C1652" s="21" t="s">
        <v>7122</v>
      </c>
      <c r="D1652" s="22" t="str">
        <f>HYPERLINK("https://facebook.com/367089020688300_559406798123187", "367089020688300_559406798123187")</f>
        <v>367089020688300_559406798123187</v>
      </c>
      <c r="E1652" s="23">
        <v>38.0</v>
      </c>
      <c r="F1652" s="23">
        <v>1.0</v>
      </c>
      <c r="G1652" s="23">
        <v>11.0</v>
      </c>
      <c r="H1652" s="21" t="s">
        <v>26</v>
      </c>
      <c r="I1652" s="21" t="s">
        <v>7123</v>
      </c>
      <c r="J1652" s="21" t="s">
        <v>7124</v>
      </c>
      <c r="K1652" s="21"/>
      <c r="L1652" s="21" t="s">
        <v>30</v>
      </c>
      <c r="M1652" s="21" t="s">
        <v>31</v>
      </c>
      <c r="N1652" s="21" t="s">
        <v>32</v>
      </c>
      <c r="O1652" s="21" t="s">
        <v>33</v>
      </c>
      <c r="P1652" s="12" t="s">
        <v>34</v>
      </c>
      <c r="Q1652" s="21"/>
      <c r="R1652" s="24"/>
      <c r="S1652" s="24"/>
      <c r="T1652" s="24"/>
      <c r="U1652" s="24"/>
      <c r="V1652" s="24"/>
      <c r="W1652" s="13" t="s">
        <v>6348</v>
      </c>
      <c r="X1652" s="24"/>
    </row>
    <row r="1653">
      <c r="A1653" s="7">
        <v>1652.0</v>
      </c>
      <c r="B1653" s="8" t="s">
        <v>7125</v>
      </c>
      <c r="C1653" s="9" t="s">
        <v>7126</v>
      </c>
      <c r="D1653" s="10" t="str">
        <f>HYPERLINK("https://facebook.com/367089020688300_367321597331709", "367089020688300_367321597331709")</f>
        <v>367089020688300_367321597331709</v>
      </c>
      <c r="E1653" s="11">
        <v>327.0</v>
      </c>
      <c r="F1653" s="11">
        <v>3.0</v>
      </c>
      <c r="G1653" s="11">
        <v>576.0</v>
      </c>
      <c r="H1653" s="9" t="s">
        <v>26</v>
      </c>
      <c r="I1653" s="9" t="s">
        <v>7127</v>
      </c>
      <c r="J1653" s="9" t="s">
        <v>7128</v>
      </c>
      <c r="K1653" s="9" t="s">
        <v>7129</v>
      </c>
      <c r="L1653" s="9" t="s">
        <v>30</v>
      </c>
      <c r="M1653" s="9" t="s">
        <v>31</v>
      </c>
      <c r="N1653" s="9" t="s">
        <v>32</v>
      </c>
      <c r="O1653" s="12" t="s">
        <v>33</v>
      </c>
      <c r="P1653" s="12" t="s">
        <v>34</v>
      </c>
      <c r="Q1653" s="9"/>
      <c r="R1653" s="18"/>
      <c r="S1653" s="18"/>
      <c r="T1653" s="18"/>
      <c r="U1653" s="18"/>
      <c r="V1653" s="18"/>
      <c r="W1653" s="15"/>
      <c r="X1653" s="15"/>
    </row>
    <row r="1654">
      <c r="A1654" s="7">
        <v>1653.0</v>
      </c>
      <c r="B1654" s="8" t="s">
        <v>7130</v>
      </c>
      <c r="C1654" s="9" t="s">
        <v>7131</v>
      </c>
      <c r="D1654" s="10" t="str">
        <f>HYPERLINK("https://facebook.com/367089020688300_516921842371683", "367089020688300_516921842371683")</f>
        <v>367089020688300_516921842371683</v>
      </c>
      <c r="E1654" s="11">
        <v>1089.0</v>
      </c>
      <c r="F1654" s="11">
        <v>25.0</v>
      </c>
      <c r="G1654" s="11">
        <v>790.0</v>
      </c>
      <c r="H1654" s="9" t="s">
        <v>26</v>
      </c>
      <c r="I1654" s="9" t="s">
        <v>7132</v>
      </c>
      <c r="J1654" s="16" t="s">
        <v>7133</v>
      </c>
      <c r="K1654" s="9"/>
      <c r="L1654" s="9" t="s">
        <v>30</v>
      </c>
      <c r="M1654" s="9" t="s">
        <v>31</v>
      </c>
      <c r="N1654" s="9" t="s">
        <v>32</v>
      </c>
      <c r="O1654" s="12" t="s">
        <v>33</v>
      </c>
      <c r="P1654" s="12" t="s">
        <v>34</v>
      </c>
      <c r="Q1654" s="9"/>
      <c r="R1654" s="18"/>
      <c r="S1654" s="18"/>
      <c r="T1654" s="18"/>
      <c r="U1654" s="18"/>
      <c r="V1654" s="18"/>
      <c r="W1654" s="15"/>
      <c r="X1654" s="15"/>
    </row>
    <row r="1655">
      <c r="A1655" s="7">
        <v>1654.0</v>
      </c>
      <c r="B1655" s="8" t="s">
        <v>7134</v>
      </c>
      <c r="C1655" s="9" t="s">
        <v>7135</v>
      </c>
      <c r="D1655" s="10" t="str">
        <f>HYPERLINK("https://facebook.com/367089020688300_509343419796192", "367089020688300_509343419796192")</f>
        <v>367089020688300_509343419796192</v>
      </c>
      <c r="E1655" s="11">
        <v>675.0</v>
      </c>
      <c r="F1655" s="11">
        <v>13.0</v>
      </c>
      <c r="G1655" s="11">
        <v>390.0</v>
      </c>
      <c r="H1655" s="9" t="s">
        <v>26</v>
      </c>
      <c r="I1655" s="9" t="s">
        <v>7136</v>
      </c>
      <c r="J1655" s="9" t="s">
        <v>7137</v>
      </c>
      <c r="K1655" s="9" t="s">
        <v>51</v>
      </c>
      <c r="L1655" s="9" t="s">
        <v>30</v>
      </c>
      <c r="M1655" s="9" t="s">
        <v>31</v>
      </c>
      <c r="N1655" s="9" t="s">
        <v>32</v>
      </c>
      <c r="O1655" s="12" t="s">
        <v>33</v>
      </c>
      <c r="P1655" s="12" t="s">
        <v>34</v>
      </c>
      <c r="Q1655" s="9"/>
      <c r="R1655" s="18"/>
      <c r="S1655" s="18"/>
      <c r="T1655" s="18"/>
      <c r="U1655" s="18"/>
      <c r="V1655" s="18"/>
      <c r="W1655" s="15"/>
      <c r="X1655" s="15"/>
    </row>
    <row r="1656">
      <c r="A1656" s="7">
        <v>1655.0</v>
      </c>
      <c r="B1656" s="8" t="s">
        <v>7138</v>
      </c>
      <c r="C1656" s="9" t="s">
        <v>7139</v>
      </c>
      <c r="D1656" s="10" t="str">
        <f>HYPERLINK("https://facebook.com/367089020688300_544380539625813", "367089020688300_544380539625813")</f>
        <v>367089020688300_544380539625813</v>
      </c>
      <c r="E1656" s="11">
        <v>170.0</v>
      </c>
      <c r="F1656" s="11">
        <v>4.0</v>
      </c>
      <c r="G1656" s="11">
        <v>185.0</v>
      </c>
      <c r="H1656" s="9" t="s">
        <v>26</v>
      </c>
      <c r="I1656" s="9" t="s">
        <v>7140</v>
      </c>
      <c r="J1656" s="9" t="s">
        <v>7141</v>
      </c>
      <c r="K1656" s="9" t="s">
        <v>7142</v>
      </c>
      <c r="L1656" s="9" t="s">
        <v>30</v>
      </c>
      <c r="M1656" s="9" t="s">
        <v>31</v>
      </c>
      <c r="N1656" s="9" t="s">
        <v>32</v>
      </c>
      <c r="O1656" s="12" t="s">
        <v>33</v>
      </c>
      <c r="P1656" s="12" t="s">
        <v>34</v>
      </c>
      <c r="Q1656" s="9"/>
      <c r="R1656" s="18"/>
      <c r="S1656" s="18"/>
      <c r="T1656" s="18"/>
      <c r="U1656" s="18"/>
      <c r="V1656" s="18"/>
      <c r="W1656" s="15"/>
      <c r="X1656" s="15"/>
    </row>
    <row r="1657">
      <c r="A1657" s="7">
        <v>1656.0</v>
      </c>
      <c r="B1657" s="8" t="s">
        <v>7143</v>
      </c>
      <c r="C1657" s="9" t="s">
        <v>7144</v>
      </c>
      <c r="D1657" s="10" t="str">
        <f>HYPERLINK("https://facebook.com/367089020688300_468871320510069", "367089020688300_468871320510069")</f>
        <v>367089020688300_468871320510069</v>
      </c>
      <c r="E1657" s="11">
        <v>118.0</v>
      </c>
      <c r="F1657" s="11">
        <v>2.0</v>
      </c>
      <c r="G1657" s="11">
        <v>208.0</v>
      </c>
      <c r="H1657" s="9" t="s">
        <v>26</v>
      </c>
      <c r="I1657" s="9" t="s">
        <v>7145</v>
      </c>
      <c r="J1657" s="9" t="s">
        <v>7146</v>
      </c>
      <c r="K1657" s="9" t="s">
        <v>7147</v>
      </c>
      <c r="L1657" s="9" t="s">
        <v>30</v>
      </c>
      <c r="M1657" s="9" t="s">
        <v>31</v>
      </c>
      <c r="N1657" s="9" t="s">
        <v>32</v>
      </c>
      <c r="O1657" s="12" t="s">
        <v>33</v>
      </c>
      <c r="P1657" s="12" t="s">
        <v>34</v>
      </c>
      <c r="Q1657" s="9"/>
      <c r="R1657" s="18"/>
      <c r="S1657" s="18"/>
      <c r="T1657" s="18"/>
      <c r="U1657" s="18"/>
      <c r="V1657" s="18"/>
      <c r="W1657" s="15"/>
      <c r="X1657" s="15"/>
    </row>
    <row r="1658">
      <c r="A1658" s="7">
        <v>1657.0</v>
      </c>
      <c r="B1658" s="8" t="s">
        <v>7148</v>
      </c>
      <c r="C1658" s="9" t="s">
        <v>7149</v>
      </c>
      <c r="D1658" s="10" t="str">
        <f>HYPERLINK("https://facebook.com/367089020688300_545485372848663", "367089020688300_545485372848663")</f>
        <v>367089020688300_545485372848663</v>
      </c>
      <c r="E1658" s="11">
        <v>932.0</v>
      </c>
      <c r="F1658" s="11">
        <v>22.0</v>
      </c>
      <c r="G1658" s="11">
        <v>877.0</v>
      </c>
      <c r="H1658" s="9" t="s">
        <v>26</v>
      </c>
      <c r="I1658" s="9" t="s">
        <v>7150</v>
      </c>
      <c r="J1658" s="9" t="s">
        <v>7151</v>
      </c>
      <c r="K1658" s="9" t="s">
        <v>7152</v>
      </c>
      <c r="L1658" s="9" t="s">
        <v>30</v>
      </c>
      <c r="M1658" s="9" t="s">
        <v>31</v>
      </c>
      <c r="N1658" s="9" t="s">
        <v>32</v>
      </c>
      <c r="O1658" s="12" t="s">
        <v>33</v>
      </c>
      <c r="P1658" s="12" t="s">
        <v>34</v>
      </c>
      <c r="Q1658" s="9"/>
      <c r="R1658" s="18"/>
      <c r="S1658" s="18"/>
      <c r="T1658" s="18"/>
      <c r="U1658" s="18"/>
      <c r="V1658" s="18"/>
      <c r="W1658" s="15"/>
      <c r="X1658" s="15"/>
    </row>
    <row r="1659">
      <c r="A1659" s="7">
        <v>1658.0</v>
      </c>
      <c r="B1659" s="8" t="s">
        <v>7153</v>
      </c>
      <c r="C1659" s="9" t="s">
        <v>7154</v>
      </c>
      <c r="D1659" s="10" t="str">
        <f>HYPERLINK("https://facebook.com/367089020688300_525868991476968", "367089020688300_525868991476968")</f>
        <v>367089020688300_525868991476968</v>
      </c>
      <c r="E1659" s="11">
        <v>1261.0</v>
      </c>
      <c r="F1659" s="11">
        <v>43.0</v>
      </c>
      <c r="G1659" s="11">
        <v>957.0</v>
      </c>
      <c r="H1659" s="9" t="s">
        <v>26</v>
      </c>
      <c r="I1659" s="9" t="s">
        <v>7155</v>
      </c>
      <c r="J1659" s="16" t="s">
        <v>7156</v>
      </c>
      <c r="K1659" s="9"/>
      <c r="L1659" s="9" t="s">
        <v>30</v>
      </c>
      <c r="M1659" s="9" t="s">
        <v>31</v>
      </c>
      <c r="N1659" s="9" t="s">
        <v>32</v>
      </c>
      <c r="O1659" s="12" t="s">
        <v>33</v>
      </c>
      <c r="P1659" s="12" t="s">
        <v>34</v>
      </c>
      <c r="Q1659" s="9"/>
      <c r="R1659" s="18"/>
      <c r="S1659" s="18"/>
      <c r="T1659" s="18"/>
      <c r="U1659" s="18"/>
      <c r="V1659" s="18"/>
      <c r="W1659" s="15"/>
      <c r="X1659" s="15"/>
    </row>
    <row r="1660">
      <c r="A1660" s="7">
        <v>1659.0</v>
      </c>
      <c r="B1660" s="8" t="s">
        <v>7157</v>
      </c>
      <c r="C1660" s="9" t="s">
        <v>7158</v>
      </c>
      <c r="D1660" s="10" t="str">
        <f>HYPERLINK("https://facebook.com/367089020688300_518392715557929", "367089020688300_518392715557929")</f>
        <v>367089020688300_518392715557929</v>
      </c>
      <c r="E1660" s="11">
        <v>14.0</v>
      </c>
      <c r="F1660" s="11">
        <v>0.0</v>
      </c>
      <c r="G1660" s="11">
        <v>14.0</v>
      </c>
      <c r="H1660" s="9" t="s">
        <v>26</v>
      </c>
      <c r="I1660" s="9" t="s">
        <v>2436</v>
      </c>
      <c r="J1660" s="9" t="s">
        <v>2437</v>
      </c>
      <c r="K1660" s="9" t="s">
        <v>7159</v>
      </c>
      <c r="L1660" s="9" t="s">
        <v>30</v>
      </c>
      <c r="M1660" s="9" t="s">
        <v>31</v>
      </c>
      <c r="N1660" s="9" t="s">
        <v>32</v>
      </c>
      <c r="O1660" s="12" t="s">
        <v>33</v>
      </c>
      <c r="P1660" s="12" t="s">
        <v>34</v>
      </c>
      <c r="Q1660" s="9"/>
      <c r="R1660" s="18"/>
      <c r="S1660" s="18"/>
      <c r="T1660" s="18"/>
      <c r="U1660" s="18"/>
      <c r="V1660" s="18"/>
      <c r="W1660" s="15"/>
      <c r="X1660" s="15"/>
    </row>
    <row r="1661">
      <c r="A1661" s="7">
        <v>1660.0</v>
      </c>
      <c r="B1661" s="8" t="s">
        <v>7160</v>
      </c>
      <c r="C1661" s="9" t="s">
        <v>7161</v>
      </c>
      <c r="D1661" s="10" t="str">
        <f>HYPERLINK("https://facebook.com/367089020688300_560051888058678", "367089020688300_560051888058678")</f>
        <v>367089020688300_560051888058678</v>
      </c>
      <c r="E1661" s="11">
        <v>37.0</v>
      </c>
      <c r="F1661" s="11">
        <v>0.0</v>
      </c>
      <c r="G1661" s="11">
        <v>40.0</v>
      </c>
      <c r="H1661" s="9" t="s">
        <v>26</v>
      </c>
      <c r="I1661" s="9" t="s">
        <v>1253</v>
      </c>
      <c r="J1661" s="16" t="s">
        <v>7162</v>
      </c>
      <c r="K1661" s="9"/>
      <c r="L1661" s="9" t="s">
        <v>30</v>
      </c>
      <c r="M1661" s="9" t="s">
        <v>31</v>
      </c>
      <c r="N1661" s="9" t="s">
        <v>32</v>
      </c>
      <c r="O1661" s="12" t="s">
        <v>33</v>
      </c>
      <c r="P1661" s="12" t="s">
        <v>34</v>
      </c>
      <c r="Q1661" s="9"/>
      <c r="R1661" s="18"/>
      <c r="S1661" s="18"/>
      <c r="T1661" s="18"/>
      <c r="U1661" s="18"/>
      <c r="V1661" s="18"/>
      <c r="W1661" s="15"/>
      <c r="X1661" s="15"/>
    </row>
    <row r="1662">
      <c r="A1662" s="7">
        <v>1661.0</v>
      </c>
      <c r="B1662" s="8" t="s">
        <v>7163</v>
      </c>
      <c r="C1662" s="9" t="s">
        <v>7164</v>
      </c>
      <c r="D1662" s="10" t="str">
        <f>HYPERLINK("https://facebook.com/367089020688300_545394076191126", "367089020688300_545394076191126")</f>
        <v>367089020688300_545394076191126</v>
      </c>
      <c r="E1662" s="11">
        <v>124.0</v>
      </c>
      <c r="F1662" s="11">
        <v>3.0</v>
      </c>
      <c r="G1662" s="11">
        <v>80.0</v>
      </c>
      <c r="H1662" s="9" t="s">
        <v>26</v>
      </c>
      <c r="I1662" s="9" t="s">
        <v>7165</v>
      </c>
      <c r="J1662" s="16" t="s">
        <v>7166</v>
      </c>
      <c r="K1662" s="9"/>
      <c r="L1662" s="9" t="s">
        <v>30</v>
      </c>
      <c r="M1662" s="9" t="s">
        <v>31</v>
      </c>
      <c r="N1662" s="9" t="s">
        <v>32</v>
      </c>
      <c r="O1662" s="12" t="s">
        <v>33</v>
      </c>
      <c r="P1662" s="12" t="s">
        <v>34</v>
      </c>
      <c r="Q1662" s="9"/>
      <c r="R1662" s="18"/>
      <c r="S1662" s="18"/>
      <c r="T1662" s="18"/>
      <c r="U1662" s="18"/>
      <c r="V1662" s="18"/>
      <c r="W1662" s="15"/>
      <c r="X1662" s="15"/>
    </row>
    <row r="1663">
      <c r="A1663" s="7">
        <v>1662.0</v>
      </c>
      <c r="B1663" s="8" t="s">
        <v>7167</v>
      </c>
      <c r="C1663" s="9" t="s">
        <v>7168</v>
      </c>
      <c r="D1663" s="10" t="str">
        <f>HYPERLINK("https://facebook.com/367089020688300_550474345683099", "367089020688300_550474345683099")</f>
        <v>367089020688300_550474345683099</v>
      </c>
      <c r="E1663" s="11">
        <v>65.0</v>
      </c>
      <c r="F1663" s="11">
        <v>0.0</v>
      </c>
      <c r="G1663" s="11">
        <v>44.0</v>
      </c>
      <c r="H1663" s="9" t="s">
        <v>26</v>
      </c>
      <c r="I1663" s="9" t="s">
        <v>7169</v>
      </c>
      <c r="J1663" s="16" t="s">
        <v>7170</v>
      </c>
      <c r="K1663" s="9"/>
      <c r="L1663" s="9" t="s">
        <v>30</v>
      </c>
      <c r="M1663" s="9" t="s">
        <v>31</v>
      </c>
      <c r="N1663" s="9" t="s">
        <v>32</v>
      </c>
      <c r="O1663" s="12" t="s">
        <v>33</v>
      </c>
      <c r="P1663" s="12" t="s">
        <v>34</v>
      </c>
      <c r="Q1663" s="9"/>
      <c r="R1663" s="18"/>
      <c r="S1663" s="18"/>
      <c r="T1663" s="18"/>
      <c r="U1663" s="18"/>
      <c r="V1663" s="18"/>
      <c r="W1663" s="15"/>
      <c r="X1663" s="15"/>
    </row>
    <row r="1664">
      <c r="A1664" s="7">
        <v>1663.0</v>
      </c>
      <c r="B1664" s="8" t="s">
        <v>7171</v>
      </c>
      <c r="C1664" s="9" t="s">
        <v>7172</v>
      </c>
      <c r="D1664" s="10" t="str">
        <f>HYPERLINK("https://facebook.com/367089020688300_540970916633442", "367089020688300_540970916633442")</f>
        <v>367089020688300_540970916633442</v>
      </c>
      <c r="E1664" s="11">
        <v>1923.0</v>
      </c>
      <c r="F1664" s="11">
        <v>29.0</v>
      </c>
      <c r="G1664" s="11">
        <v>1172.0</v>
      </c>
      <c r="H1664" s="9" t="s">
        <v>26</v>
      </c>
      <c r="I1664" s="9" t="s">
        <v>7173</v>
      </c>
      <c r="J1664" s="9" t="s">
        <v>7174</v>
      </c>
      <c r="K1664" s="9" t="s">
        <v>7175</v>
      </c>
      <c r="L1664" s="9" t="s">
        <v>30</v>
      </c>
      <c r="M1664" s="9" t="s">
        <v>31</v>
      </c>
      <c r="N1664" s="9" t="s">
        <v>32</v>
      </c>
      <c r="O1664" s="12" t="s">
        <v>33</v>
      </c>
      <c r="P1664" s="12" t="s">
        <v>34</v>
      </c>
      <c r="Q1664" s="9"/>
      <c r="R1664" s="18"/>
      <c r="S1664" s="18"/>
      <c r="T1664" s="18"/>
      <c r="U1664" s="18"/>
      <c r="V1664" s="18"/>
      <c r="W1664" s="15"/>
      <c r="X1664" s="15"/>
    </row>
    <row r="1665">
      <c r="A1665" s="7">
        <v>1664.0</v>
      </c>
      <c r="B1665" s="8" t="s">
        <v>7176</v>
      </c>
      <c r="C1665" s="9" t="s">
        <v>7177</v>
      </c>
      <c r="D1665" s="10" t="str">
        <f>HYPERLINK("https://facebook.com/367089020688300_559698174760716", "367089020688300_559698174760716")</f>
        <v>367089020688300_559698174760716</v>
      </c>
      <c r="E1665" s="11">
        <v>5.0</v>
      </c>
      <c r="F1665" s="11">
        <v>0.0</v>
      </c>
      <c r="G1665" s="11">
        <v>4.0</v>
      </c>
      <c r="H1665" s="9" t="s">
        <v>26</v>
      </c>
      <c r="I1665" s="9" t="s">
        <v>743</v>
      </c>
      <c r="J1665" s="9" t="s">
        <v>7178</v>
      </c>
      <c r="K1665" s="9" t="s">
        <v>7179</v>
      </c>
      <c r="L1665" s="9" t="s">
        <v>30</v>
      </c>
      <c r="M1665" s="9" t="s">
        <v>31</v>
      </c>
      <c r="N1665" s="9" t="s">
        <v>32</v>
      </c>
      <c r="O1665" s="12" t="s">
        <v>33</v>
      </c>
      <c r="P1665" s="12" t="s">
        <v>34</v>
      </c>
      <c r="Q1665" s="9"/>
      <c r="R1665" s="18"/>
      <c r="S1665" s="18"/>
      <c r="T1665" s="18"/>
      <c r="U1665" s="18"/>
      <c r="V1665" s="18"/>
      <c r="W1665" s="15"/>
      <c r="X1665" s="15"/>
    </row>
    <row r="1666">
      <c r="A1666" s="7">
        <v>1665.0</v>
      </c>
      <c r="B1666" s="8" t="s">
        <v>7180</v>
      </c>
      <c r="C1666" s="9" t="s">
        <v>7181</v>
      </c>
      <c r="D1666" s="10" t="str">
        <f>HYPERLINK("https://facebook.com/367089020688300_535441140519753", "367089020688300_535441140519753")</f>
        <v>367089020688300_535441140519753</v>
      </c>
      <c r="E1666" s="11">
        <v>828.0</v>
      </c>
      <c r="F1666" s="11">
        <v>4.0</v>
      </c>
      <c r="G1666" s="11">
        <v>541.0</v>
      </c>
      <c r="H1666" s="9" t="s">
        <v>26</v>
      </c>
      <c r="I1666" s="9" t="s">
        <v>7182</v>
      </c>
      <c r="J1666" s="16" t="s">
        <v>7183</v>
      </c>
      <c r="K1666" s="9"/>
      <c r="L1666" s="9" t="s">
        <v>30</v>
      </c>
      <c r="M1666" s="9" t="s">
        <v>31</v>
      </c>
      <c r="N1666" s="9" t="s">
        <v>32</v>
      </c>
      <c r="O1666" s="12" t="s">
        <v>33</v>
      </c>
      <c r="P1666" s="12" t="s">
        <v>34</v>
      </c>
      <c r="Q1666" s="9"/>
      <c r="R1666" s="18"/>
      <c r="S1666" s="18"/>
      <c r="T1666" s="18"/>
      <c r="U1666" s="18"/>
      <c r="V1666" s="18"/>
      <c r="W1666" s="15"/>
      <c r="X1666" s="15"/>
    </row>
    <row r="1667">
      <c r="A1667" s="7">
        <v>1666.0</v>
      </c>
      <c r="B1667" s="8" t="s">
        <v>7184</v>
      </c>
      <c r="C1667" s="9" t="s">
        <v>7185</v>
      </c>
      <c r="D1667" s="10" t="str">
        <f>HYPERLINK("https://facebook.com/367089020688300_541580369905830", "367089020688300_541580369905830")</f>
        <v>367089020688300_541580369905830</v>
      </c>
      <c r="E1667" s="11">
        <v>4.0</v>
      </c>
      <c r="F1667" s="11">
        <v>0.0</v>
      </c>
      <c r="G1667" s="11">
        <v>4.0</v>
      </c>
      <c r="H1667" s="9" t="s">
        <v>26</v>
      </c>
      <c r="I1667" s="9" t="s">
        <v>7186</v>
      </c>
      <c r="J1667" s="9" t="s">
        <v>7187</v>
      </c>
      <c r="K1667" s="9" t="s">
        <v>7188</v>
      </c>
      <c r="L1667" s="9" t="s">
        <v>30</v>
      </c>
      <c r="M1667" s="9" t="s">
        <v>31</v>
      </c>
      <c r="N1667" s="9" t="s">
        <v>32</v>
      </c>
      <c r="O1667" s="12" t="s">
        <v>33</v>
      </c>
      <c r="P1667" s="12" t="s">
        <v>34</v>
      </c>
      <c r="Q1667" s="9"/>
      <c r="R1667" s="18"/>
      <c r="S1667" s="18"/>
      <c r="T1667" s="18"/>
      <c r="U1667" s="18"/>
      <c r="V1667" s="18"/>
      <c r="W1667" s="15"/>
      <c r="X1667" s="15"/>
    </row>
    <row r="1668">
      <c r="A1668" s="7">
        <v>1667.0</v>
      </c>
      <c r="B1668" s="8" t="s">
        <v>7189</v>
      </c>
      <c r="C1668" s="9" t="s">
        <v>7190</v>
      </c>
      <c r="D1668" s="10" t="str">
        <f>HYPERLINK("https://facebook.com/367089020688300_538770360186831", "367089020688300_538770360186831")</f>
        <v>367089020688300_538770360186831</v>
      </c>
      <c r="E1668" s="11">
        <v>94.0</v>
      </c>
      <c r="F1668" s="11">
        <v>1.0</v>
      </c>
      <c r="G1668" s="11">
        <v>171.0</v>
      </c>
      <c r="H1668" s="9" t="s">
        <v>26</v>
      </c>
      <c r="I1668" s="9" t="s">
        <v>7191</v>
      </c>
      <c r="J1668" s="16" t="s">
        <v>7192</v>
      </c>
      <c r="K1668" s="9"/>
      <c r="L1668" s="9" t="s">
        <v>30</v>
      </c>
      <c r="M1668" s="9" t="s">
        <v>31</v>
      </c>
      <c r="N1668" s="9" t="s">
        <v>32</v>
      </c>
      <c r="O1668" s="12" t="s">
        <v>33</v>
      </c>
      <c r="P1668" s="12" t="s">
        <v>34</v>
      </c>
      <c r="Q1668" s="9"/>
      <c r="R1668" s="18"/>
      <c r="S1668" s="18"/>
      <c r="T1668" s="18"/>
      <c r="U1668" s="18"/>
      <c r="V1668" s="18"/>
      <c r="W1668" s="15"/>
      <c r="X1668" s="15"/>
    </row>
    <row r="1669">
      <c r="A1669" s="7">
        <v>1668.0</v>
      </c>
      <c r="B1669" s="8" t="s">
        <v>7193</v>
      </c>
      <c r="C1669" s="9" t="s">
        <v>7194</v>
      </c>
      <c r="D1669" s="10" t="str">
        <f>HYPERLINK("https://facebook.com/367089020688300_562963264434207", "367089020688300_562963264434207")</f>
        <v>367089020688300_562963264434207</v>
      </c>
      <c r="E1669" s="11">
        <v>149.0</v>
      </c>
      <c r="F1669" s="11">
        <v>1.0</v>
      </c>
      <c r="G1669" s="11">
        <v>105.0</v>
      </c>
      <c r="H1669" s="9" t="s">
        <v>26</v>
      </c>
      <c r="I1669" s="9" t="s">
        <v>7195</v>
      </c>
      <c r="J1669" s="9" t="s">
        <v>7196</v>
      </c>
      <c r="K1669" s="9" t="s">
        <v>249</v>
      </c>
      <c r="L1669" s="9" t="s">
        <v>30</v>
      </c>
      <c r="M1669" s="9" t="s">
        <v>31</v>
      </c>
      <c r="N1669" s="9" t="s">
        <v>32</v>
      </c>
      <c r="O1669" s="12" t="s">
        <v>33</v>
      </c>
      <c r="P1669" s="12" t="s">
        <v>34</v>
      </c>
      <c r="Q1669" s="9"/>
      <c r="R1669" s="18"/>
      <c r="S1669" s="18"/>
      <c r="T1669" s="18"/>
      <c r="U1669" s="18"/>
      <c r="V1669" s="18"/>
      <c r="W1669" s="15"/>
      <c r="X1669" s="15"/>
    </row>
    <row r="1670">
      <c r="A1670" s="7">
        <v>1669.0</v>
      </c>
      <c r="B1670" s="8" t="s">
        <v>7197</v>
      </c>
      <c r="C1670" s="9" t="s">
        <v>7198</v>
      </c>
      <c r="D1670" s="10" t="str">
        <f>HYPERLINK("https://facebook.com/367089020688300_558024181594782", "367089020688300_558024181594782")</f>
        <v>367089020688300_558024181594782</v>
      </c>
      <c r="E1670" s="11">
        <v>43.0</v>
      </c>
      <c r="F1670" s="11">
        <v>2.0</v>
      </c>
      <c r="G1670" s="11">
        <v>5.0</v>
      </c>
      <c r="H1670" s="9" t="s">
        <v>26</v>
      </c>
      <c r="I1670" s="9" t="s">
        <v>469</v>
      </c>
      <c r="J1670" s="16" t="s">
        <v>4284</v>
      </c>
      <c r="K1670" s="9"/>
      <c r="L1670" s="9" t="s">
        <v>30</v>
      </c>
      <c r="M1670" s="9" t="s">
        <v>31</v>
      </c>
      <c r="N1670" s="9" t="s">
        <v>32</v>
      </c>
      <c r="O1670" s="12" t="s">
        <v>33</v>
      </c>
      <c r="P1670" s="12" t="s">
        <v>34</v>
      </c>
      <c r="Q1670" s="9"/>
      <c r="R1670" s="18"/>
      <c r="S1670" s="18"/>
      <c r="T1670" s="18"/>
      <c r="U1670" s="18"/>
      <c r="V1670" s="18"/>
      <c r="W1670" s="15"/>
      <c r="X1670" s="15"/>
    </row>
    <row r="1671">
      <c r="A1671" s="7">
        <v>1670.0</v>
      </c>
      <c r="B1671" s="8" t="s">
        <v>7199</v>
      </c>
      <c r="C1671" s="9" t="s">
        <v>7200</v>
      </c>
      <c r="D1671" s="10" t="str">
        <f>HYPERLINK("https://facebook.com/367089020688300_520387662025101", "367089020688300_520387662025101")</f>
        <v>367089020688300_520387662025101</v>
      </c>
      <c r="E1671" s="11">
        <v>617.0</v>
      </c>
      <c r="F1671" s="11">
        <v>31.0</v>
      </c>
      <c r="G1671" s="11">
        <v>351.0</v>
      </c>
      <c r="H1671" s="9" t="s">
        <v>26</v>
      </c>
      <c r="I1671" s="9" t="s">
        <v>7201</v>
      </c>
      <c r="J1671" s="16" t="s">
        <v>7202</v>
      </c>
      <c r="K1671" s="9"/>
      <c r="L1671" s="9" t="s">
        <v>30</v>
      </c>
      <c r="M1671" s="9" t="s">
        <v>31</v>
      </c>
      <c r="N1671" s="9" t="s">
        <v>32</v>
      </c>
      <c r="O1671" s="12" t="s">
        <v>33</v>
      </c>
      <c r="P1671" s="12" t="s">
        <v>34</v>
      </c>
      <c r="Q1671" s="9"/>
      <c r="R1671" s="18"/>
      <c r="S1671" s="18"/>
      <c r="T1671" s="18"/>
      <c r="U1671" s="18"/>
      <c r="V1671" s="18"/>
      <c r="W1671" s="15"/>
      <c r="X1671" s="15"/>
    </row>
    <row r="1672">
      <c r="A1672" s="7">
        <v>1671.0</v>
      </c>
      <c r="B1672" s="8" t="s">
        <v>7203</v>
      </c>
      <c r="C1672" s="9" t="s">
        <v>7204</v>
      </c>
      <c r="D1672" s="10" t="str">
        <f>HYPERLINK("https://facebook.com/367089020688300_552359855494548", "367089020688300_552359855494548")</f>
        <v>367089020688300_552359855494548</v>
      </c>
      <c r="E1672" s="11">
        <v>197.0</v>
      </c>
      <c r="F1672" s="11">
        <v>4.0</v>
      </c>
      <c r="G1672" s="11">
        <v>98.0</v>
      </c>
      <c r="H1672" s="9" t="s">
        <v>26</v>
      </c>
      <c r="I1672" s="9" t="s">
        <v>7205</v>
      </c>
      <c r="J1672" s="9" t="s">
        <v>7206</v>
      </c>
      <c r="K1672" s="9" t="s">
        <v>7207</v>
      </c>
      <c r="L1672" s="9" t="s">
        <v>30</v>
      </c>
      <c r="M1672" s="9" t="s">
        <v>31</v>
      </c>
      <c r="N1672" s="9" t="s">
        <v>32</v>
      </c>
      <c r="O1672" s="12" t="s">
        <v>33</v>
      </c>
      <c r="P1672" s="12" t="s">
        <v>34</v>
      </c>
      <c r="Q1672" s="9"/>
      <c r="R1672" s="18"/>
      <c r="S1672" s="18"/>
      <c r="T1672" s="18"/>
      <c r="U1672" s="18"/>
      <c r="V1672" s="18"/>
      <c r="W1672" s="15"/>
      <c r="X1672" s="15"/>
    </row>
    <row r="1673">
      <c r="A1673" s="7">
        <v>1672.0</v>
      </c>
      <c r="B1673" s="8" t="s">
        <v>7208</v>
      </c>
      <c r="C1673" s="9" t="s">
        <v>7209</v>
      </c>
      <c r="D1673" s="10" t="str">
        <f>HYPERLINK("https://facebook.com/367089020688300_537264433670757", "367089020688300_537264433670757")</f>
        <v>367089020688300_537264433670757</v>
      </c>
      <c r="E1673" s="11">
        <v>2.0</v>
      </c>
      <c r="F1673" s="11">
        <v>0.0</v>
      </c>
      <c r="G1673" s="11">
        <v>5.0</v>
      </c>
      <c r="H1673" s="9" t="s">
        <v>26</v>
      </c>
      <c r="I1673" s="9" t="s">
        <v>7210</v>
      </c>
      <c r="J1673" s="16" t="s">
        <v>7211</v>
      </c>
      <c r="K1673" s="9"/>
      <c r="L1673" s="9" t="s">
        <v>30</v>
      </c>
      <c r="M1673" s="9" t="s">
        <v>31</v>
      </c>
      <c r="N1673" s="9" t="s">
        <v>32</v>
      </c>
      <c r="O1673" s="12" t="s">
        <v>33</v>
      </c>
      <c r="P1673" s="12" t="s">
        <v>34</v>
      </c>
      <c r="Q1673" s="9"/>
      <c r="R1673" s="18"/>
      <c r="S1673" s="18"/>
      <c r="T1673" s="18"/>
      <c r="U1673" s="18"/>
      <c r="V1673" s="18"/>
      <c r="W1673" s="15"/>
      <c r="X1673" s="15"/>
    </row>
    <row r="1674">
      <c r="A1674" s="7">
        <v>1673.0</v>
      </c>
      <c r="B1674" s="8" t="s">
        <v>7212</v>
      </c>
      <c r="C1674" s="9" t="s">
        <v>7213</v>
      </c>
      <c r="D1674" s="10" t="str">
        <f>HYPERLINK("https://facebook.com/367089020688300_547680239295843", "367089020688300_547680239295843")</f>
        <v>367089020688300_547680239295843</v>
      </c>
      <c r="E1674" s="11">
        <v>6.0</v>
      </c>
      <c r="F1674" s="11">
        <v>0.0</v>
      </c>
      <c r="G1674" s="11">
        <v>2.0</v>
      </c>
      <c r="H1674" s="9" t="s">
        <v>26</v>
      </c>
      <c r="I1674" s="9" t="s">
        <v>7214</v>
      </c>
      <c r="J1674" s="16" t="s">
        <v>7215</v>
      </c>
      <c r="K1674" s="9"/>
      <c r="L1674" s="9" t="s">
        <v>30</v>
      </c>
      <c r="M1674" s="9" t="s">
        <v>31</v>
      </c>
      <c r="N1674" s="9" t="s">
        <v>32</v>
      </c>
      <c r="O1674" s="12" t="s">
        <v>33</v>
      </c>
      <c r="P1674" s="12" t="s">
        <v>34</v>
      </c>
      <c r="Q1674" s="9"/>
      <c r="R1674" s="18"/>
      <c r="S1674" s="18"/>
      <c r="T1674" s="18"/>
      <c r="U1674" s="18"/>
      <c r="V1674" s="18"/>
      <c r="W1674" s="15"/>
      <c r="X1674" s="15"/>
    </row>
    <row r="1675">
      <c r="A1675" s="7">
        <v>1674.0</v>
      </c>
      <c r="B1675" s="8" t="s">
        <v>7216</v>
      </c>
      <c r="C1675" s="9" t="s">
        <v>7217</v>
      </c>
      <c r="D1675" s="10" t="str">
        <f>HYPERLINK("https://facebook.com/367089020688300_510733119657222", "367089020688300_510733119657222")</f>
        <v>367089020688300_510733119657222</v>
      </c>
      <c r="E1675" s="11">
        <v>633.0</v>
      </c>
      <c r="F1675" s="11">
        <v>8.0</v>
      </c>
      <c r="G1675" s="11">
        <v>441.0</v>
      </c>
      <c r="H1675" s="9" t="s">
        <v>26</v>
      </c>
      <c r="I1675" s="9" t="s">
        <v>7218</v>
      </c>
      <c r="J1675" s="9" t="s">
        <v>7219</v>
      </c>
      <c r="K1675" s="9" t="s">
        <v>7220</v>
      </c>
      <c r="L1675" s="9" t="s">
        <v>30</v>
      </c>
      <c r="M1675" s="9" t="s">
        <v>31</v>
      </c>
      <c r="N1675" s="9" t="s">
        <v>32</v>
      </c>
      <c r="O1675" s="12" t="s">
        <v>33</v>
      </c>
      <c r="P1675" s="12" t="s">
        <v>34</v>
      </c>
      <c r="Q1675" s="9"/>
      <c r="R1675" s="18"/>
      <c r="S1675" s="18"/>
      <c r="T1675" s="18"/>
      <c r="U1675" s="18"/>
      <c r="V1675" s="18"/>
      <c r="W1675" s="15"/>
      <c r="X1675" s="15"/>
    </row>
    <row r="1676">
      <c r="A1676" s="7">
        <v>1675.0</v>
      </c>
      <c r="B1676" s="8" t="s">
        <v>7221</v>
      </c>
      <c r="C1676" s="9" t="s">
        <v>7222</v>
      </c>
      <c r="D1676" s="10" t="str">
        <f>HYPERLINK("https://facebook.com/367089020688300_535337590530108", "367089020688300_535337590530108")</f>
        <v>367089020688300_535337590530108</v>
      </c>
      <c r="E1676" s="11">
        <v>410.0</v>
      </c>
      <c r="F1676" s="11">
        <v>4.0</v>
      </c>
      <c r="G1676" s="11">
        <v>86.0</v>
      </c>
      <c r="H1676" s="9" t="s">
        <v>26</v>
      </c>
      <c r="I1676" s="9" t="s">
        <v>7223</v>
      </c>
      <c r="J1676" s="16" t="s">
        <v>7224</v>
      </c>
      <c r="K1676" s="9"/>
      <c r="L1676" s="9" t="s">
        <v>30</v>
      </c>
      <c r="M1676" s="9" t="s">
        <v>31</v>
      </c>
      <c r="N1676" s="9" t="s">
        <v>32</v>
      </c>
      <c r="O1676" s="12" t="s">
        <v>33</v>
      </c>
      <c r="P1676" s="12" t="s">
        <v>34</v>
      </c>
      <c r="Q1676" s="9"/>
      <c r="R1676" s="18"/>
      <c r="S1676" s="18"/>
      <c r="T1676" s="18"/>
      <c r="U1676" s="18"/>
      <c r="V1676" s="18"/>
      <c r="W1676" s="15"/>
      <c r="X1676" s="15"/>
    </row>
    <row r="1677">
      <c r="A1677" s="7">
        <v>1676.0</v>
      </c>
      <c r="B1677" s="8" t="s">
        <v>7225</v>
      </c>
      <c r="C1677" s="9" t="s">
        <v>7226</v>
      </c>
      <c r="D1677" s="10" t="str">
        <f>HYPERLINK("https://facebook.com/367089020688300_376293609767841", "367089020688300_376293609767841")</f>
        <v>367089020688300_376293609767841</v>
      </c>
      <c r="E1677" s="11">
        <v>56.0</v>
      </c>
      <c r="F1677" s="11">
        <v>3.0</v>
      </c>
      <c r="G1677" s="11">
        <v>56.0</v>
      </c>
      <c r="H1677" s="9" t="s">
        <v>26</v>
      </c>
      <c r="I1677" s="9" t="s">
        <v>7227</v>
      </c>
      <c r="J1677" s="9" t="s">
        <v>7228</v>
      </c>
      <c r="K1677" s="9" t="s">
        <v>7229</v>
      </c>
      <c r="L1677" s="9" t="s">
        <v>30</v>
      </c>
      <c r="M1677" s="9" t="s">
        <v>31</v>
      </c>
      <c r="N1677" s="9" t="s">
        <v>32</v>
      </c>
      <c r="O1677" s="12" t="s">
        <v>33</v>
      </c>
      <c r="P1677" s="12" t="s">
        <v>34</v>
      </c>
      <c r="Q1677" s="9"/>
      <c r="R1677" s="18"/>
      <c r="S1677" s="18"/>
      <c r="T1677" s="18"/>
      <c r="U1677" s="18"/>
      <c r="V1677" s="18"/>
      <c r="W1677" s="15"/>
      <c r="X1677" s="15"/>
    </row>
    <row r="1678">
      <c r="A1678" s="7">
        <v>1677.0</v>
      </c>
      <c r="B1678" s="8" t="s">
        <v>7230</v>
      </c>
      <c r="C1678" s="9" t="s">
        <v>7231</v>
      </c>
      <c r="D1678" s="10" t="str">
        <f>HYPERLINK("https://facebook.com/367089020688300_552595075471026", "367089020688300_552595075471026")</f>
        <v>367089020688300_552595075471026</v>
      </c>
      <c r="E1678" s="11">
        <v>22.0</v>
      </c>
      <c r="F1678" s="11">
        <v>0.0</v>
      </c>
      <c r="G1678" s="11">
        <v>17.0</v>
      </c>
      <c r="H1678" s="9" t="s">
        <v>26</v>
      </c>
      <c r="I1678" s="9" t="s">
        <v>7232</v>
      </c>
      <c r="J1678" s="16" t="s">
        <v>7233</v>
      </c>
      <c r="K1678" s="9"/>
      <c r="L1678" s="9" t="s">
        <v>30</v>
      </c>
      <c r="M1678" s="9" t="s">
        <v>31</v>
      </c>
      <c r="N1678" s="9" t="s">
        <v>32</v>
      </c>
      <c r="O1678" s="12" t="s">
        <v>33</v>
      </c>
      <c r="P1678" s="12" t="s">
        <v>34</v>
      </c>
      <c r="Q1678" s="9"/>
      <c r="R1678" s="18"/>
      <c r="S1678" s="18"/>
      <c r="T1678" s="18"/>
      <c r="U1678" s="18"/>
      <c r="V1678" s="18"/>
      <c r="W1678" s="15"/>
      <c r="X1678" s="15"/>
    </row>
    <row r="1679">
      <c r="A1679" s="7">
        <v>1678.0</v>
      </c>
      <c r="B1679" s="8" t="s">
        <v>7234</v>
      </c>
      <c r="C1679" s="9" t="s">
        <v>7235</v>
      </c>
      <c r="D1679" s="10" t="str">
        <f>HYPERLINK("https://facebook.com/367089020688300_449721039091764", "367089020688300_449721039091764")</f>
        <v>367089020688300_449721039091764</v>
      </c>
      <c r="E1679" s="11">
        <v>161.0</v>
      </c>
      <c r="F1679" s="11">
        <v>5.0</v>
      </c>
      <c r="G1679" s="11">
        <v>161.0</v>
      </c>
      <c r="H1679" s="9" t="s">
        <v>26</v>
      </c>
      <c r="I1679" s="9" t="s">
        <v>7236</v>
      </c>
      <c r="J1679" s="9" t="s">
        <v>7237</v>
      </c>
      <c r="K1679" s="9" t="s">
        <v>7238</v>
      </c>
      <c r="L1679" s="9" t="s">
        <v>30</v>
      </c>
      <c r="M1679" s="9" t="s">
        <v>31</v>
      </c>
      <c r="N1679" s="9" t="s">
        <v>32</v>
      </c>
      <c r="O1679" s="12" t="s">
        <v>33</v>
      </c>
      <c r="P1679" s="12" t="s">
        <v>34</v>
      </c>
      <c r="Q1679" s="9"/>
      <c r="R1679" s="18"/>
      <c r="S1679" s="18"/>
      <c r="T1679" s="18"/>
      <c r="U1679" s="18"/>
      <c r="V1679" s="18"/>
      <c r="W1679" s="15"/>
      <c r="X1679" s="15"/>
    </row>
    <row r="1680">
      <c r="A1680" s="7">
        <v>1679.0</v>
      </c>
      <c r="B1680" s="8" t="s">
        <v>7239</v>
      </c>
      <c r="C1680" s="9" t="s">
        <v>7240</v>
      </c>
      <c r="D1680" s="10" t="str">
        <f>HYPERLINK("https://facebook.com/367089020688300_536107620453105", "367089020688300_536107620453105")</f>
        <v>367089020688300_536107620453105</v>
      </c>
      <c r="E1680" s="11">
        <v>163.0</v>
      </c>
      <c r="F1680" s="11">
        <v>6.0</v>
      </c>
      <c r="G1680" s="11">
        <v>165.0</v>
      </c>
      <c r="H1680" s="9" t="s">
        <v>26</v>
      </c>
      <c r="I1680" s="9" t="s">
        <v>7241</v>
      </c>
      <c r="J1680" s="16" t="s">
        <v>7242</v>
      </c>
      <c r="K1680" s="9"/>
      <c r="L1680" s="9" t="s">
        <v>30</v>
      </c>
      <c r="M1680" s="9" t="s">
        <v>31</v>
      </c>
      <c r="N1680" s="9" t="s">
        <v>32</v>
      </c>
      <c r="O1680" s="12" t="s">
        <v>33</v>
      </c>
      <c r="P1680" s="12" t="s">
        <v>34</v>
      </c>
      <c r="Q1680" s="9"/>
      <c r="R1680" s="18"/>
      <c r="S1680" s="18"/>
      <c r="T1680" s="18"/>
      <c r="U1680" s="18"/>
      <c r="V1680" s="18"/>
      <c r="W1680" s="15"/>
      <c r="X1680" s="15"/>
    </row>
    <row r="1681">
      <c r="A1681" s="7">
        <v>1680.0</v>
      </c>
      <c r="B1681" s="8" t="s">
        <v>7243</v>
      </c>
      <c r="C1681" s="9" t="s">
        <v>7244</v>
      </c>
      <c r="D1681" s="10" t="str">
        <f>HYPERLINK("https://facebook.com/367089020688300_562520264478507", "367089020688300_562520264478507")</f>
        <v>367089020688300_562520264478507</v>
      </c>
      <c r="E1681" s="11">
        <v>0.0</v>
      </c>
      <c r="F1681" s="11">
        <v>0.0</v>
      </c>
      <c r="G1681" s="11">
        <v>3.0</v>
      </c>
      <c r="H1681" s="9" t="s">
        <v>26</v>
      </c>
      <c r="I1681" s="9" t="s">
        <v>3204</v>
      </c>
      <c r="J1681" s="9" t="s">
        <v>7245</v>
      </c>
      <c r="K1681" s="9" t="s">
        <v>7246</v>
      </c>
      <c r="L1681" s="9" t="s">
        <v>30</v>
      </c>
      <c r="M1681" s="9" t="s">
        <v>31</v>
      </c>
      <c r="N1681" s="9" t="s">
        <v>32</v>
      </c>
      <c r="O1681" s="12" t="s">
        <v>33</v>
      </c>
      <c r="P1681" s="12" t="s">
        <v>34</v>
      </c>
      <c r="Q1681" s="9"/>
      <c r="R1681" s="18"/>
      <c r="S1681" s="18"/>
      <c r="T1681" s="18"/>
      <c r="U1681" s="18"/>
      <c r="V1681" s="18"/>
      <c r="W1681" s="15"/>
      <c r="X1681" s="15"/>
    </row>
    <row r="1682">
      <c r="A1682" s="7">
        <v>1681.0</v>
      </c>
      <c r="B1682" s="8" t="s">
        <v>7247</v>
      </c>
      <c r="C1682" s="9" t="s">
        <v>7248</v>
      </c>
      <c r="D1682" s="10" t="str">
        <f>HYPERLINK("https://facebook.com/367089020688300_549023919161475", "367089020688300_549023919161475")</f>
        <v>367089020688300_549023919161475</v>
      </c>
      <c r="E1682" s="11">
        <v>208.0</v>
      </c>
      <c r="F1682" s="11">
        <v>8.0</v>
      </c>
      <c r="G1682" s="11">
        <v>367.0</v>
      </c>
      <c r="H1682" s="9" t="s">
        <v>26</v>
      </c>
      <c r="I1682" s="9" t="s">
        <v>7249</v>
      </c>
      <c r="J1682" s="16" t="s">
        <v>7250</v>
      </c>
      <c r="K1682" s="9"/>
      <c r="L1682" s="9" t="s">
        <v>30</v>
      </c>
      <c r="M1682" s="9" t="s">
        <v>31</v>
      </c>
      <c r="N1682" s="9" t="s">
        <v>32</v>
      </c>
      <c r="O1682" s="12" t="s">
        <v>33</v>
      </c>
      <c r="P1682" s="12" t="s">
        <v>34</v>
      </c>
      <c r="Q1682" s="9"/>
      <c r="R1682" s="18"/>
      <c r="S1682" s="18"/>
      <c r="T1682" s="18"/>
      <c r="U1682" s="18"/>
      <c r="V1682" s="18"/>
      <c r="W1682" s="15"/>
      <c r="X1682" s="15"/>
    </row>
    <row r="1683">
      <c r="A1683" s="7">
        <v>1682.0</v>
      </c>
      <c r="B1683" s="8" t="s">
        <v>7251</v>
      </c>
      <c r="C1683" s="9" t="s">
        <v>7252</v>
      </c>
      <c r="D1683" s="10" t="str">
        <f>HYPERLINK("https://facebook.com/367089020688300_553157902081410", "367089020688300_553157902081410")</f>
        <v>367089020688300_553157902081410</v>
      </c>
      <c r="E1683" s="11">
        <v>40.0</v>
      </c>
      <c r="F1683" s="11">
        <v>1.0</v>
      </c>
      <c r="G1683" s="11">
        <v>28.0</v>
      </c>
      <c r="H1683" s="9" t="s">
        <v>26</v>
      </c>
      <c r="I1683" s="9" t="s">
        <v>3845</v>
      </c>
      <c r="J1683" s="9" t="s">
        <v>7253</v>
      </c>
      <c r="K1683" s="9" t="s">
        <v>7254</v>
      </c>
      <c r="L1683" s="9" t="s">
        <v>30</v>
      </c>
      <c r="M1683" s="9" t="s">
        <v>31</v>
      </c>
      <c r="N1683" s="9" t="s">
        <v>32</v>
      </c>
      <c r="O1683" s="12" t="s">
        <v>33</v>
      </c>
      <c r="P1683" s="12" t="s">
        <v>34</v>
      </c>
      <c r="Q1683" s="9"/>
      <c r="R1683" s="18"/>
      <c r="S1683" s="18"/>
      <c r="T1683" s="18"/>
      <c r="U1683" s="18"/>
      <c r="V1683" s="18"/>
      <c r="W1683" s="15"/>
      <c r="X1683" s="15"/>
    </row>
    <row r="1684">
      <c r="A1684" s="7">
        <v>1683.0</v>
      </c>
      <c r="B1684" s="8" t="s">
        <v>7255</v>
      </c>
      <c r="C1684" s="9" t="s">
        <v>7256</v>
      </c>
      <c r="D1684" s="10" t="str">
        <f>HYPERLINK("https://facebook.com/367089020688300_528391747891359", "367089020688300_528391747891359")</f>
        <v>367089020688300_528391747891359</v>
      </c>
      <c r="E1684" s="11">
        <v>207.0</v>
      </c>
      <c r="F1684" s="11">
        <v>6.0</v>
      </c>
      <c r="G1684" s="11">
        <v>298.0</v>
      </c>
      <c r="H1684" s="9" t="s">
        <v>26</v>
      </c>
      <c r="I1684" s="9" t="s">
        <v>5253</v>
      </c>
      <c r="J1684" s="16" t="s">
        <v>5254</v>
      </c>
      <c r="K1684" s="9"/>
      <c r="L1684" s="9" t="s">
        <v>30</v>
      </c>
      <c r="M1684" s="9" t="s">
        <v>31</v>
      </c>
      <c r="N1684" s="9" t="s">
        <v>32</v>
      </c>
      <c r="O1684" s="12" t="s">
        <v>33</v>
      </c>
      <c r="P1684" s="12" t="s">
        <v>34</v>
      </c>
      <c r="Q1684" s="9"/>
      <c r="R1684" s="18"/>
      <c r="S1684" s="18"/>
      <c r="T1684" s="18"/>
      <c r="U1684" s="18"/>
      <c r="V1684" s="18"/>
      <c r="W1684" s="15"/>
      <c r="X1684" s="15"/>
    </row>
    <row r="1685">
      <c r="A1685" s="7">
        <v>1684.0</v>
      </c>
      <c r="B1685" s="8" t="s">
        <v>7257</v>
      </c>
      <c r="C1685" s="9" t="s">
        <v>7258</v>
      </c>
      <c r="D1685" s="10" t="str">
        <f>HYPERLINK("https://facebook.com/367089020688300_547129679350899", "367089020688300_547129679350899")</f>
        <v>367089020688300_547129679350899</v>
      </c>
      <c r="E1685" s="11">
        <v>689.0</v>
      </c>
      <c r="F1685" s="11">
        <v>9.0</v>
      </c>
      <c r="G1685" s="11">
        <v>291.0</v>
      </c>
      <c r="H1685" s="9" t="s">
        <v>26</v>
      </c>
      <c r="I1685" s="9" t="s">
        <v>7259</v>
      </c>
      <c r="J1685" s="16" t="s">
        <v>7260</v>
      </c>
      <c r="K1685" s="9"/>
      <c r="L1685" s="9" t="s">
        <v>30</v>
      </c>
      <c r="M1685" s="9" t="s">
        <v>31</v>
      </c>
      <c r="N1685" s="9" t="s">
        <v>32</v>
      </c>
      <c r="O1685" s="12" t="s">
        <v>33</v>
      </c>
      <c r="P1685" s="12" t="s">
        <v>34</v>
      </c>
      <c r="Q1685" s="9"/>
      <c r="R1685" s="18"/>
      <c r="S1685" s="18"/>
      <c r="T1685" s="18"/>
      <c r="U1685" s="18"/>
      <c r="V1685" s="18"/>
      <c r="W1685" s="15"/>
      <c r="X1685" s="15"/>
    </row>
    <row r="1686">
      <c r="A1686" s="7">
        <v>1685.0</v>
      </c>
      <c r="B1686" s="8" t="s">
        <v>7261</v>
      </c>
      <c r="C1686" s="9" t="s">
        <v>7262</v>
      </c>
      <c r="D1686" s="10" t="str">
        <f>HYPERLINK("https://facebook.com/367089020688300_536968977033636", "367089020688300_536968977033636")</f>
        <v>367089020688300_536968977033636</v>
      </c>
      <c r="E1686" s="11">
        <v>105.0</v>
      </c>
      <c r="F1686" s="11">
        <v>3.0</v>
      </c>
      <c r="G1686" s="11">
        <v>150.0</v>
      </c>
      <c r="H1686" s="9" t="s">
        <v>26</v>
      </c>
      <c r="I1686" s="9" t="s">
        <v>7263</v>
      </c>
      <c r="J1686" s="16" t="s">
        <v>7264</v>
      </c>
      <c r="K1686" s="9"/>
      <c r="L1686" s="9" t="s">
        <v>30</v>
      </c>
      <c r="M1686" s="9" t="s">
        <v>31</v>
      </c>
      <c r="N1686" s="9" t="s">
        <v>32</v>
      </c>
      <c r="O1686" s="12" t="s">
        <v>33</v>
      </c>
      <c r="P1686" s="12" t="s">
        <v>34</v>
      </c>
      <c r="Q1686" s="9"/>
      <c r="R1686" s="18"/>
      <c r="S1686" s="18"/>
      <c r="T1686" s="18"/>
      <c r="U1686" s="18"/>
      <c r="V1686" s="18"/>
      <c r="W1686" s="15"/>
      <c r="X1686" s="15"/>
    </row>
    <row r="1687">
      <c r="A1687" s="7">
        <v>1686.0</v>
      </c>
      <c r="B1687" s="8" t="s">
        <v>7265</v>
      </c>
      <c r="C1687" s="9" t="s">
        <v>7266</v>
      </c>
      <c r="D1687" s="10" t="str">
        <f>HYPERLINK("https://facebook.com/367089020688300_549816185748915", "367089020688300_549816185748915")</f>
        <v>367089020688300_549816185748915</v>
      </c>
      <c r="E1687" s="11">
        <v>1157.0</v>
      </c>
      <c r="F1687" s="11">
        <v>27.0</v>
      </c>
      <c r="G1687" s="11">
        <v>866.0</v>
      </c>
      <c r="H1687" s="9" t="s">
        <v>26</v>
      </c>
      <c r="I1687" s="9" t="s">
        <v>7267</v>
      </c>
      <c r="J1687" s="9" t="s">
        <v>7268</v>
      </c>
      <c r="K1687" s="9" t="s">
        <v>51</v>
      </c>
      <c r="L1687" s="9" t="s">
        <v>30</v>
      </c>
      <c r="M1687" s="9" t="s">
        <v>31</v>
      </c>
      <c r="N1687" s="9" t="s">
        <v>32</v>
      </c>
      <c r="O1687" s="12" t="s">
        <v>33</v>
      </c>
      <c r="P1687" s="12" t="s">
        <v>34</v>
      </c>
      <c r="Q1687" s="9"/>
      <c r="R1687" s="18"/>
      <c r="S1687" s="18"/>
      <c r="T1687" s="18"/>
      <c r="U1687" s="18"/>
      <c r="V1687" s="18"/>
      <c r="W1687" s="15"/>
      <c r="X1687" s="15"/>
    </row>
    <row r="1688">
      <c r="A1688" s="7">
        <v>1687.0</v>
      </c>
      <c r="B1688" s="8" t="s">
        <v>7269</v>
      </c>
      <c r="C1688" s="9" t="s">
        <v>7270</v>
      </c>
      <c r="D1688" s="10" t="str">
        <f>HYPERLINK("https://facebook.com/367089020688300_552220182175182", "367089020688300_552220182175182")</f>
        <v>367089020688300_552220182175182</v>
      </c>
      <c r="E1688" s="11">
        <v>17.0</v>
      </c>
      <c r="F1688" s="11">
        <v>0.0</v>
      </c>
      <c r="G1688" s="11">
        <v>6.0</v>
      </c>
      <c r="H1688" s="9" t="s">
        <v>26</v>
      </c>
      <c r="I1688" s="9" t="s">
        <v>1173</v>
      </c>
      <c r="J1688" s="16" t="s">
        <v>7271</v>
      </c>
      <c r="K1688" s="9"/>
      <c r="L1688" s="9" t="s">
        <v>30</v>
      </c>
      <c r="M1688" s="9" t="s">
        <v>31</v>
      </c>
      <c r="N1688" s="9" t="s">
        <v>32</v>
      </c>
      <c r="O1688" s="12" t="s">
        <v>33</v>
      </c>
      <c r="P1688" s="12" t="s">
        <v>34</v>
      </c>
      <c r="Q1688" s="9"/>
      <c r="R1688" s="18"/>
      <c r="S1688" s="18"/>
      <c r="T1688" s="18"/>
      <c r="U1688" s="18"/>
      <c r="V1688" s="18"/>
      <c r="W1688" s="15"/>
      <c r="X1688" s="15"/>
    </row>
    <row r="1689">
      <c r="A1689" s="7">
        <v>1688.0</v>
      </c>
      <c r="B1689" s="8" t="s">
        <v>7272</v>
      </c>
      <c r="C1689" s="9" t="s">
        <v>7273</v>
      </c>
      <c r="D1689" s="10" t="str">
        <f>HYPERLINK("https://facebook.com/367089020688300_541763649887502", "367089020688300_541763649887502")</f>
        <v>367089020688300_541763649887502</v>
      </c>
      <c r="E1689" s="11">
        <v>20.0</v>
      </c>
      <c r="F1689" s="11">
        <v>0.0</v>
      </c>
      <c r="G1689" s="11">
        <v>10.0</v>
      </c>
      <c r="H1689" s="9" t="s">
        <v>26</v>
      </c>
      <c r="I1689" s="9" t="s">
        <v>7274</v>
      </c>
      <c r="J1689" s="16" t="s">
        <v>7275</v>
      </c>
      <c r="K1689" s="9"/>
      <c r="L1689" s="9" t="s">
        <v>30</v>
      </c>
      <c r="M1689" s="9" t="s">
        <v>31</v>
      </c>
      <c r="N1689" s="9" t="s">
        <v>32</v>
      </c>
      <c r="O1689" s="12" t="s">
        <v>33</v>
      </c>
      <c r="P1689" s="12" t="s">
        <v>34</v>
      </c>
      <c r="Q1689" s="9"/>
      <c r="R1689" s="18"/>
      <c r="S1689" s="18"/>
      <c r="T1689" s="18"/>
      <c r="U1689" s="18"/>
      <c r="V1689" s="18"/>
      <c r="W1689" s="15"/>
      <c r="X1689" s="15"/>
    </row>
    <row r="1690">
      <c r="A1690" s="7">
        <v>1689.0</v>
      </c>
      <c r="B1690" s="8" t="s">
        <v>7276</v>
      </c>
      <c r="C1690" s="9" t="s">
        <v>7277</v>
      </c>
      <c r="D1690" s="10" t="str">
        <f>HYPERLINK("https://facebook.com/367089020688300_530272597703274", "367089020688300_530272597703274")</f>
        <v>367089020688300_530272597703274</v>
      </c>
      <c r="E1690" s="11">
        <v>30.0</v>
      </c>
      <c r="F1690" s="11">
        <v>1.0</v>
      </c>
      <c r="G1690" s="11">
        <v>75.0</v>
      </c>
      <c r="H1690" s="9" t="s">
        <v>26</v>
      </c>
      <c r="I1690" s="9" t="s">
        <v>7278</v>
      </c>
      <c r="J1690" s="16" t="s">
        <v>7279</v>
      </c>
      <c r="K1690" s="9"/>
      <c r="L1690" s="9" t="s">
        <v>30</v>
      </c>
      <c r="M1690" s="9" t="s">
        <v>31</v>
      </c>
      <c r="N1690" s="9" t="s">
        <v>32</v>
      </c>
      <c r="O1690" s="12" t="s">
        <v>33</v>
      </c>
      <c r="P1690" s="12" t="s">
        <v>34</v>
      </c>
      <c r="Q1690" s="9"/>
      <c r="R1690" s="18"/>
      <c r="S1690" s="18"/>
      <c r="T1690" s="18"/>
      <c r="U1690" s="18"/>
      <c r="V1690" s="18"/>
      <c r="W1690" s="15"/>
      <c r="X1690" s="15"/>
    </row>
    <row r="1691">
      <c r="A1691" s="7">
        <v>1690.0</v>
      </c>
      <c r="B1691" s="8" t="s">
        <v>7280</v>
      </c>
      <c r="C1691" s="9" t="s">
        <v>7281</v>
      </c>
      <c r="D1691" s="10" t="str">
        <f>HYPERLINK("https://facebook.com/367089020688300_544505656279968", "367089020688300_544505656279968")</f>
        <v>367089020688300_544505656279968</v>
      </c>
      <c r="E1691" s="11">
        <v>409.0</v>
      </c>
      <c r="F1691" s="11">
        <v>11.0</v>
      </c>
      <c r="G1691" s="11">
        <v>215.0</v>
      </c>
      <c r="H1691" s="9" t="s">
        <v>26</v>
      </c>
      <c r="I1691" s="9" t="s">
        <v>7282</v>
      </c>
      <c r="J1691" s="16" t="s">
        <v>7283</v>
      </c>
      <c r="K1691" s="9"/>
      <c r="L1691" s="9" t="s">
        <v>30</v>
      </c>
      <c r="M1691" s="9" t="s">
        <v>31</v>
      </c>
      <c r="N1691" s="9" t="s">
        <v>32</v>
      </c>
      <c r="O1691" s="12" t="s">
        <v>33</v>
      </c>
      <c r="P1691" s="12" t="s">
        <v>34</v>
      </c>
      <c r="Q1691" s="9"/>
      <c r="R1691" s="18"/>
      <c r="S1691" s="18"/>
      <c r="T1691" s="18"/>
      <c r="U1691" s="18"/>
      <c r="V1691" s="18"/>
      <c r="W1691" s="15"/>
      <c r="X1691" s="15"/>
    </row>
    <row r="1692">
      <c r="A1692" s="7">
        <v>1691.0</v>
      </c>
      <c r="B1692" s="8" t="s">
        <v>7284</v>
      </c>
      <c r="C1692" s="9" t="s">
        <v>7285</v>
      </c>
      <c r="D1692" s="10" t="str">
        <f>HYPERLINK("https://facebook.com/367089020688300_557121965018337", "367089020688300_557121965018337")</f>
        <v>367089020688300_557121965018337</v>
      </c>
      <c r="E1692" s="11">
        <v>340.0</v>
      </c>
      <c r="F1692" s="11">
        <v>4.0</v>
      </c>
      <c r="G1692" s="11">
        <v>531.0</v>
      </c>
      <c r="H1692" s="9" t="s">
        <v>26</v>
      </c>
      <c r="I1692" s="9" t="s">
        <v>7286</v>
      </c>
      <c r="J1692" s="9" t="s">
        <v>7287</v>
      </c>
      <c r="K1692" s="9" t="s">
        <v>476</v>
      </c>
      <c r="L1692" s="9" t="s">
        <v>30</v>
      </c>
      <c r="M1692" s="9" t="s">
        <v>31</v>
      </c>
      <c r="N1692" s="9" t="s">
        <v>32</v>
      </c>
      <c r="O1692" s="12" t="s">
        <v>33</v>
      </c>
      <c r="P1692" s="12" t="s">
        <v>34</v>
      </c>
      <c r="Q1692" s="9"/>
      <c r="R1692" s="18"/>
      <c r="S1692" s="18"/>
      <c r="T1692" s="18"/>
      <c r="U1692" s="18"/>
      <c r="V1692" s="18"/>
      <c r="W1692" s="15"/>
      <c r="X1692" s="15"/>
    </row>
    <row r="1693">
      <c r="A1693" s="7">
        <v>1692.0</v>
      </c>
      <c r="B1693" s="8" t="s">
        <v>7288</v>
      </c>
      <c r="C1693" s="9" t="s">
        <v>7289</v>
      </c>
      <c r="D1693" s="10" t="str">
        <f>HYPERLINK("https://facebook.com/367089020688300_553121812085019", "367089020688300_553121812085019")</f>
        <v>367089020688300_553121812085019</v>
      </c>
      <c r="E1693" s="11">
        <v>97.0</v>
      </c>
      <c r="F1693" s="11">
        <v>0.0</v>
      </c>
      <c r="G1693" s="11">
        <v>64.0</v>
      </c>
      <c r="H1693" s="9" t="s">
        <v>26</v>
      </c>
      <c r="I1693" s="9" t="s">
        <v>2883</v>
      </c>
      <c r="J1693" s="9" t="s">
        <v>4371</v>
      </c>
      <c r="K1693" s="9" t="s">
        <v>7290</v>
      </c>
      <c r="L1693" s="9" t="s">
        <v>30</v>
      </c>
      <c r="M1693" s="9" t="s">
        <v>31</v>
      </c>
      <c r="N1693" s="9" t="s">
        <v>32</v>
      </c>
      <c r="O1693" s="12" t="s">
        <v>33</v>
      </c>
      <c r="P1693" s="12" t="s">
        <v>34</v>
      </c>
      <c r="Q1693" s="9"/>
      <c r="R1693" s="18"/>
      <c r="S1693" s="18"/>
      <c r="T1693" s="18"/>
      <c r="U1693" s="18"/>
      <c r="V1693" s="18"/>
      <c r="W1693" s="15"/>
      <c r="X1693" s="15"/>
    </row>
    <row r="1694">
      <c r="A1694" s="7">
        <v>1693.0</v>
      </c>
      <c r="B1694" s="8" t="s">
        <v>7291</v>
      </c>
      <c r="C1694" s="9" t="s">
        <v>7292</v>
      </c>
      <c r="D1694" s="10" t="str">
        <f>HYPERLINK("https://facebook.com/367089020688300_555229288540938", "367089020688300_555229288540938")</f>
        <v>367089020688300_555229288540938</v>
      </c>
      <c r="E1694" s="11">
        <v>10.0</v>
      </c>
      <c r="F1694" s="11">
        <v>0.0</v>
      </c>
      <c r="G1694" s="11">
        <v>8.0</v>
      </c>
      <c r="H1694" s="9" t="s">
        <v>26</v>
      </c>
      <c r="I1694" s="9" t="s">
        <v>7293</v>
      </c>
      <c r="J1694" s="16" t="s">
        <v>7294</v>
      </c>
      <c r="K1694" s="9"/>
      <c r="L1694" s="9" t="s">
        <v>30</v>
      </c>
      <c r="M1694" s="9" t="s">
        <v>31</v>
      </c>
      <c r="N1694" s="9" t="s">
        <v>32</v>
      </c>
      <c r="O1694" s="12" t="s">
        <v>33</v>
      </c>
      <c r="P1694" s="12" t="s">
        <v>34</v>
      </c>
      <c r="Q1694" s="9"/>
      <c r="R1694" s="18"/>
      <c r="S1694" s="18"/>
      <c r="T1694" s="18"/>
      <c r="U1694" s="18"/>
      <c r="V1694" s="18"/>
      <c r="W1694" s="15"/>
      <c r="X1694" s="15"/>
    </row>
    <row r="1695">
      <c r="A1695" s="7">
        <v>1694.0</v>
      </c>
      <c r="B1695" s="8" t="s">
        <v>7295</v>
      </c>
      <c r="C1695" s="9" t="s">
        <v>7296</v>
      </c>
      <c r="D1695" s="10" t="str">
        <f>HYPERLINK("https://facebook.com/367089020688300_527492131314654", "367089020688300_527492131314654")</f>
        <v>367089020688300_527492131314654</v>
      </c>
      <c r="E1695" s="11">
        <v>692.0</v>
      </c>
      <c r="F1695" s="11">
        <v>52.0</v>
      </c>
      <c r="G1695" s="11">
        <v>299.0</v>
      </c>
      <c r="H1695" s="9" t="s">
        <v>26</v>
      </c>
      <c r="I1695" s="9" t="s">
        <v>7297</v>
      </c>
      <c r="J1695" s="9" t="s">
        <v>7298</v>
      </c>
      <c r="K1695" s="9" t="s">
        <v>476</v>
      </c>
      <c r="L1695" s="9" t="s">
        <v>30</v>
      </c>
      <c r="M1695" s="9" t="s">
        <v>31</v>
      </c>
      <c r="N1695" s="9" t="s">
        <v>32</v>
      </c>
      <c r="O1695" s="12" t="s">
        <v>33</v>
      </c>
      <c r="P1695" s="12" t="s">
        <v>34</v>
      </c>
      <c r="Q1695" s="9"/>
      <c r="R1695" s="18"/>
      <c r="S1695" s="18"/>
      <c r="T1695" s="18"/>
      <c r="U1695" s="18"/>
      <c r="V1695" s="18"/>
      <c r="W1695" s="15"/>
      <c r="X1695" s="15"/>
    </row>
    <row r="1696">
      <c r="A1696" s="7">
        <v>1695.0</v>
      </c>
      <c r="B1696" s="8" t="s">
        <v>7299</v>
      </c>
      <c r="C1696" s="9" t="s">
        <v>7300</v>
      </c>
      <c r="D1696" s="10" t="str">
        <f>HYPERLINK("https://facebook.com/367089020688300_458245101572691", "367089020688300_458245101572691")</f>
        <v>367089020688300_458245101572691</v>
      </c>
      <c r="E1696" s="11">
        <v>232.0</v>
      </c>
      <c r="F1696" s="11">
        <v>9.0</v>
      </c>
      <c r="G1696" s="11">
        <v>247.0</v>
      </c>
      <c r="H1696" s="9" t="s">
        <v>26</v>
      </c>
      <c r="I1696" s="9" t="s">
        <v>6377</v>
      </c>
      <c r="J1696" s="9" t="s">
        <v>7301</v>
      </c>
      <c r="K1696" s="9" t="s">
        <v>7302</v>
      </c>
      <c r="L1696" s="9" t="s">
        <v>30</v>
      </c>
      <c r="M1696" s="9" t="s">
        <v>31</v>
      </c>
      <c r="N1696" s="9" t="s">
        <v>32</v>
      </c>
      <c r="O1696" s="12" t="s">
        <v>33</v>
      </c>
      <c r="P1696" s="12" t="s">
        <v>34</v>
      </c>
      <c r="Q1696" s="9"/>
      <c r="R1696" s="18"/>
      <c r="S1696" s="18"/>
      <c r="T1696" s="18"/>
      <c r="U1696" s="18"/>
      <c r="V1696" s="18"/>
      <c r="W1696" s="15"/>
      <c r="X1696" s="15"/>
    </row>
    <row r="1697">
      <c r="A1697" s="7">
        <v>1696.0</v>
      </c>
      <c r="B1697" s="8" t="s">
        <v>7303</v>
      </c>
      <c r="C1697" s="9" t="s">
        <v>7304</v>
      </c>
      <c r="D1697" s="10" t="str">
        <f>HYPERLINK("https://facebook.com/367089020688300_539854513411749", "367089020688300_539854513411749")</f>
        <v>367089020688300_539854513411749</v>
      </c>
      <c r="E1697" s="11">
        <v>50.0</v>
      </c>
      <c r="F1697" s="11">
        <v>1.0</v>
      </c>
      <c r="G1697" s="11">
        <v>20.0</v>
      </c>
      <c r="H1697" s="9" t="s">
        <v>26</v>
      </c>
      <c r="I1697" s="9" t="s">
        <v>7305</v>
      </c>
      <c r="J1697" s="16" t="s">
        <v>7306</v>
      </c>
      <c r="K1697" s="9"/>
      <c r="L1697" s="9" t="s">
        <v>30</v>
      </c>
      <c r="M1697" s="9" t="s">
        <v>31</v>
      </c>
      <c r="N1697" s="9" t="s">
        <v>32</v>
      </c>
      <c r="O1697" s="12" t="s">
        <v>33</v>
      </c>
      <c r="P1697" s="12" t="s">
        <v>34</v>
      </c>
      <c r="Q1697" s="9"/>
      <c r="R1697" s="18"/>
      <c r="S1697" s="18"/>
      <c r="T1697" s="18"/>
      <c r="U1697" s="18"/>
      <c r="V1697" s="18"/>
      <c r="W1697" s="15"/>
      <c r="X1697" s="15"/>
    </row>
    <row r="1698">
      <c r="A1698" s="7">
        <v>1697.0</v>
      </c>
      <c r="B1698" s="8" t="s">
        <v>7307</v>
      </c>
      <c r="C1698" s="9" t="s">
        <v>7308</v>
      </c>
      <c r="D1698" s="10" t="str">
        <f>HYPERLINK("https://facebook.com/367089020688300_526471428083391", "367089020688300_526471428083391")</f>
        <v>367089020688300_526471428083391</v>
      </c>
      <c r="E1698" s="11">
        <v>572.0</v>
      </c>
      <c r="F1698" s="11">
        <v>38.0</v>
      </c>
      <c r="G1698" s="11">
        <v>998.0</v>
      </c>
      <c r="H1698" s="9" t="s">
        <v>26</v>
      </c>
      <c r="I1698" s="9" t="s">
        <v>1733</v>
      </c>
      <c r="J1698" s="9" t="s">
        <v>2879</v>
      </c>
      <c r="K1698" s="9" t="s">
        <v>7309</v>
      </c>
      <c r="L1698" s="9" t="s">
        <v>30</v>
      </c>
      <c r="M1698" s="9" t="s">
        <v>31</v>
      </c>
      <c r="N1698" s="9" t="s">
        <v>32</v>
      </c>
      <c r="O1698" s="12" t="s">
        <v>33</v>
      </c>
      <c r="P1698" s="12" t="s">
        <v>34</v>
      </c>
      <c r="Q1698" s="9"/>
      <c r="R1698" s="18"/>
      <c r="S1698" s="18"/>
      <c r="T1698" s="18"/>
      <c r="U1698" s="18"/>
      <c r="V1698" s="18"/>
      <c r="W1698" s="15"/>
      <c r="X1698" s="15"/>
    </row>
    <row r="1699">
      <c r="A1699" s="7">
        <v>1698.0</v>
      </c>
      <c r="B1699" s="8" t="s">
        <v>7310</v>
      </c>
      <c r="C1699" s="9" t="s">
        <v>7311</v>
      </c>
      <c r="D1699" s="10" t="str">
        <f>HYPERLINK("https://facebook.com/367089020688300_404486830281852", "367089020688300_404486830281852")</f>
        <v>367089020688300_404486830281852</v>
      </c>
      <c r="E1699" s="11">
        <v>119.0</v>
      </c>
      <c r="F1699" s="11">
        <v>3.0</v>
      </c>
      <c r="G1699" s="11">
        <v>143.0</v>
      </c>
      <c r="H1699" s="9" t="s">
        <v>26</v>
      </c>
      <c r="I1699" s="9" t="s">
        <v>7312</v>
      </c>
      <c r="J1699" s="9" t="s">
        <v>7313</v>
      </c>
      <c r="K1699" s="9" t="s">
        <v>7314</v>
      </c>
      <c r="L1699" s="9" t="s">
        <v>30</v>
      </c>
      <c r="M1699" s="9" t="s">
        <v>31</v>
      </c>
      <c r="N1699" s="9" t="s">
        <v>32</v>
      </c>
      <c r="O1699" s="12" t="s">
        <v>33</v>
      </c>
      <c r="P1699" s="12" t="s">
        <v>34</v>
      </c>
      <c r="Q1699" s="9"/>
      <c r="R1699" s="18"/>
      <c r="S1699" s="18"/>
      <c r="T1699" s="18"/>
      <c r="U1699" s="18"/>
      <c r="V1699" s="18"/>
      <c r="W1699" s="15"/>
      <c r="X1699" s="15"/>
    </row>
    <row r="1700">
      <c r="A1700" s="7">
        <v>1699.0</v>
      </c>
      <c r="B1700" s="8" t="s">
        <v>7315</v>
      </c>
      <c r="C1700" s="9" t="s">
        <v>7316</v>
      </c>
      <c r="D1700" s="10" t="str">
        <f>HYPERLINK("https://facebook.com/367089020688300_541661199897747", "367089020688300_541661199897747")</f>
        <v>367089020688300_541661199897747</v>
      </c>
      <c r="E1700" s="11">
        <v>51.0</v>
      </c>
      <c r="F1700" s="11">
        <v>2.0</v>
      </c>
      <c r="G1700" s="11">
        <v>87.0</v>
      </c>
      <c r="H1700" s="9" t="s">
        <v>26</v>
      </c>
      <c r="I1700" s="9" t="s">
        <v>7317</v>
      </c>
      <c r="J1700" s="16" t="s">
        <v>7318</v>
      </c>
      <c r="K1700" s="9"/>
      <c r="L1700" s="9" t="s">
        <v>30</v>
      </c>
      <c r="M1700" s="9" t="s">
        <v>31</v>
      </c>
      <c r="N1700" s="9" t="s">
        <v>32</v>
      </c>
      <c r="O1700" s="12" t="s">
        <v>33</v>
      </c>
      <c r="P1700" s="12" t="s">
        <v>34</v>
      </c>
      <c r="Q1700" s="9"/>
      <c r="R1700" s="18"/>
      <c r="S1700" s="18"/>
      <c r="T1700" s="18"/>
      <c r="U1700" s="18"/>
      <c r="V1700" s="18"/>
      <c r="W1700" s="15"/>
      <c r="X1700" s="15"/>
    </row>
    <row r="1701">
      <c r="A1701" s="7">
        <v>1700.0</v>
      </c>
      <c r="B1701" s="8" t="s">
        <v>7319</v>
      </c>
      <c r="C1701" s="9" t="s">
        <v>7320</v>
      </c>
      <c r="D1701" s="10" t="str">
        <f>HYPERLINK("https://facebook.com/367089020688300_559701151427085", "367089020688300_559701151427085")</f>
        <v>367089020688300_559701151427085</v>
      </c>
      <c r="E1701" s="11">
        <v>12.0</v>
      </c>
      <c r="F1701" s="11">
        <v>0.0</v>
      </c>
      <c r="G1701" s="11">
        <v>1.0</v>
      </c>
      <c r="H1701" s="9" t="s">
        <v>26</v>
      </c>
      <c r="I1701" s="9" t="s">
        <v>7321</v>
      </c>
      <c r="J1701" s="16" t="s">
        <v>7322</v>
      </c>
      <c r="K1701" s="9"/>
      <c r="L1701" s="9" t="s">
        <v>30</v>
      </c>
      <c r="M1701" s="9" t="s">
        <v>31</v>
      </c>
      <c r="N1701" s="9" t="s">
        <v>32</v>
      </c>
      <c r="O1701" s="12" t="s">
        <v>33</v>
      </c>
      <c r="P1701" s="12" t="s">
        <v>34</v>
      </c>
      <c r="Q1701" s="9"/>
      <c r="R1701" s="18"/>
      <c r="S1701" s="18"/>
      <c r="T1701" s="18"/>
      <c r="U1701" s="18"/>
      <c r="V1701" s="18"/>
      <c r="W1701" s="15"/>
      <c r="X1701" s="15"/>
    </row>
    <row r="1702">
      <c r="A1702" s="7">
        <v>1701.0</v>
      </c>
      <c r="B1702" s="8" t="s">
        <v>7323</v>
      </c>
      <c r="C1702" s="9" t="s">
        <v>7324</v>
      </c>
      <c r="D1702" s="10" t="str">
        <f>HYPERLINK("https://facebook.com/367089020688300_543711623026038", "367089020688300_543711623026038")</f>
        <v>367089020688300_543711623026038</v>
      </c>
      <c r="E1702" s="11">
        <v>1475.0</v>
      </c>
      <c r="F1702" s="11">
        <v>14.0</v>
      </c>
      <c r="G1702" s="11">
        <v>318.0</v>
      </c>
      <c r="H1702" s="9" t="s">
        <v>26</v>
      </c>
      <c r="I1702" s="9" t="s">
        <v>7325</v>
      </c>
      <c r="J1702" s="16" t="s">
        <v>7326</v>
      </c>
      <c r="K1702" s="9"/>
      <c r="L1702" s="9" t="s">
        <v>30</v>
      </c>
      <c r="M1702" s="9" t="s">
        <v>31</v>
      </c>
      <c r="N1702" s="9" t="s">
        <v>32</v>
      </c>
      <c r="O1702" s="12" t="s">
        <v>33</v>
      </c>
      <c r="P1702" s="12" t="s">
        <v>34</v>
      </c>
      <c r="Q1702" s="9"/>
      <c r="R1702" s="18"/>
      <c r="S1702" s="18"/>
      <c r="T1702" s="18"/>
      <c r="U1702" s="18"/>
      <c r="V1702" s="18"/>
      <c r="W1702" s="15"/>
      <c r="X1702" s="15"/>
    </row>
    <row r="1703">
      <c r="A1703" s="7">
        <v>1702.0</v>
      </c>
      <c r="B1703" s="8" t="s">
        <v>7327</v>
      </c>
      <c r="C1703" s="9" t="s">
        <v>7328</v>
      </c>
      <c r="D1703" s="10" t="str">
        <f>HYPERLINK("https://facebook.com/367089020688300_421977208532814", "367089020688300_421977208532814")</f>
        <v>367089020688300_421977208532814</v>
      </c>
      <c r="E1703" s="11">
        <v>257.0</v>
      </c>
      <c r="F1703" s="11">
        <v>5.0</v>
      </c>
      <c r="G1703" s="11">
        <v>224.0</v>
      </c>
      <c r="H1703" s="9" t="s">
        <v>26</v>
      </c>
      <c r="I1703" s="9" t="s">
        <v>7329</v>
      </c>
      <c r="J1703" s="9" t="s">
        <v>7330</v>
      </c>
      <c r="K1703" s="9" t="s">
        <v>7331</v>
      </c>
      <c r="L1703" s="9" t="s">
        <v>30</v>
      </c>
      <c r="M1703" s="9" t="s">
        <v>31</v>
      </c>
      <c r="N1703" s="9" t="s">
        <v>32</v>
      </c>
      <c r="O1703" s="12" t="s">
        <v>33</v>
      </c>
      <c r="P1703" s="12" t="s">
        <v>34</v>
      </c>
      <c r="Q1703" s="9"/>
      <c r="R1703" s="18"/>
      <c r="S1703" s="18"/>
      <c r="T1703" s="18"/>
      <c r="U1703" s="18"/>
      <c r="V1703" s="18"/>
      <c r="W1703" s="15"/>
      <c r="X1703" s="15"/>
    </row>
    <row r="1704">
      <c r="A1704" s="7">
        <v>1703.0</v>
      </c>
      <c r="B1704" s="8" t="s">
        <v>7332</v>
      </c>
      <c r="C1704" s="9" t="s">
        <v>7333</v>
      </c>
      <c r="D1704" s="10" t="str">
        <f>HYPERLINK("https://facebook.com/367089020688300_489640831766451", "367089020688300_489640831766451")</f>
        <v>367089020688300_489640831766451</v>
      </c>
      <c r="E1704" s="11">
        <v>147.0</v>
      </c>
      <c r="F1704" s="11">
        <v>5.0</v>
      </c>
      <c r="G1704" s="11">
        <v>209.0</v>
      </c>
      <c r="H1704" s="9" t="s">
        <v>26</v>
      </c>
      <c r="I1704" s="9" t="s">
        <v>7334</v>
      </c>
      <c r="J1704" s="9" t="s">
        <v>7335</v>
      </c>
      <c r="K1704" s="9" t="s">
        <v>7336</v>
      </c>
      <c r="L1704" s="9" t="s">
        <v>30</v>
      </c>
      <c r="M1704" s="9" t="s">
        <v>31</v>
      </c>
      <c r="N1704" s="9" t="s">
        <v>32</v>
      </c>
      <c r="O1704" s="12" t="s">
        <v>33</v>
      </c>
      <c r="P1704" s="12" t="s">
        <v>34</v>
      </c>
      <c r="Q1704" s="9"/>
      <c r="R1704" s="18"/>
      <c r="S1704" s="18"/>
      <c r="T1704" s="18"/>
      <c r="U1704" s="18"/>
      <c r="V1704" s="18"/>
      <c r="W1704" s="15"/>
      <c r="X1704" s="15"/>
    </row>
    <row r="1705">
      <c r="A1705" s="7">
        <v>1704.0</v>
      </c>
      <c r="B1705" s="8" t="s">
        <v>7337</v>
      </c>
      <c r="C1705" s="9" t="s">
        <v>7338</v>
      </c>
      <c r="D1705" s="10" t="str">
        <f>HYPERLINK("https://facebook.com/367089020688300_547616075968926", "367089020688300_547616075968926")</f>
        <v>367089020688300_547616075968926</v>
      </c>
      <c r="E1705" s="11">
        <v>163.0</v>
      </c>
      <c r="F1705" s="11">
        <v>2.0</v>
      </c>
      <c r="G1705" s="11">
        <v>189.0</v>
      </c>
      <c r="H1705" s="9" t="s">
        <v>26</v>
      </c>
      <c r="I1705" s="9" t="s">
        <v>731</v>
      </c>
      <c r="J1705" s="16" t="s">
        <v>7339</v>
      </c>
      <c r="K1705" s="9"/>
      <c r="L1705" s="9" t="s">
        <v>30</v>
      </c>
      <c r="M1705" s="9" t="s">
        <v>31</v>
      </c>
      <c r="N1705" s="9" t="s">
        <v>32</v>
      </c>
      <c r="O1705" s="12" t="s">
        <v>33</v>
      </c>
      <c r="P1705" s="12" t="s">
        <v>34</v>
      </c>
      <c r="Q1705" s="9"/>
      <c r="R1705" s="18"/>
      <c r="S1705" s="18"/>
      <c r="T1705" s="18"/>
      <c r="U1705" s="18"/>
      <c r="V1705" s="18"/>
      <c r="W1705" s="15"/>
      <c r="X1705" s="15"/>
    </row>
    <row r="1706">
      <c r="A1706" s="7">
        <v>1705.0</v>
      </c>
      <c r="B1706" s="8" t="s">
        <v>7340</v>
      </c>
      <c r="C1706" s="9" t="s">
        <v>7341</v>
      </c>
      <c r="D1706" s="10" t="str">
        <f>HYPERLINK("https://facebook.com/367089020688300_528989467831587", "367089020688300_528989467831587")</f>
        <v>367089020688300_528989467831587</v>
      </c>
      <c r="E1706" s="11">
        <v>150.0</v>
      </c>
      <c r="F1706" s="11">
        <v>1.0</v>
      </c>
      <c r="G1706" s="11">
        <v>170.0</v>
      </c>
      <c r="H1706" s="9" t="s">
        <v>26</v>
      </c>
      <c r="I1706" s="9" t="s">
        <v>7342</v>
      </c>
      <c r="J1706" s="9" t="s">
        <v>7343</v>
      </c>
      <c r="K1706" s="9" t="s">
        <v>7344</v>
      </c>
      <c r="L1706" s="9" t="s">
        <v>30</v>
      </c>
      <c r="M1706" s="9" t="s">
        <v>31</v>
      </c>
      <c r="N1706" s="9" t="s">
        <v>32</v>
      </c>
      <c r="O1706" s="12" t="s">
        <v>33</v>
      </c>
      <c r="P1706" s="12" t="s">
        <v>34</v>
      </c>
      <c r="Q1706" s="9"/>
      <c r="R1706" s="18"/>
      <c r="S1706" s="18"/>
      <c r="T1706" s="18"/>
      <c r="U1706" s="18"/>
      <c r="V1706" s="18"/>
      <c r="W1706" s="15"/>
      <c r="X1706" s="15"/>
    </row>
    <row r="1707">
      <c r="A1707" s="7">
        <v>1706.0</v>
      </c>
      <c r="B1707" s="8" t="s">
        <v>7345</v>
      </c>
      <c r="C1707" s="9" t="s">
        <v>7346</v>
      </c>
      <c r="D1707" s="10" t="str">
        <f>HYPERLINK("https://facebook.com/367089020688300_420841225313079", "367089020688300_420841225313079")</f>
        <v>367089020688300_420841225313079</v>
      </c>
      <c r="E1707" s="11">
        <v>637.0</v>
      </c>
      <c r="F1707" s="11">
        <v>4.0</v>
      </c>
      <c r="G1707" s="11">
        <v>313.0</v>
      </c>
      <c r="H1707" s="9" t="s">
        <v>26</v>
      </c>
      <c r="I1707" s="9" t="s">
        <v>7347</v>
      </c>
      <c r="J1707" s="9" t="s">
        <v>7348</v>
      </c>
      <c r="K1707" s="9" t="s">
        <v>7349</v>
      </c>
      <c r="L1707" s="9" t="s">
        <v>30</v>
      </c>
      <c r="M1707" s="9" t="s">
        <v>31</v>
      </c>
      <c r="N1707" s="9" t="s">
        <v>32</v>
      </c>
      <c r="O1707" s="12" t="s">
        <v>33</v>
      </c>
      <c r="P1707" s="12" t="s">
        <v>34</v>
      </c>
      <c r="Q1707" s="9"/>
      <c r="R1707" s="18"/>
      <c r="S1707" s="18"/>
      <c r="T1707" s="18"/>
      <c r="U1707" s="18"/>
      <c r="V1707" s="18"/>
      <c r="W1707" s="15"/>
      <c r="X1707" s="15"/>
    </row>
    <row r="1708">
      <c r="A1708" s="7">
        <v>1707.0</v>
      </c>
      <c r="B1708" s="8" t="s">
        <v>7350</v>
      </c>
      <c r="C1708" s="9" t="s">
        <v>7351</v>
      </c>
      <c r="D1708" s="10" t="str">
        <f>HYPERLINK("https://facebook.com/367089020688300_557525901644610", "367089020688300_557525901644610")</f>
        <v>367089020688300_557525901644610</v>
      </c>
      <c r="E1708" s="11">
        <v>633.0</v>
      </c>
      <c r="F1708" s="11">
        <v>37.0</v>
      </c>
      <c r="G1708" s="11">
        <v>543.0</v>
      </c>
      <c r="H1708" s="9" t="s">
        <v>26</v>
      </c>
      <c r="I1708" s="9" t="s">
        <v>666</v>
      </c>
      <c r="J1708" s="16" t="s">
        <v>667</v>
      </c>
      <c r="K1708" s="9"/>
      <c r="L1708" s="9" t="s">
        <v>30</v>
      </c>
      <c r="M1708" s="9" t="s">
        <v>31</v>
      </c>
      <c r="N1708" s="9" t="s">
        <v>32</v>
      </c>
      <c r="O1708" s="12" t="s">
        <v>33</v>
      </c>
      <c r="P1708" s="12" t="s">
        <v>34</v>
      </c>
      <c r="Q1708" s="9"/>
      <c r="R1708" s="18"/>
      <c r="S1708" s="18"/>
      <c r="T1708" s="18"/>
      <c r="U1708" s="18"/>
      <c r="V1708" s="18"/>
      <c r="W1708" s="15"/>
      <c r="X1708" s="15"/>
    </row>
    <row r="1709">
      <c r="A1709" s="7">
        <v>1708.0</v>
      </c>
      <c r="B1709" s="8" t="s">
        <v>7352</v>
      </c>
      <c r="C1709" s="9" t="s">
        <v>7353</v>
      </c>
      <c r="D1709" s="10" t="str">
        <f>HYPERLINK("https://facebook.com/367089020688300_479029289494272", "367089020688300_479029289494272")</f>
        <v>367089020688300_479029289494272</v>
      </c>
      <c r="E1709" s="11">
        <v>63.0</v>
      </c>
      <c r="F1709" s="11">
        <v>0.0</v>
      </c>
      <c r="G1709" s="11">
        <v>64.0</v>
      </c>
      <c r="H1709" s="9" t="s">
        <v>26</v>
      </c>
      <c r="I1709" s="9" t="s">
        <v>6355</v>
      </c>
      <c r="J1709" s="9" t="s">
        <v>7354</v>
      </c>
      <c r="K1709" s="9" t="s">
        <v>2415</v>
      </c>
      <c r="L1709" s="9" t="s">
        <v>30</v>
      </c>
      <c r="M1709" s="9" t="s">
        <v>31</v>
      </c>
      <c r="N1709" s="9" t="s">
        <v>32</v>
      </c>
      <c r="O1709" s="12" t="s">
        <v>33</v>
      </c>
      <c r="P1709" s="12" t="s">
        <v>34</v>
      </c>
      <c r="Q1709" s="9"/>
      <c r="R1709" s="18"/>
      <c r="S1709" s="18"/>
      <c r="T1709" s="18"/>
      <c r="U1709" s="18"/>
      <c r="V1709" s="18"/>
      <c r="W1709" s="15"/>
      <c r="X1709" s="15"/>
    </row>
    <row r="1710">
      <c r="A1710" s="7">
        <v>1709.0</v>
      </c>
      <c r="B1710" s="8" t="s">
        <v>7355</v>
      </c>
      <c r="C1710" s="9" t="s">
        <v>7356</v>
      </c>
      <c r="D1710" s="10" t="str">
        <f>HYPERLINK("https://facebook.com/367089020688300_558594158204451", "367089020688300_558594158204451")</f>
        <v>367089020688300_558594158204451</v>
      </c>
      <c r="E1710" s="11">
        <v>323.0</v>
      </c>
      <c r="F1710" s="11">
        <v>20.0</v>
      </c>
      <c r="G1710" s="11">
        <v>307.0</v>
      </c>
      <c r="H1710" s="9" t="s">
        <v>26</v>
      </c>
      <c r="I1710" s="9" t="s">
        <v>7357</v>
      </c>
      <c r="J1710" s="16" t="s">
        <v>7358</v>
      </c>
      <c r="K1710" s="9"/>
      <c r="L1710" s="9" t="s">
        <v>30</v>
      </c>
      <c r="M1710" s="9" t="s">
        <v>31</v>
      </c>
      <c r="N1710" s="9" t="s">
        <v>32</v>
      </c>
      <c r="O1710" s="12" t="s">
        <v>33</v>
      </c>
      <c r="P1710" s="12" t="s">
        <v>34</v>
      </c>
      <c r="Q1710" s="9"/>
      <c r="R1710" s="18"/>
      <c r="S1710" s="18"/>
      <c r="T1710" s="18"/>
      <c r="U1710" s="18"/>
      <c r="V1710" s="18"/>
      <c r="W1710" s="15"/>
      <c r="X1710" s="15"/>
    </row>
    <row r="1711">
      <c r="A1711" s="7">
        <v>1710.0</v>
      </c>
      <c r="B1711" s="8" t="s">
        <v>7359</v>
      </c>
      <c r="C1711" s="9" t="s">
        <v>7360</v>
      </c>
      <c r="D1711" s="10" t="str">
        <f>HYPERLINK("https://facebook.com/367089020688300_542363386494195", "367089020688300_542363386494195")</f>
        <v>367089020688300_542363386494195</v>
      </c>
      <c r="E1711" s="11">
        <v>51.0</v>
      </c>
      <c r="F1711" s="11">
        <v>0.0</v>
      </c>
      <c r="G1711" s="11">
        <v>41.0</v>
      </c>
      <c r="H1711" s="9" t="s">
        <v>26</v>
      </c>
      <c r="I1711" s="9" t="s">
        <v>7361</v>
      </c>
      <c r="J1711" s="16" t="s">
        <v>7362</v>
      </c>
      <c r="K1711" s="9"/>
      <c r="L1711" s="9" t="s">
        <v>30</v>
      </c>
      <c r="M1711" s="9" t="s">
        <v>31</v>
      </c>
      <c r="N1711" s="9" t="s">
        <v>32</v>
      </c>
      <c r="O1711" s="12" t="s">
        <v>33</v>
      </c>
      <c r="P1711" s="12" t="s">
        <v>34</v>
      </c>
      <c r="Q1711" s="9"/>
      <c r="R1711" s="18"/>
      <c r="S1711" s="18"/>
      <c r="T1711" s="18"/>
      <c r="U1711" s="18"/>
      <c r="V1711" s="18"/>
      <c r="W1711" s="15"/>
      <c r="X1711" s="15"/>
    </row>
    <row r="1712">
      <c r="A1712" s="7">
        <v>1711.0</v>
      </c>
      <c r="B1712" s="8" t="s">
        <v>7363</v>
      </c>
      <c r="C1712" s="9" t="s">
        <v>7364</v>
      </c>
      <c r="D1712" s="10" t="str">
        <f>HYPERLINK("https://facebook.com/367089020688300_555965278467339", "367089020688300_555965278467339")</f>
        <v>367089020688300_555965278467339</v>
      </c>
      <c r="E1712" s="11">
        <v>3157.0</v>
      </c>
      <c r="F1712" s="11">
        <v>39.0</v>
      </c>
      <c r="G1712" s="11">
        <v>1531.0</v>
      </c>
      <c r="H1712" s="9" t="s">
        <v>26</v>
      </c>
      <c r="I1712" s="9" t="s">
        <v>7365</v>
      </c>
      <c r="J1712" s="9" t="s">
        <v>7366</v>
      </c>
      <c r="K1712" s="9" t="s">
        <v>219</v>
      </c>
      <c r="L1712" s="9" t="s">
        <v>30</v>
      </c>
      <c r="M1712" s="9" t="s">
        <v>31</v>
      </c>
      <c r="N1712" s="9" t="s">
        <v>32</v>
      </c>
      <c r="O1712" s="12" t="s">
        <v>33</v>
      </c>
      <c r="P1712" s="12" t="s">
        <v>34</v>
      </c>
      <c r="Q1712" s="9"/>
      <c r="R1712" s="18"/>
      <c r="S1712" s="18"/>
      <c r="T1712" s="18"/>
      <c r="U1712" s="18"/>
      <c r="V1712" s="18"/>
      <c r="W1712" s="15"/>
      <c r="X1712" s="15"/>
    </row>
    <row r="1713">
      <c r="A1713" s="7">
        <v>1712.0</v>
      </c>
      <c r="B1713" s="8" t="s">
        <v>7367</v>
      </c>
      <c r="C1713" s="9" t="s">
        <v>7368</v>
      </c>
      <c r="D1713" s="10" t="str">
        <f>HYPERLINK("https://facebook.com/367089020688300_556521088411758", "367089020688300_556521088411758")</f>
        <v>367089020688300_556521088411758</v>
      </c>
      <c r="E1713" s="11">
        <v>4.0</v>
      </c>
      <c r="F1713" s="11">
        <v>0.0</v>
      </c>
      <c r="G1713" s="11">
        <v>9.0</v>
      </c>
      <c r="H1713" s="9" t="s">
        <v>26</v>
      </c>
      <c r="I1713" s="9" t="s">
        <v>7369</v>
      </c>
      <c r="J1713" s="16" t="s">
        <v>7370</v>
      </c>
      <c r="K1713" s="9"/>
      <c r="L1713" s="9" t="s">
        <v>30</v>
      </c>
      <c r="M1713" s="9" t="s">
        <v>31</v>
      </c>
      <c r="N1713" s="9" t="s">
        <v>32</v>
      </c>
      <c r="O1713" s="12" t="s">
        <v>33</v>
      </c>
      <c r="P1713" s="12" t="s">
        <v>34</v>
      </c>
      <c r="Q1713" s="9"/>
      <c r="R1713" s="18"/>
      <c r="S1713" s="18"/>
      <c r="T1713" s="18"/>
      <c r="U1713" s="18"/>
      <c r="V1713" s="18"/>
      <c r="W1713" s="15"/>
      <c r="X1713" s="15"/>
    </row>
    <row r="1714">
      <c r="A1714" s="7">
        <v>1713.0</v>
      </c>
      <c r="B1714" s="8" t="s">
        <v>7371</v>
      </c>
      <c r="C1714" s="9" t="s">
        <v>7372</v>
      </c>
      <c r="D1714" s="10" t="str">
        <f>HYPERLINK("https://facebook.com/367089020688300_486386845425183", "367089020688300_486386845425183")</f>
        <v>367089020688300_486386845425183</v>
      </c>
      <c r="E1714" s="11">
        <v>1492.0</v>
      </c>
      <c r="F1714" s="11">
        <v>31.0</v>
      </c>
      <c r="G1714" s="11">
        <v>1370.0</v>
      </c>
      <c r="H1714" s="9" t="s">
        <v>26</v>
      </c>
      <c r="I1714" s="9" t="s">
        <v>7373</v>
      </c>
      <c r="J1714" s="16" t="s">
        <v>7374</v>
      </c>
      <c r="K1714" s="9"/>
      <c r="L1714" s="9" t="s">
        <v>30</v>
      </c>
      <c r="M1714" s="9" t="s">
        <v>31</v>
      </c>
      <c r="N1714" s="9" t="s">
        <v>32</v>
      </c>
      <c r="O1714" s="12" t="s">
        <v>33</v>
      </c>
      <c r="P1714" s="12" t="s">
        <v>34</v>
      </c>
      <c r="Q1714" s="9"/>
      <c r="R1714" s="18"/>
      <c r="S1714" s="18"/>
      <c r="T1714" s="18"/>
      <c r="U1714" s="18"/>
      <c r="V1714" s="18"/>
      <c r="W1714" s="15"/>
      <c r="X1714" s="15"/>
    </row>
    <row r="1715">
      <c r="A1715" s="7">
        <v>1714.0</v>
      </c>
      <c r="B1715" s="8" t="s">
        <v>7375</v>
      </c>
      <c r="C1715" s="9" t="s">
        <v>7376</v>
      </c>
      <c r="D1715" s="10" t="str">
        <f>HYPERLINK("https://facebook.com/367089020688300_535472487183285", "367089020688300_535472487183285")</f>
        <v>367089020688300_535472487183285</v>
      </c>
      <c r="E1715" s="11">
        <v>311.0</v>
      </c>
      <c r="F1715" s="11">
        <v>6.0</v>
      </c>
      <c r="G1715" s="11">
        <v>433.0</v>
      </c>
      <c r="H1715" s="9" t="s">
        <v>26</v>
      </c>
      <c r="I1715" s="9" t="s">
        <v>6297</v>
      </c>
      <c r="J1715" s="9" t="s">
        <v>6298</v>
      </c>
      <c r="K1715" s="9" t="s">
        <v>7377</v>
      </c>
      <c r="L1715" s="9" t="s">
        <v>30</v>
      </c>
      <c r="M1715" s="9" t="s">
        <v>31</v>
      </c>
      <c r="N1715" s="9" t="s">
        <v>32</v>
      </c>
      <c r="O1715" s="12" t="s">
        <v>33</v>
      </c>
      <c r="P1715" s="12" t="s">
        <v>34</v>
      </c>
      <c r="Q1715" s="9"/>
      <c r="R1715" s="18"/>
      <c r="S1715" s="18"/>
      <c r="T1715" s="18"/>
      <c r="U1715" s="18"/>
      <c r="V1715" s="18"/>
      <c r="W1715" s="15"/>
      <c r="X1715" s="15"/>
    </row>
    <row r="1716">
      <c r="A1716" s="7">
        <v>1715.0</v>
      </c>
      <c r="B1716" s="8" t="s">
        <v>7378</v>
      </c>
      <c r="C1716" s="9" t="s">
        <v>7379</v>
      </c>
      <c r="D1716" s="10" t="str">
        <f>HYPERLINK("https://facebook.com/367089020688300_526038978126636", "367089020688300_526038978126636")</f>
        <v>367089020688300_526038978126636</v>
      </c>
      <c r="E1716" s="11">
        <v>396.0</v>
      </c>
      <c r="F1716" s="11">
        <v>12.0</v>
      </c>
      <c r="G1716" s="11">
        <v>240.0</v>
      </c>
      <c r="H1716" s="9" t="s">
        <v>26</v>
      </c>
      <c r="I1716" s="9" t="s">
        <v>460</v>
      </c>
      <c r="J1716" s="16" t="s">
        <v>7380</v>
      </c>
      <c r="K1716" s="9"/>
      <c r="L1716" s="9" t="s">
        <v>30</v>
      </c>
      <c r="M1716" s="9" t="s">
        <v>31</v>
      </c>
      <c r="N1716" s="9" t="s">
        <v>32</v>
      </c>
      <c r="O1716" s="12" t="s">
        <v>33</v>
      </c>
      <c r="P1716" s="12" t="s">
        <v>34</v>
      </c>
      <c r="Q1716" s="9"/>
      <c r="R1716" s="18"/>
      <c r="S1716" s="18"/>
      <c r="T1716" s="18"/>
      <c r="U1716" s="18"/>
      <c r="V1716" s="18"/>
      <c r="W1716" s="15"/>
      <c r="X1716" s="15"/>
    </row>
    <row r="1717">
      <c r="A1717" s="7">
        <v>1716.0</v>
      </c>
      <c r="B1717" s="8" t="s">
        <v>7381</v>
      </c>
      <c r="C1717" s="9" t="s">
        <v>7382</v>
      </c>
      <c r="D1717" s="10" t="str">
        <f>HYPERLINK("https://facebook.com/367089020688300_457166055013929", "367089020688300_457166055013929")</f>
        <v>367089020688300_457166055013929</v>
      </c>
      <c r="E1717" s="11">
        <v>528.0</v>
      </c>
      <c r="F1717" s="11">
        <v>3.0</v>
      </c>
      <c r="G1717" s="11">
        <v>616.0</v>
      </c>
      <c r="H1717" s="9" t="s">
        <v>26</v>
      </c>
      <c r="I1717" s="9" t="s">
        <v>7383</v>
      </c>
      <c r="J1717" s="9" t="s">
        <v>7384</v>
      </c>
      <c r="K1717" s="9" t="s">
        <v>7385</v>
      </c>
      <c r="L1717" s="9" t="s">
        <v>30</v>
      </c>
      <c r="M1717" s="9" t="s">
        <v>31</v>
      </c>
      <c r="N1717" s="9" t="s">
        <v>32</v>
      </c>
      <c r="O1717" s="12" t="s">
        <v>33</v>
      </c>
      <c r="P1717" s="12" t="s">
        <v>34</v>
      </c>
      <c r="Q1717" s="9"/>
      <c r="R1717" s="18"/>
      <c r="S1717" s="18"/>
      <c r="T1717" s="18"/>
      <c r="U1717" s="18"/>
      <c r="V1717" s="18"/>
      <c r="W1717" s="15"/>
      <c r="X1717" s="15"/>
    </row>
    <row r="1718">
      <c r="A1718" s="7">
        <v>1717.0</v>
      </c>
      <c r="B1718" s="8" t="s">
        <v>7386</v>
      </c>
      <c r="C1718" s="9" t="s">
        <v>7387</v>
      </c>
      <c r="D1718" s="10" t="str">
        <f>HYPERLINK("https://facebook.com/367089020688300_511681299562404", "367089020688300_511681299562404")</f>
        <v>367089020688300_511681299562404</v>
      </c>
      <c r="E1718" s="11">
        <v>497.0</v>
      </c>
      <c r="F1718" s="11">
        <v>19.0</v>
      </c>
      <c r="G1718" s="11">
        <v>901.0</v>
      </c>
      <c r="H1718" s="9" t="s">
        <v>26</v>
      </c>
      <c r="I1718" s="9" t="s">
        <v>7388</v>
      </c>
      <c r="J1718" s="16" t="s">
        <v>7389</v>
      </c>
      <c r="K1718" s="9"/>
      <c r="L1718" s="9" t="s">
        <v>30</v>
      </c>
      <c r="M1718" s="9" t="s">
        <v>31</v>
      </c>
      <c r="N1718" s="9" t="s">
        <v>32</v>
      </c>
      <c r="O1718" s="12" t="s">
        <v>33</v>
      </c>
      <c r="P1718" s="12" t="s">
        <v>34</v>
      </c>
      <c r="Q1718" s="9"/>
      <c r="R1718" s="18"/>
      <c r="S1718" s="18"/>
      <c r="T1718" s="18"/>
      <c r="U1718" s="18"/>
      <c r="V1718" s="18"/>
      <c r="W1718" s="15"/>
      <c r="X1718" s="15"/>
    </row>
    <row r="1719">
      <c r="A1719" s="7">
        <v>1718.0</v>
      </c>
      <c r="B1719" s="8" t="s">
        <v>7390</v>
      </c>
      <c r="C1719" s="9" t="s">
        <v>7391</v>
      </c>
      <c r="D1719" s="10" t="str">
        <f>HYPERLINK("https://facebook.com/367089020688300_555304435200090", "367089020688300_555304435200090")</f>
        <v>367089020688300_555304435200090</v>
      </c>
      <c r="E1719" s="11">
        <v>33.0</v>
      </c>
      <c r="F1719" s="11">
        <v>1.0</v>
      </c>
      <c r="G1719" s="11">
        <v>35.0</v>
      </c>
      <c r="H1719" s="9" t="s">
        <v>26</v>
      </c>
      <c r="I1719" s="9" t="s">
        <v>7392</v>
      </c>
      <c r="J1719" s="9" t="s">
        <v>7393</v>
      </c>
      <c r="K1719" s="9" t="s">
        <v>1584</v>
      </c>
      <c r="L1719" s="9" t="s">
        <v>30</v>
      </c>
      <c r="M1719" s="9" t="s">
        <v>31</v>
      </c>
      <c r="N1719" s="9" t="s">
        <v>32</v>
      </c>
      <c r="O1719" s="12" t="s">
        <v>33</v>
      </c>
      <c r="P1719" s="12" t="s">
        <v>34</v>
      </c>
      <c r="Q1719" s="9"/>
      <c r="R1719" s="18"/>
      <c r="S1719" s="18"/>
      <c r="T1719" s="18"/>
      <c r="U1719" s="18"/>
      <c r="V1719" s="18"/>
      <c r="W1719" s="15"/>
      <c r="X1719" s="15"/>
    </row>
    <row r="1720">
      <c r="A1720" s="7">
        <v>1719.0</v>
      </c>
      <c r="B1720" s="8" t="s">
        <v>7394</v>
      </c>
      <c r="C1720" s="9" t="s">
        <v>7395</v>
      </c>
      <c r="D1720" s="10" t="str">
        <f>HYPERLINK("https://facebook.com/367089020688300_505425020188032", "367089020688300_505425020188032")</f>
        <v>367089020688300_505425020188032</v>
      </c>
      <c r="E1720" s="11">
        <v>612.0</v>
      </c>
      <c r="F1720" s="11">
        <v>20.0</v>
      </c>
      <c r="G1720" s="11">
        <v>298.0</v>
      </c>
      <c r="H1720" s="9" t="s">
        <v>26</v>
      </c>
      <c r="I1720" s="9" t="s">
        <v>7396</v>
      </c>
      <c r="J1720" s="16" t="s">
        <v>7397</v>
      </c>
      <c r="K1720" s="9"/>
      <c r="L1720" s="9" t="s">
        <v>30</v>
      </c>
      <c r="M1720" s="9" t="s">
        <v>31</v>
      </c>
      <c r="N1720" s="9" t="s">
        <v>32</v>
      </c>
      <c r="O1720" s="12" t="s">
        <v>33</v>
      </c>
      <c r="P1720" s="12" t="s">
        <v>34</v>
      </c>
      <c r="Q1720" s="9"/>
      <c r="R1720" s="18"/>
      <c r="S1720" s="18"/>
      <c r="T1720" s="18"/>
      <c r="U1720" s="18"/>
      <c r="V1720" s="18"/>
      <c r="W1720" s="15"/>
      <c r="X1720" s="15"/>
    </row>
    <row r="1721">
      <c r="A1721" s="7">
        <v>1720.0</v>
      </c>
      <c r="B1721" s="8" t="s">
        <v>7398</v>
      </c>
      <c r="C1721" s="9" t="s">
        <v>7399</v>
      </c>
      <c r="D1721" s="10" t="str">
        <f>HYPERLINK("https://facebook.com/367089020688300_558574964873037", "367089020688300_558574964873037")</f>
        <v>367089020688300_558574964873037</v>
      </c>
      <c r="E1721" s="11">
        <v>194.0</v>
      </c>
      <c r="F1721" s="11">
        <v>0.0</v>
      </c>
      <c r="G1721" s="11">
        <v>123.0</v>
      </c>
      <c r="H1721" s="9" t="s">
        <v>26</v>
      </c>
      <c r="I1721" s="9" t="s">
        <v>7400</v>
      </c>
      <c r="J1721" s="9" t="s">
        <v>7401</v>
      </c>
      <c r="K1721" s="9" t="s">
        <v>7402</v>
      </c>
      <c r="L1721" s="9" t="s">
        <v>30</v>
      </c>
      <c r="M1721" s="9" t="s">
        <v>31</v>
      </c>
      <c r="N1721" s="9" t="s">
        <v>32</v>
      </c>
      <c r="O1721" s="12" t="s">
        <v>33</v>
      </c>
      <c r="P1721" s="12" t="s">
        <v>34</v>
      </c>
      <c r="Q1721" s="9"/>
      <c r="R1721" s="18"/>
      <c r="S1721" s="18"/>
      <c r="T1721" s="18"/>
      <c r="U1721" s="18"/>
      <c r="V1721" s="18"/>
      <c r="W1721" s="15"/>
      <c r="X1721" s="15"/>
    </row>
    <row r="1722">
      <c r="A1722" s="7">
        <v>1721.0</v>
      </c>
      <c r="B1722" s="8" t="s">
        <v>7403</v>
      </c>
      <c r="C1722" s="9" t="s">
        <v>7404</v>
      </c>
      <c r="D1722" s="10" t="str">
        <f>HYPERLINK("https://facebook.com/367089020688300_542629969800870", "367089020688300_542629969800870")</f>
        <v>367089020688300_542629969800870</v>
      </c>
      <c r="E1722" s="11">
        <v>32.0</v>
      </c>
      <c r="F1722" s="11">
        <v>0.0</v>
      </c>
      <c r="G1722" s="11">
        <v>17.0</v>
      </c>
      <c r="H1722" s="9" t="s">
        <v>26</v>
      </c>
      <c r="I1722" s="9" t="s">
        <v>7405</v>
      </c>
      <c r="J1722" s="9" t="s">
        <v>7406</v>
      </c>
      <c r="K1722" s="9" t="s">
        <v>249</v>
      </c>
      <c r="L1722" s="9" t="s">
        <v>30</v>
      </c>
      <c r="M1722" s="9" t="s">
        <v>31</v>
      </c>
      <c r="N1722" s="9" t="s">
        <v>32</v>
      </c>
      <c r="O1722" s="12" t="s">
        <v>33</v>
      </c>
      <c r="P1722" s="12" t="s">
        <v>34</v>
      </c>
      <c r="Q1722" s="9"/>
      <c r="R1722" s="18"/>
      <c r="S1722" s="18"/>
      <c r="T1722" s="18"/>
      <c r="U1722" s="18"/>
      <c r="V1722" s="18"/>
      <c r="W1722" s="15"/>
      <c r="X1722" s="15"/>
    </row>
    <row r="1723">
      <c r="A1723" s="7">
        <v>1722.0</v>
      </c>
      <c r="B1723" s="8" t="s">
        <v>7407</v>
      </c>
      <c r="C1723" s="9" t="s">
        <v>7408</v>
      </c>
      <c r="D1723" s="10" t="str">
        <f>HYPERLINK("https://facebook.com/367089020688300_423242281739640", "367089020688300_423242281739640")</f>
        <v>367089020688300_423242281739640</v>
      </c>
      <c r="E1723" s="11">
        <v>304.0</v>
      </c>
      <c r="F1723" s="11">
        <v>1.0</v>
      </c>
      <c r="G1723" s="11">
        <v>139.0</v>
      </c>
      <c r="H1723" s="9" t="s">
        <v>26</v>
      </c>
      <c r="I1723" s="9" t="s">
        <v>7409</v>
      </c>
      <c r="J1723" s="9" t="s">
        <v>7410</v>
      </c>
      <c r="K1723" s="9" t="s">
        <v>7411</v>
      </c>
      <c r="L1723" s="9" t="s">
        <v>30</v>
      </c>
      <c r="M1723" s="9" t="s">
        <v>31</v>
      </c>
      <c r="N1723" s="9" t="s">
        <v>32</v>
      </c>
      <c r="O1723" s="12" t="s">
        <v>33</v>
      </c>
      <c r="P1723" s="12" t="s">
        <v>34</v>
      </c>
      <c r="Q1723" s="9"/>
      <c r="R1723" s="18"/>
      <c r="S1723" s="18"/>
      <c r="T1723" s="18"/>
      <c r="U1723" s="18"/>
      <c r="V1723" s="18"/>
      <c r="W1723" s="15"/>
      <c r="X1723" s="15"/>
    </row>
    <row r="1724">
      <c r="A1724" s="7">
        <v>1723.0</v>
      </c>
      <c r="B1724" s="8" t="s">
        <v>7412</v>
      </c>
      <c r="C1724" s="9" t="s">
        <v>7413</v>
      </c>
      <c r="D1724" s="10" t="str">
        <f>HYPERLINK("https://facebook.com/367089020688300_367764413954094", "367089020688300_367764413954094")</f>
        <v>367089020688300_367764413954094</v>
      </c>
      <c r="E1724" s="11">
        <v>219.0</v>
      </c>
      <c r="F1724" s="11">
        <v>8.0</v>
      </c>
      <c r="G1724" s="11">
        <v>196.0</v>
      </c>
      <c r="H1724" s="9" t="s">
        <v>26</v>
      </c>
      <c r="I1724" s="9" t="s">
        <v>7414</v>
      </c>
      <c r="J1724" s="9" t="s">
        <v>7415</v>
      </c>
      <c r="K1724" s="9" t="s">
        <v>493</v>
      </c>
      <c r="L1724" s="9" t="s">
        <v>30</v>
      </c>
      <c r="M1724" s="9" t="s">
        <v>31</v>
      </c>
      <c r="N1724" s="9" t="s">
        <v>32</v>
      </c>
      <c r="O1724" s="12" t="s">
        <v>33</v>
      </c>
      <c r="P1724" s="12" t="s">
        <v>34</v>
      </c>
      <c r="Q1724" s="9"/>
      <c r="R1724" s="18"/>
      <c r="S1724" s="18"/>
      <c r="T1724" s="18"/>
      <c r="U1724" s="18"/>
      <c r="V1724" s="18"/>
      <c r="W1724" s="15"/>
      <c r="X1724" s="15"/>
    </row>
    <row r="1725">
      <c r="A1725" s="7">
        <v>1724.0</v>
      </c>
      <c r="B1725" s="8" t="s">
        <v>7416</v>
      </c>
      <c r="C1725" s="9" t="s">
        <v>7417</v>
      </c>
      <c r="D1725" s="10" t="str">
        <f>HYPERLINK("https://facebook.com/367089020688300_547985599265307", "367089020688300_547985599265307")</f>
        <v>367089020688300_547985599265307</v>
      </c>
      <c r="E1725" s="11">
        <v>25.0</v>
      </c>
      <c r="F1725" s="11">
        <v>0.0</v>
      </c>
      <c r="G1725" s="11">
        <v>3.0</v>
      </c>
      <c r="H1725" s="9" t="s">
        <v>26</v>
      </c>
      <c r="I1725" s="9" t="s">
        <v>7418</v>
      </c>
      <c r="J1725" s="16" t="s">
        <v>7419</v>
      </c>
      <c r="K1725" s="9"/>
      <c r="L1725" s="9" t="s">
        <v>30</v>
      </c>
      <c r="M1725" s="9" t="s">
        <v>31</v>
      </c>
      <c r="N1725" s="9" t="s">
        <v>32</v>
      </c>
      <c r="O1725" s="12" t="s">
        <v>33</v>
      </c>
      <c r="P1725" s="12" t="s">
        <v>34</v>
      </c>
      <c r="Q1725" s="9"/>
      <c r="R1725" s="18"/>
      <c r="S1725" s="18"/>
      <c r="T1725" s="18"/>
      <c r="U1725" s="18"/>
      <c r="V1725" s="18"/>
      <c r="W1725" s="15"/>
      <c r="X1725" s="15"/>
    </row>
    <row r="1726">
      <c r="A1726" s="7">
        <v>1725.0</v>
      </c>
      <c r="B1726" s="8" t="s">
        <v>7420</v>
      </c>
      <c r="C1726" s="9" t="s">
        <v>7421</v>
      </c>
      <c r="D1726" s="10" t="str">
        <f>HYPERLINK("https://facebook.com/367089020688300_543357533061447", "367089020688300_543357533061447")</f>
        <v>367089020688300_543357533061447</v>
      </c>
      <c r="E1726" s="11">
        <v>9.0</v>
      </c>
      <c r="F1726" s="11">
        <v>0.0</v>
      </c>
      <c r="G1726" s="11">
        <v>2.0</v>
      </c>
      <c r="H1726" s="9" t="s">
        <v>26</v>
      </c>
      <c r="I1726" s="9" t="s">
        <v>7422</v>
      </c>
      <c r="J1726" s="9" t="s">
        <v>7423</v>
      </c>
      <c r="K1726" s="9" t="s">
        <v>7424</v>
      </c>
      <c r="L1726" s="9" t="s">
        <v>30</v>
      </c>
      <c r="M1726" s="9" t="s">
        <v>31</v>
      </c>
      <c r="N1726" s="9" t="s">
        <v>32</v>
      </c>
      <c r="O1726" s="12" t="s">
        <v>33</v>
      </c>
      <c r="P1726" s="12" t="s">
        <v>34</v>
      </c>
      <c r="Q1726" s="9"/>
      <c r="R1726" s="18"/>
      <c r="S1726" s="18"/>
      <c r="T1726" s="18"/>
      <c r="U1726" s="18"/>
      <c r="V1726" s="18"/>
      <c r="W1726" s="15"/>
      <c r="X1726" s="15"/>
    </row>
    <row r="1727">
      <c r="A1727" s="7">
        <v>1726.0</v>
      </c>
      <c r="B1727" s="8" t="s">
        <v>7425</v>
      </c>
      <c r="C1727" s="9" t="s">
        <v>7426</v>
      </c>
      <c r="D1727" s="10" t="str">
        <f>HYPERLINK("https://facebook.com/367089020688300_545990776131456", "367089020688300_545990776131456")</f>
        <v>367089020688300_545990776131456</v>
      </c>
      <c r="E1727" s="11">
        <v>416.0</v>
      </c>
      <c r="F1727" s="11">
        <v>9.0</v>
      </c>
      <c r="G1727" s="11">
        <v>208.0</v>
      </c>
      <c r="H1727" s="9" t="s">
        <v>26</v>
      </c>
      <c r="I1727" s="9" t="s">
        <v>7427</v>
      </c>
      <c r="J1727" s="16" t="s">
        <v>7428</v>
      </c>
      <c r="K1727" s="9"/>
      <c r="L1727" s="9" t="s">
        <v>30</v>
      </c>
      <c r="M1727" s="9" t="s">
        <v>31</v>
      </c>
      <c r="N1727" s="9" t="s">
        <v>32</v>
      </c>
      <c r="O1727" s="12" t="s">
        <v>33</v>
      </c>
      <c r="P1727" s="12" t="s">
        <v>34</v>
      </c>
      <c r="Q1727" s="9"/>
      <c r="R1727" s="18"/>
      <c r="S1727" s="18"/>
      <c r="T1727" s="18"/>
      <c r="U1727" s="18"/>
      <c r="V1727" s="18"/>
      <c r="W1727" s="15"/>
      <c r="X1727" s="15"/>
    </row>
    <row r="1728">
      <c r="A1728" s="7">
        <v>1727.0</v>
      </c>
      <c r="B1728" s="8" t="s">
        <v>7429</v>
      </c>
      <c r="C1728" s="9" t="s">
        <v>7430</v>
      </c>
      <c r="D1728" s="10" t="str">
        <f>HYPERLINK("https://facebook.com/367089020688300_456509175079617", "367089020688300_456509175079617")</f>
        <v>367089020688300_456509175079617</v>
      </c>
      <c r="E1728" s="11">
        <v>114.0</v>
      </c>
      <c r="F1728" s="11">
        <v>2.0</v>
      </c>
      <c r="G1728" s="11">
        <v>139.0</v>
      </c>
      <c r="H1728" s="9" t="s">
        <v>26</v>
      </c>
      <c r="I1728" s="9" t="s">
        <v>4753</v>
      </c>
      <c r="J1728" s="9" t="s">
        <v>4754</v>
      </c>
      <c r="K1728" s="9" t="s">
        <v>7431</v>
      </c>
      <c r="L1728" s="9" t="s">
        <v>30</v>
      </c>
      <c r="M1728" s="9" t="s">
        <v>31</v>
      </c>
      <c r="N1728" s="9" t="s">
        <v>32</v>
      </c>
      <c r="O1728" s="12" t="s">
        <v>33</v>
      </c>
      <c r="P1728" s="12" t="s">
        <v>34</v>
      </c>
      <c r="Q1728" s="9"/>
      <c r="R1728" s="18"/>
      <c r="S1728" s="18"/>
      <c r="T1728" s="18"/>
      <c r="U1728" s="18"/>
      <c r="V1728" s="18"/>
      <c r="W1728" s="15"/>
      <c r="X1728" s="15"/>
    </row>
    <row r="1729">
      <c r="A1729" s="7">
        <v>1728.0</v>
      </c>
      <c r="B1729" s="8" t="s">
        <v>7432</v>
      </c>
      <c r="C1729" s="9" t="s">
        <v>7433</v>
      </c>
      <c r="D1729" s="10" t="str">
        <f>HYPERLINK("https://facebook.com/367089020688300_367335677330301", "367089020688300_367335677330301")</f>
        <v>367089020688300_367335677330301</v>
      </c>
      <c r="E1729" s="11">
        <v>534.0</v>
      </c>
      <c r="F1729" s="11">
        <v>33.0</v>
      </c>
      <c r="G1729" s="11">
        <v>597.0</v>
      </c>
      <c r="H1729" s="9" t="s">
        <v>26</v>
      </c>
      <c r="I1729" s="9" t="s">
        <v>7434</v>
      </c>
      <c r="J1729" s="9" t="s">
        <v>7435</v>
      </c>
      <c r="K1729" s="9" t="s">
        <v>249</v>
      </c>
      <c r="L1729" s="9" t="s">
        <v>30</v>
      </c>
      <c r="M1729" s="9" t="s">
        <v>31</v>
      </c>
      <c r="N1729" s="9" t="s">
        <v>32</v>
      </c>
      <c r="O1729" s="12" t="s">
        <v>33</v>
      </c>
      <c r="P1729" s="12" t="s">
        <v>34</v>
      </c>
      <c r="Q1729" s="9"/>
      <c r="R1729" s="18"/>
      <c r="S1729" s="18"/>
      <c r="T1729" s="18"/>
      <c r="U1729" s="18"/>
      <c r="V1729" s="18"/>
      <c r="W1729" s="15"/>
      <c r="X1729" s="15"/>
    </row>
    <row r="1730">
      <c r="A1730" s="7">
        <v>1729.0</v>
      </c>
      <c r="B1730" s="8" t="s">
        <v>7436</v>
      </c>
      <c r="C1730" s="9" t="s">
        <v>7437</v>
      </c>
      <c r="D1730" s="10" t="str">
        <f>HYPERLINK("https://facebook.com/367089020688300_540681039995763", "367089020688300_540681039995763")</f>
        <v>367089020688300_540681039995763</v>
      </c>
      <c r="E1730" s="11">
        <v>469.0</v>
      </c>
      <c r="F1730" s="11">
        <v>77.0</v>
      </c>
      <c r="G1730" s="11">
        <v>39.0</v>
      </c>
      <c r="H1730" s="9" t="s">
        <v>26</v>
      </c>
      <c r="I1730" s="9" t="s">
        <v>1764</v>
      </c>
      <c r="J1730" s="16" t="s">
        <v>1765</v>
      </c>
      <c r="K1730" s="9"/>
      <c r="L1730" s="9" t="s">
        <v>30</v>
      </c>
      <c r="M1730" s="9" t="s">
        <v>31</v>
      </c>
      <c r="N1730" s="9" t="s">
        <v>32</v>
      </c>
      <c r="O1730" s="12" t="s">
        <v>33</v>
      </c>
      <c r="P1730" s="12" t="s">
        <v>34</v>
      </c>
      <c r="Q1730" s="9"/>
      <c r="R1730" s="18"/>
      <c r="S1730" s="18"/>
      <c r="T1730" s="18"/>
      <c r="U1730" s="18"/>
      <c r="V1730" s="18"/>
      <c r="W1730" s="15"/>
      <c r="X1730" s="15"/>
    </row>
    <row r="1731">
      <c r="A1731" s="7">
        <v>1730.0</v>
      </c>
      <c r="B1731" s="8" t="s">
        <v>7438</v>
      </c>
      <c r="C1731" s="9" t="s">
        <v>7439</v>
      </c>
      <c r="D1731" s="10" t="str">
        <f>HYPERLINK("https://facebook.com/367089020688300_458891708174697", "367089020688300_458891708174697")</f>
        <v>367089020688300_458891708174697</v>
      </c>
      <c r="E1731" s="11">
        <v>64.0</v>
      </c>
      <c r="F1731" s="11">
        <v>0.0</v>
      </c>
      <c r="G1731" s="11">
        <v>82.0</v>
      </c>
      <c r="H1731" s="9" t="s">
        <v>26</v>
      </c>
      <c r="I1731" s="9" t="s">
        <v>7440</v>
      </c>
      <c r="J1731" s="9" t="s">
        <v>7441</v>
      </c>
      <c r="K1731" s="9" t="s">
        <v>7442</v>
      </c>
      <c r="L1731" s="9" t="s">
        <v>30</v>
      </c>
      <c r="M1731" s="9" t="s">
        <v>31</v>
      </c>
      <c r="N1731" s="9" t="s">
        <v>32</v>
      </c>
      <c r="O1731" s="12" t="s">
        <v>33</v>
      </c>
      <c r="P1731" s="12" t="s">
        <v>34</v>
      </c>
      <c r="Q1731" s="9"/>
      <c r="R1731" s="18"/>
      <c r="S1731" s="18"/>
      <c r="T1731" s="18"/>
      <c r="U1731" s="18"/>
      <c r="V1731" s="18"/>
      <c r="W1731" s="15"/>
      <c r="X1731" s="15"/>
    </row>
    <row r="1732">
      <c r="A1732" s="7">
        <v>1731.0</v>
      </c>
      <c r="B1732" s="8" t="s">
        <v>7443</v>
      </c>
      <c r="C1732" s="9" t="s">
        <v>7444</v>
      </c>
      <c r="D1732" s="10" t="str">
        <f>HYPERLINK("https://facebook.com/367089020688300_499491437448057", "367089020688300_499491437448057")</f>
        <v>367089020688300_499491437448057</v>
      </c>
      <c r="E1732" s="11">
        <v>554.0</v>
      </c>
      <c r="F1732" s="11">
        <v>21.0</v>
      </c>
      <c r="G1732" s="11">
        <v>345.0</v>
      </c>
      <c r="H1732" s="9" t="s">
        <v>26</v>
      </c>
      <c r="I1732" s="9" t="s">
        <v>5181</v>
      </c>
      <c r="J1732" s="16" t="s">
        <v>7445</v>
      </c>
      <c r="K1732" s="9"/>
      <c r="L1732" s="9" t="s">
        <v>30</v>
      </c>
      <c r="M1732" s="9" t="s">
        <v>31</v>
      </c>
      <c r="N1732" s="9" t="s">
        <v>32</v>
      </c>
      <c r="O1732" s="12" t="s">
        <v>33</v>
      </c>
      <c r="P1732" s="12" t="s">
        <v>34</v>
      </c>
      <c r="Q1732" s="9"/>
      <c r="R1732" s="18"/>
      <c r="S1732" s="18"/>
      <c r="T1732" s="18"/>
      <c r="U1732" s="18"/>
      <c r="V1732" s="18"/>
      <c r="W1732" s="15"/>
      <c r="X1732" s="15"/>
    </row>
    <row r="1733">
      <c r="A1733" s="7">
        <v>1732.0</v>
      </c>
      <c r="B1733" s="8" t="s">
        <v>7446</v>
      </c>
      <c r="C1733" s="9" t="s">
        <v>7447</v>
      </c>
      <c r="D1733" s="10" t="str">
        <f>HYPERLINK("https://facebook.com/367089020688300_540130816717452", "367089020688300_540130816717452")</f>
        <v>367089020688300_540130816717452</v>
      </c>
      <c r="E1733" s="11">
        <v>19.0</v>
      </c>
      <c r="F1733" s="11">
        <v>0.0</v>
      </c>
      <c r="G1733" s="11">
        <v>6.0</v>
      </c>
      <c r="H1733" s="9" t="s">
        <v>26</v>
      </c>
      <c r="I1733" s="9" t="s">
        <v>7448</v>
      </c>
      <c r="J1733" s="16" t="s">
        <v>7449</v>
      </c>
      <c r="K1733" s="9"/>
      <c r="L1733" s="9" t="s">
        <v>30</v>
      </c>
      <c r="M1733" s="9" t="s">
        <v>31</v>
      </c>
      <c r="N1733" s="9" t="s">
        <v>32</v>
      </c>
      <c r="O1733" s="12" t="s">
        <v>33</v>
      </c>
      <c r="P1733" s="12" t="s">
        <v>34</v>
      </c>
      <c r="Q1733" s="9"/>
      <c r="R1733" s="18"/>
      <c r="S1733" s="18"/>
      <c r="T1733" s="18"/>
      <c r="U1733" s="18"/>
      <c r="V1733" s="18"/>
      <c r="W1733" s="15"/>
      <c r="X1733" s="15"/>
    </row>
    <row r="1734">
      <c r="A1734" s="7">
        <v>1733.0</v>
      </c>
      <c r="B1734" s="8" t="s">
        <v>7450</v>
      </c>
      <c r="C1734" s="9" t="s">
        <v>7451</v>
      </c>
      <c r="D1734" s="10" t="str">
        <f>HYPERLINK("https://facebook.com/367089020688300_449235639140304", "367089020688300_449235639140304")</f>
        <v>367089020688300_449235639140304</v>
      </c>
      <c r="E1734" s="11">
        <v>298.0</v>
      </c>
      <c r="F1734" s="11">
        <v>23.0</v>
      </c>
      <c r="G1734" s="11">
        <v>397.0</v>
      </c>
      <c r="H1734" s="9" t="s">
        <v>26</v>
      </c>
      <c r="I1734" s="9" t="s">
        <v>7452</v>
      </c>
      <c r="J1734" s="9" t="s">
        <v>7453</v>
      </c>
      <c r="K1734" s="9" t="s">
        <v>7454</v>
      </c>
      <c r="L1734" s="9" t="s">
        <v>30</v>
      </c>
      <c r="M1734" s="9" t="s">
        <v>31</v>
      </c>
      <c r="N1734" s="9" t="s">
        <v>32</v>
      </c>
      <c r="O1734" s="12" t="s">
        <v>33</v>
      </c>
      <c r="P1734" s="12" t="s">
        <v>34</v>
      </c>
      <c r="Q1734" s="9"/>
      <c r="R1734" s="18"/>
      <c r="S1734" s="18"/>
      <c r="T1734" s="18"/>
      <c r="U1734" s="18"/>
      <c r="V1734" s="18"/>
      <c r="W1734" s="15"/>
      <c r="X1734" s="15"/>
    </row>
    <row r="1735">
      <c r="A1735" s="7">
        <v>1734.0</v>
      </c>
      <c r="B1735" s="8" t="s">
        <v>7455</v>
      </c>
      <c r="C1735" s="9" t="s">
        <v>7456</v>
      </c>
      <c r="D1735" s="10" t="str">
        <f>HYPERLINK("https://facebook.com/367089020688300_503988370331697", "367089020688300_503988370331697")</f>
        <v>367089020688300_503988370331697</v>
      </c>
      <c r="E1735" s="11">
        <v>70.0</v>
      </c>
      <c r="F1735" s="11">
        <v>5.0</v>
      </c>
      <c r="G1735" s="11">
        <v>107.0</v>
      </c>
      <c r="H1735" s="9" t="s">
        <v>26</v>
      </c>
      <c r="I1735" s="9" t="s">
        <v>5484</v>
      </c>
      <c r="J1735" s="9" t="s">
        <v>5485</v>
      </c>
      <c r="K1735" s="9" t="s">
        <v>7457</v>
      </c>
      <c r="L1735" s="9" t="s">
        <v>30</v>
      </c>
      <c r="M1735" s="9" t="s">
        <v>31</v>
      </c>
      <c r="N1735" s="9" t="s">
        <v>32</v>
      </c>
      <c r="O1735" s="12" t="s">
        <v>33</v>
      </c>
      <c r="P1735" s="12" t="s">
        <v>34</v>
      </c>
      <c r="Q1735" s="9"/>
      <c r="R1735" s="18"/>
      <c r="S1735" s="18"/>
      <c r="T1735" s="18"/>
      <c r="U1735" s="18"/>
      <c r="V1735" s="18"/>
      <c r="W1735" s="15"/>
      <c r="X1735" s="15"/>
    </row>
    <row r="1736">
      <c r="A1736" s="7">
        <v>1735.0</v>
      </c>
      <c r="B1736" s="8" t="s">
        <v>7458</v>
      </c>
      <c r="C1736" s="9" t="s">
        <v>7459</v>
      </c>
      <c r="D1736" s="10" t="str">
        <f>HYPERLINK("https://facebook.com/367089020688300_541913446539189", "367089020688300_541913446539189")</f>
        <v>367089020688300_541913446539189</v>
      </c>
      <c r="E1736" s="11">
        <v>14.0</v>
      </c>
      <c r="F1736" s="11">
        <v>0.0</v>
      </c>
      <c r="G1736" s="11">
        <v>35.0</v>
      </c>
      <c r="H1736" s="9" t="s">
        <v>26</v>
      </c>
      <c r="I1736" s="9" t="s">
        <v>5262</v>
      </c>
      <c r="J1736" s="16" t="s">
        <v>7460</v>
      </c>
      <c r="K1736" s="9"/>
      <c r="L1736" s="9" t="s">
        <v>30</v>
      </c>
      <c r="M1736" s="9" t="s">
        <v>31</v>
      </c>
      <c r="N1736" s="9" t="s">
        <v>32</v>
      </c>
      <c r="O1736" s="12" t="s">
        <v>33</v>
      </c>
      <c r="P1736" s="12" t="s">
        <v>34</v>
      </c>
      <c r="Q1736" s="9"/>
      <c r="R1736" s="18"/>
      <c r="S1736" s="18"/>
      <c r="T1736" s="18"/>
      <c r="U1736" s="18"/>
      <c r="V1736" s="18"/>
      <c r="W1736" s="15"/>
      <c r="X1736" s="15"/>
    </row>
    <row r="1737">
      <c r="A1737" s="7">
        <v>1736.0</v>
      </c>
      <c r="B1737" s="8" t="s">
        <v>7461</v>
      </c>
      <c r="C1737" s="9" t="s">
        <v>7462</v>
      </c>
      <c r="D1737" s="10" t="str">
        <f>HYPERLINK("https://facebook.com/367089020688300_545390332858167", "367089020688300_545390332858167")</f>
        <v>367089020688300_545390332858167</v>
      </c>
      <c r="E1737" s="11">
        <v>8.0</v>
      </c>
      <c r="F1737" s="11">
        <v>0.0</v>
      </c>
      <c r="G1737" s="11">
        <v>10.0</v>
      </c>
      <c r="H1737" s="9" t="s">
        <v>26</v>
      </c>
      <c r="I1737" s="9" t="s">
        <v>7463</v>
      </c>
      <c r="J1737" s="16" t="s">
        <v>7464</v>
      </c>
      <c r="K1737" s="9"/>
      <c r="L1737" s="9" t="s">
        <v>30</v>
      </c>
      <c r="M1737" s="9" t="s">
        <v>31</v>
      </c>
      <c r="N1737" s="9" t="s">
        <v>32</v>
      </c>
      <c r="O1737" s="12" t="s">
        <v>33</v>
      </c>
      <c r="P1737" s="12" t="s">
        <v>34</v>
      </c>
      <c r="Q1737" s="9"/>
      <c r="R1737" s="18"/>
      <c r="S1737" s="18"/>
      <c r="T1737" s="18"/>
      <c r="U1737" s="18"/>
      <c r="V1737" s="18"/>
      <c r="W1737" s="15"/>
      <c r="X1737" s="15"/>
    </row>
    <row r="1738">
      <c r="A1738" s="7">
        <v>1737.0</v>
      </c>
      <c r="B1738" s="8" t="s">
        <v>7465</v>
      </c>
      <c r="C1738" s="9" t="s">
        <v>7466</v>
      </c>
      <c r="D1738" s="10" t="str">
        <f>HYPERLINK("https://facebook.com/367089020688300_447524305978104", "367089020688300_447524305978104")</f>
        <v>367089020688300_447524305978104</v>
      </c>
      <c r="E1738" s="11">
        <v>116.0</v>
      </c>
      <c r="F1738" s="11">
        <v>0.0</v>
      </c>
      <c r="G1738" s="11">
        <v>74.0</v>
      </c>
      <c r="H1738" s="9" t="s">
        <v>26</v>
      </c>
      <c r="I1738" s="9" t="s">
        <v>7467</v>
      </c>
      <c r="J1738" s="9" t="s">
        <v>7468</v>
      </c>
      <c r="K1738" s="9" t="s">
        <v>7469</v>
      </c>
      <c r="L1738" s="9" t="s">
        <v>30</v>
      </c>
      <c r="M1738" s="9" t="s">
        <v>31</v>
      </c>
      <c r="N1738" s="9" t="s">
        <v>32</v>
      </c>
      <c r="O1738" s="12" t="s">
        <v>33</v>
      </c>
      <c r="P1738" s="12" t="s">
        <v>34</v>
      </c>
      <c r="Q1738" s="9"/>
      <c r="R1738" s="18"/>
      <c r="S1738" s="18"/>
      <c r="T1738" s="18"/>
      <c r="U1738" s="18"/>
      <c r="V1738" s="18"/>
      <c r="W1738" s="15"/>
      <c r="X1738" s="15"/>
    </row>
    <row r="1739">
      <c r="A1739" s="7">
        <v>1738.0</v>
      </c>
      <c r="B1739" s="8" t="s">
        <v>7470</v>
      </c>
      <c r="C1739" s="9" t="s">
        <v>7471</v>
      </c>
      <c r="D1739" s="10" t="str">
        <f>HYPERLINK("https://facebook.com/367089020688300_447137016016833", "367089020688300_447137016016833")</f>
        <v>367089020688300_447137016016833</v>
      </c>
      <c r="E1739" s="11">
        <v>1099.0</v>
      </c>
      <c r="F1739" s="11">
        <v>29.0</v>
      </c>
      <c r="G1739" s="11">
        <v>730.0</v>
      </c>
      <c r="H1739" s="9" t="s">
        <v>26</v>
      </c>
      <c r="I1739" s="9" t="s">
        <v>7472</v>
      </c>
      <c r="J1739" s="9" t="s">
        <v>7473</v>
      </c>
      <c r="K1739" s="9" t="s">
        <v>7474</v>
      </c>
      <c r="L1739" s="9" t="s">
        <v>30</v>
      </c>
      <c r="M1739" s="9" t="s">
        <v>31</v>
      </c>
      <c r="N1739" s="9" t="s">
        <v>32</v>
      </c>
      <c r="O1739" s="12" t="s">
        <v>33</v>
      </c>
      <c r="P1739" s="12" t="s">
        <v>34</v>
      </c>
      <c r="Q1739" s="9"/>
      <c r="R1739" s="18"/>
      <c r="S1739" s="18"/>
      <c r="T1739" s="18"/>
      <c r="U1739" s="18"/>
      <c r="V1739" s="18"/>
      <c r="W1739" s="15"/>
      <c r="X1739" s="15"/>
    </row>
    <row r="1740">
      <c r="A1740" s="7">
        <v>1739.0</v>
      </c>
      <c r="B1740" s="8" t="s">
        <v>7475</v>
      </c>
      <c r="C1740" s="9" t="s">
        <v>7476</v>
      </c>
      <c r="D1740" s="10" t="str">
        <f>HYPERLINK("https://facebook.com/367089020688300_546072646123269", "367089020688300_546072646123269")</f>
        <v>367089020688300_546072646123269</v>
      </c>
      <c r="E1740" s="11">
        <v>14.0</v>
      </c>
      <c r="F1740" s="11">
        <v>0.0</v>
      </c>
      <c r="G1740" s="11">
        <v>4.0</v>
      </c>
      <c r="H1740" s="9" t="s">
        <v>26</v>
      </c>
      <c r="I1740" s="9" t="s">
        <v>7477</v>
      </c>
      <c r="J1740" s="16" t="s">
        <v>7478</v>
      </c>
      <c r="K1740" s="9"/>
      <c r="L1740" s="9" t="s">
        <v>30</v>
      </c>
      <c r="M1740" s="9" t="s">
        <v>31</v>
      </c>
      <c r="N1740" s="9" t="s">
        <v>32</v>
      </c>
      <c r="O1740" s="12" t="s">
        <v>33</v>
      </c>
      <c r="P1740" s="12" t="s">
        <v>34</v>
      </c>
      <c r="Q1740" s="9"/>
      <c r="R1740" s="18"/>
      <c r="S1740" s="18"/>
      <c r="T1740" s="18"/>
      <c r="U1740" s="18"/>
      <c r="V1740" s="18"/>
      <c r="W1740" s="15"/>
      <c r="X1740" s="15"/>
    </row>
    <row r="1741">
      <c r="A1741" s="7">
        <v>1740.0</v>
      </c>
      <c r="B1741" s="8" t="s">
        <v>7479</v>
      </c>
      <c r="C1741" s="9" t="s">
        <v>7480</v>
      </c>
      <c r="D1741" s="10" t="str">
        <f>HYPERLINK("https://facebook.com/367089020688300_561876994542834", "367089020688300_561876994542834")</f>
        <v>367089020688300_561876994542834</v>
      </c>
      <c r="E1741" s="11">
        <v>30.0</v>
      </c>
      <c r="F1741" s="11">
        <v>0.0</v>
      </c>
      <c r="G1741" s="11">
        <v>25.0</v>
      </c>
      <c r="H1741" s="9" t="s">
        <v>26</v>
      </c>
      <c r="I1741" s="9" t="s">
        <v>7481</v>
      </c>
      <c r="J1741" s="16" t="s">
        <v>7482</v>
      </c>
      <c r="K1741" s="9"/>
      <c r="L1741" s="9" t="s">
        <v>30</v>
      </c>
      <c r="M1741" s="9" t="s">
        <v>31</v>
      </c>
      <c r="N1741" s="9" t="s">
        <v>32</v>
      </c>
      <c r="O1741" s="12" t="s">
        <v>33</v>
      </c>
      <c r="P1741" s="12" t="s">
        <v>34</v>
      </c>
      <c r="Q1741" s="9"/>
      <c r="R1741" s="18"/>
      <c r="S1741" s="18"/>
      <c r="T1741" s="18"/>
      <c r="U1741" s="18"/>
      <c r="V1741" s="18"/>
      <c r="W1741" s="15"/>
      <c r="X1741" s="15"/>
    </row>
    <row r="1742">
      <c r="A1742" s="7">
        <v>1741.0</v>
      </c>
      <c r="B1742" s="8" t="s">
        <v>7483</v>
      </c>
      <c r="C1742" s="9" t="s">
        <v>7484</v>
      </c>
      <c r="D1742" s="10" t="str">
        <f>HYPERLINK("https://facebook.com/367089020688300_451026442294557", "367089020688300_451026442294557")</f>
        <v>367089020688300_451026442294557</v>
      </c>
      <c r="E1742" s="11">
        <v>694.0</v>
      </c>
      <c r="F1742" s="11">
        <v>26.0</v>
      </c>
      <c r="G1742" s="11">
        <v>723.0</v>
      </c>
      <c r="H1742" s="9" t="s">
        <v>26</v>
      </c>
      <c r="I1742" s="9" t="s">
        <v>7485</v>
      </c>
      <c r="J1742" s="9" t="s">
        <v>7486</v>
      </c>
      <c r="K1742" s="9" t="s">
        <v>7487</v>
      </c>
      <c r="L1742" s="9" t="s">
        <v>30</v>
      </c>
      <c r="M1742" s="9" t="s">
        <v>31</v>
      </c>
      <c r="N1742" s="9" t="s">
        <v>32</v>
      </c>
      <c r="O1742" s="12" t="s">
        <v>33</v>
      </c>
      <c r="P1742" s="12" t="s">
        <v>34</v>
      </c>
      <c r="Q1742" s="9"/>
      <c r="R1742" s="18"/>
      <c r="S1742" s="18"/>
      <c r="T1742" s="18"/>
      <c r="U1742" s="18"/>
      <c r="V1742" s="18"/>
      <c r="W1742" s="15"/>
      <c r="X1742" s="15"/>
    </row>
    <row r="1743">
      <c r="A1743" s="7">
        <v>1742.0</v>
      </c>
      <c r="B1743" s="8" t="s">
        <v>7488</v>
      </c>
      <c r="C1743" s="9" t="s">
        <v>7489</v>
      </c>
      <c r="D1743" s="10" t="str">
        <f>HYPERLINK("https://facebook.com/367089020688300_556558711741329", "367089020688300_556558711741329")</f>
        <v>367089020688300_556558711741329</v>
      </c>
      <c r="E1743" s="11">
        <v>225.0</v>
      </c>
      <c r="F1743" s="11">
        <v>4.0</v>
      </c>
      <c r="G1743" s="11">
        <v>238.0</v>
      </c>
      <c r="H1743" s="9" t="s">
        <v>26</v>
      </c>
      <c r="I1743" s="9" t="s">
        <v>7490</v>
      </c>
      <c r="J1743" s="16" t="s">
        <v>7491</v>
      </c>
      <c r="K1743" s="9"/>
      <c r="L1743" s="9" t="s">
        <v>30</v>
      </c>
      <c r="M1743" s="9" t="s">
        <v>31</v>
      </c>
      <c r="N1743" s="9" t="s">
        <v>32</v>
      </c>
      <c r="O1743" s="12" t="s">
        <v>33</v>
      </c>
      <c r="P1743" s="12" t="s">
        <v>34</v>
      </c>
      <c r="Q1743" s="9"/>
      <c r="R1743" s="18"/>
      <c r="S1743" s="18"/>
      <c r="T1743" s="18"/>
      <c r="U1743" s="18"/>
      <c r="V1743" s="18"/>
      <c r="W1743" s="15"/>
      <c r="X1743" s="15"/>
    </row>
    <row r="1744">
      <c r="A1744" s="7">
        <v>1743.0</v>
      </c>
      <c r="B1744" s="8" t="s">
        <v>7492</v>
      </c>
      <c r="C1744" s="9" t="s">
        <v>7493</v>
      </c>
      <c r="D1744" s="10" t="str">
        <f>HYPERLINK("https://facebook.com/367089020688300_474808949916306", "367089020688300_474808949916306")</f>
        <v>367089020688300_474808949916306</v>
      </c>
      <c r="E1744" s="11">
        <v>1179.0</v>
      </c>
      <c r="F1744" s="11">
        <v>108.0</v>
      </c>
      <c r="G1744" s="11">
        <v>649.0</v>
      </c>
      <c r="H1744" s="9" t="s">
        <v>26</v>
      </c>
      <c r="I1744" s="9" t="s">
        <v>7494</v>
      </c>
      <c r="J1744" s="9" t="s">
        <v>7495</v>
      </c>
      <c r="K1744" s="9" t="s">
        <v>3702</v>
      </c>
      <c r="L1744" s="9" t="s">
        <v>30</v>
      </c>
      <c r="M1744" s="9" t="s">
        <v>31</v>
      </c>
      <c r="N1744" s="9" t="s">
        <v>32</v>
      </c>
      <c r="O1744" s="12" t="s">
        <v>33</v>
      </c>
      <c r="P1744" s="12" t="s">
        <v>34</v>
      </c>
      <c r="Q1744" s="9"/>
      <c r="R1744" s="18"/>
      <c r="S1744" s="18"/>
      <c r="T1744" s="18"/>
      <c r="U1744" s="18"/>
      <c r="V1744" s="18"/>
      <c r="W1744" s="15"/>
      <c r="X1744" s="15"/>
    </row>
    <row r="1745">
      <c r="A1745" s="7">
        <v>1744.0</v>
      </c>
      <c r="B1745" s="8" t="s">
        <v>7496</v>
      </c>
      <c r="C1745" s="9" t="s">
        <v>7497</v>
      </c>
      <c r="D1745" s="10" t="str">
        <f>HYPERLINK("https://facebook.com/367089020688300_562877711109429", "367089020688300_562877711109429")</f>
        <v>367089020688300_562877711109429</v>
      </c>
      <c r="E1745" s="11">
        <v>57.0</v>
      </c>
      <c r="F1745" s="11">
        <v>0.0</v>
      </c>
      <c r="G1745" s="11">
        <v>3.0</v>
      </c>
      <c r="H1745" s="9" t="s">
        <v>26</v>
      </c>
      <c r="I1745" s="9" t="s">
        <v>993</v>
      </c>
      <c r="J1745" s="9" t="s">
        <v>994</v>
      </c>
      <c r="K1745" s="9" t="s">
        <v>1214</v>
      </c>
      <c r="L1745" s="9" t="s">
        <v>30</v>
      </c>
      <c r="M1745" s="9" t="s">
        <v>31</v>
      </c>
      <c r="N1745" s="9" t="s">
        <v>32</v>
      </c>
      <c r="O1745" s="12" t="s">
        <v>33</v>
      </c>
      <c r="P1745" s="12" t="s">
        <v>34</v>
      </c>
      <c r="Q1745" s="9"/>
      <c r="R1745" s="18"/>
      <c r="S1745" s="18"/>
      <c r="T1745" s="18"/>
      <c r="U1745" s="18"/>
      <c r="V1745" s="18"/>
      <c r="W1745" s="15"/>
      <c r="X1745" s="15"/>
    </row>
    <row r="1746">
      <c r="A1746" s="7">
        <v>1745.0</v>
      </c>
      <c r="B1746" s="8" t="s">
        <v>7498</v>
      </c>
      <c r="C1746" s="9" t="s">
        <v>7499</v>
      </c>
      <c r="D1746" s="10" t="str">
        <f>HYPERLINK("https://facebook.com/367089020688300_513778766019324", "367089020688300_513778766019324")</f>
        <v>367089020688300_513778766019324</v>
      </c>
      <c r="E1746" s="11">
        <v>76.0</v>
      </c>
      <c r="F1746" s="11">
        <v>3.0</v>
      </c>
      <c r="G1746" s="11">
        <v>77.0</v>
      </c>
      <c r="H1746" s="9" t="s">
        <v>26</v>
      </c>
      <c r="I1746" s="9" t="s">
        <v>7500</v>
      </c>
      <c r="J1746" s="9" t="s">
        <v>7501</v>
      </c>
      <c r="K1746" s="9" t="s">
        <v>7502</v>
      </c>
      <c r="L1746" s="9" t="s">
        <v>30</v>
      </c>
      <c r="M1746" s="9" t="s">
        <v>31</v>
      </c>
      <c r="N1746" s="9" t="s">
        <v>32</v>
      </c>
      <c r="O1746" s="12" t="s">
        <v>33</v>
      </c>
      <c r="P1746" s="12" t="s">
        <v>34</v>
      </c>
      <c r="Q1746" s="9"/>
      <c r="R1746" s="18"/>
      <c r="S1746" s="18"/>
      <c r="T1746" s="18"/>
      <c r="U1746" s="18"/>
      <c r="V1746" s="18"/>
      <c r="W1746" s="15"/>
      <c r="X1746" s="15"/>
    </row>
    <row r="1747">
      <c r="A1747" s="7">
        <v>1746.0</v>
      </c>
      <c r="B1747" s="8" t="s">
        <v>7503</v>
      </c>
      <c r="C1747" s="9" t="s">
        <v>7504</v>
      </c>
      <c r="D1747" s="10" t="str">
        <f>HYPERLINK("https://facebook.com/367089020688300_535483990515468", "367089020688300_535483990515468")</f>
        <v>367089020688300_535483990515468</v>
      </c>
      <c r="E1747" s="11">
        <v>218.0</v>
      </c>
      <c r="F1747" s="11">
        <v>1.0</v>
      </c>
      <c r="G1747" s="11">
        <v>127.0</v>
      </c>
      <c r="H1747" s="9" t="s">
        <v>26</v>
      </c>
      <c r="I1747" s="9" t="s">
        <v>7505</v>
      </c>
      <c r="J1747" s="16" t="s">
        <v>7506</v>
      </c>
      <c r="K1747" s="9"/>
      <c r="L1747" s="9" t="s">
        <v>30</v>
      </c>
      <c r="M1747" s="9" t="s">
        <v>31</v>
      </c>
      <c r="N1747" s="9" t="s">
        <v>32</v>
      </c>
      <c r="O1747" s="12" t="s">
        <v>33</v>
      </c>
      <c r="P1747" s="12" t="s">
        <v>34</v>
      </c>
      <c r="Q1747" s="9"/>
      <c r="R1747" s="18"/>
      <c r="S1747" s="18"/>
      <c r="T1747" s="18"/>
      <c r="U1747" s="18"/>
      <c r="V1747" s="18"/>
      <c r="W1747" s="15"/>
      <c r="X1747" s="15"/>
    </row>
    <row r="1748">
      <c r="A1748" s="7">
        <v>1747.0</v>
      </c>
      <c r="B1748" s="8" t="s">
        <v>7507</v>
      </c>
      <c r="C1748" s="9" t="s">
        <v>7508</v>
      </c>
      <c r="D1748" s="10" t="str">
        <f>HYPERLINK("https://facebook.com/367089020688300_507274956669705", "367089020688300_507274956669705")</f>
        <v>367089020688300_507274956669705</v>
      </c>
      <c r="E1748" s="11">
        <v>165.0</v>
      </c>
      <c r="F1748" s="11">
        <v>1.0</v>
      </c>
      <c r="G1748" s="11">
        <v>161.0</v>
      </c>
      <c r="H1748" s="9" t="s">
        <v>26</v>
      </c>
      <c r="I1748" s="9" t="s">
        <v>7509</v>
      </c>
      <c r="J1748" s="9" t="s">
        <v>7510</v>
      </c>
      <c r="K1748" s="9" t="s">
        <v>7511</v>
      </c>
      <c r="L1748" s="9" t="s">
        <v>30</v>
      </c>
      <c r="M1748" s="9" t="s">
        <v>31</v>
      </c>
      <c r="N1748" s="9" t="s">
        <v>32</v>
      </c>
      <c r="O1748" s="12" t="s">
        <v>33</v>
      </c>
      <c r="P1748" s="12" t="s">
        <v>34</v>
      </c>
      <c r="Q1748" s="9"/>
      <c r="R1748" s="18"/>
      <c r="S1748" s="18"/>
      <c r="T1748" s="18"/>
      <c r="U1748" s="18"/>
      <c r="V1748" s="18"/>
      <c r="W1748" s="15"/>
      <c r="X1748" s="15"/>
    </row>
    <row r="1749">
      <c r="A1749" s="7">
        <v>1748.0</v>
      </c>
      <c r="B1749" s="8" t="s">
        <v>7512</v>
      </c>
      <c r="C1749" s="9" t="s">
        <v>7513</v>
      </c>
      <c r="D1749" s="10" t="str">
        <f>HYPERLINK("https://facebook.com/367089020688300_400461134017755", "367089020688300_400461134017755")</f>
        <v>367089020688300_400461134017755</v>
      </c>
      <c r="E1749" s="11">
        <v>343.0</v>
      </c>
      <c r="F1749" s="11">
        <v>13.0</v>
      </c>
      <c r="G1749" s="11">
        <v>378.0</v>
      </c>
      <c r="H1749" s="9" t="s">
        <v>26</v>
      </c>
      <c r="I1749" s="9" t="s">
        <v>7514</v>
      </c>
      <c r="J1749" s="9" t="s">
        <v>7515</v>
      </c>
      <c r="K1749" s="9" t="s">
        <v>4860</v>
      </c>
      <c r="L1749" s="9" t="s">
        <v>30</v>
      </c>
      <c r="M1749" s="9" t="s">
        <v>31</v>
      </c>
      <c r="N1749" s="9" t="s">
        <v>32</v>
      </c>
      <c r="O1749" s="12" t="s">
        <v>33</v>
      </c>
      <c r="P1749" s="12" t="s">
        <v>34</v>
      </c>
      <c r="Q1749" s="9"/>
      <c r="R1749" s="18"/>
      <c r="S1749" s="18"/>
      <c r="T1749" s="18"/>
      <c r="U1749" s="18"/>
      <c r="V1749" s="18"/>
      <c r="W1749" s="15"/>
      <c r="X1749" s="15"/>
    </row>
    <row r="1750">
      <c r="A1750" s="7">
        <v>1749.0</v>
      </c>
      <c r="B1750" s="8" t="s">
        <v>7516</v>
      </c>
      <c r="C1750" s="9" t="s">
        <v>7517</v>
      </c>
      <c r="D1750" s="10" t="str">
        <f>HYPERLINK("https://facebook.com/367089020688300_424770548253480", "367089020688300_424770548253480")</f>
        <v>367089020688300_424770548253480</v>
      </c>
      <c r="E1750" s="11">
        <v>354.0</v>
      </c>
      <c r="F1750" s="11">
        <v>2.0</v>
      </c>
      <c r="G1750" s="11">
        <v>131.0</v>
      </c>
      <c r="H1750" s="9" t="s">
        <v>26</v>
      </c>
      <c r="I1750" s="9" t="s">
        <v>7518</v>
      </c>
      <c r="J1750" s="9" t="s">
        <v>7519</v>
      </c>
      <c r="K1750" s="9" t="s">
        <v>7520</v>
      </c>
      <c r="L1750" s="9" t="s">
        <v>30</v>
      </c>
      <c r="M1750" s="9" t="s">
        <v>31</v>
      </c>
      <c r="N1750" s="9" t="s">
        <v>32</v>
      </c>
      <c r="O1750" s="12" t="s">
        <v>33</v>
      </c>
      <c r="P1750" s="12" t="s">
        <v>34</v>
      </c>
      <c r="Q1750" s="9"/>
      <c r="R1750" s="18"/>
      <c r="S1750" s="18"/>
      <c r="T1750" s="18"/>
      <c r="U1750" s="18"/>
      <c r="V1750" s="18"/>
      <c r="W1750" s="15"/>
      <c r="X1750" s="15"/>
    </row>
    <row r="1751">
      <c r="A1751" s="7">
        <v>1750.0</v>
      </c>
      <c r="B1751" s="8" t="s">
        <v>7521</v>
      </c>
      <c r="C1751" s="9" t="s">
        <v>7522</v>
      </c>
      <c r="D1751" s="10" t="str">
        <f>HYPERLINK("https://facebook.com/367089020688300_461447284585806", "367089020688300_461447284585806")</f>
        <v>367089020688300_461447284585806</v>
      </c>
      <c r="E1751" s="11">
        <v>69.0</v>
      </c>
      <c r="F1751" s="11">
        <v>2.0</v>
      </c>
      <c r="G1751" s="11">
        <v>113.0</v>
      </c>
      <c r="H1751" s="9" t="s">
        <v>26</v>
      </c>
      <c r="I1751" s="9" t="s">
        <v>7523</v>
      </c>
      <c r="J1751" s="9" t="s">
        <v>7524</v>
      </c>
      <c r="K1751" s="9" t="s">
        <v>7525</v>
      </c>
      <c r="L1751" s="9" t="s">
        <v>30</v>
      </c>
      <c r="M1751" s="9" t="s">
        <v>31</v>
      </c>
      <c r="N1751" s="9" t="s">
        <v>32</v>
      </c>
      <c r="O1751" s="12" t="s">
        <v>33</v>
      </c>
      <c r="P1751" s="12" t="s">
        <v>34</v>
      </c>
      <c r="Q1751" s="9"/>
      <c r="R1751" s="18"/>
      <c r="S1751" s="18"/>
      <c r="T1751" s="18"/>
      <c r="U1751" s="18"/>
      <c r="V1751" s="18"/>
      <c r="W1751" s="15"/>
      <c r="X1751" s="15"/>
    </row>
    <row r="1752">
      <c r="A1752" s="7">
        <v>1751.0</v>
      </c>
      <c r="B1752" s="8" t="s">
        <v>7526</v>
      </c>
      <c r="C1752" s="9" t="s">
        <v>7527</v>
      </c>
      <c r="D1752" s="10" t="str">
        <f>HYPERLINK("https://facebook.com/367089020688300_441734183223783", "367089020688300_441734183223783")</f>
        <v>367089020688300_441734183223783</v>
      </c>
      <c r="E1752" s="11">
        <v>1273.0</v>
      </c>
      <c r="F1752" s="11">
        <v>16.0</v>
      </c>
      <c r="G1752" s="11">
        <v>794.0</v>
      </c>
      <c r="H1752" s="9" t="s">
        <v>26</v>
      </c>
      <c r="I1752" s="9" t="s">
        <v>7528</v>
      </c>
      <c r="J1752" s="9" t="s">
        <v>7529</v>
      </c>
      <c r="K1752" s="9" t="s">
        <v>7530</v>
      </c>
      <c r="L1752" s="9" t="s">
        <v>30</v>
      </c>
      <c r="M1752" s="9" t="s">
        <v>31</v>
      </c>
      <c r="N1752" s="9" t="s">
        <v>32</v>
      </c>
      <c r="O1752" s="12" t="s">
        <v>33</v>
      </c>
      <c r="P1752" s="12" t="s">
        <v>34</v>
      </c>
      <c r="Q1752" s="9"/>
      <c r="R1752" s="18"/>
      <c r="S1752" s="18"/>
      <c r="T1752" s="18"/>
      <c r="U1752" s="18"/>
      <c r="V1752" s="18"/>
      <c r="W1752" s="15"/>
      <c r="X1752" s="15"/>
    </row>
    <row r="1753">
      <c r="A1753" s="7">
        <v>1752.0</v>
      </c>
      <c r="B1753" s="8" t="s">
        <v>7531</v>
      </c>
      <c r="C1753" s="9" t="s">
        <v>7532</v>
      </c>
      <c r="D1753" s="10" t="str">
        <f>HYPERLINK("https://facebook.com/367089020688300_555921181805082", "367089020688300_555921181805082")</f>
        <v>367089020688300_555921181805082</v>
      </c>
      <c r="E1753" s="11">
        <v>25.0</v>
      </c>
      <c r="F1753" s="11">
        <v>1.0</v>
      </c>
      <c r="G1753" s="11">
        <v>12.0</v>
      </c>
      <c r="H1753" s="9" t="s">
        <v>26</v>
      </c>
      <c r="I1753" s="9" t="s">
        <v>7533</v>
      </c>
      <c r="J1753" s="9" t="s">
        <v>7534</v>
      </c>
      <c r="K1753" s="9" t="s">
        <v>7535</v>
      </c>
      <c r="L1753" s="9" t="s">
        <v>30</v>
      </c>
      <c r="M1753" s="9" t="s">
        <v>31</v>
      </c>
      <c r="N1753" s="9" t="s">
        <v>32</v>
      </c>
      <c r="O1753" s="12" t="s">
        <v>33</v>
      </c>
      <c r="P1753" s="12" t="s">
        <v>34</v>
      </c>
      <c r="Q1753" s="9"/>
      <c r="R1753" s="18"/>
      <c r="S1753" s="18"/>
      <c r="T1753" s="18"/>
      <c r="U1753" s="18"/>
      <c r="V1753" s="18"/>
      <c r="W1753" s="15"/>
      <c r="X1753" s="15"/>
    </row>
    <row r="1754">
      <c r="A1754" s="7">
        <v>1753.0</v>
      </c>
      <c r="B1754" s="8" t="s">
        <v>7536</v>
      </c>
      <c r="C1754" s="9" t="s">
        <v>7537</v>
      </c>
      <c r="D1754" s="10" t="str">
        <f>HYPERLINK("https://facebook.com/367089020688300_558430894887444", "367089020688300_558430894887444")</f>
        <v>367089020688300_558430894887444</v>
      </c>
      <c r="E1754" s="11">
        <v>10.0</v>
      </c>
      <c r="F1754" s="11">
        <v>0.0</v>
      </c>
      <c r="G1754" s="11">
        <v>9.0</v>
      </c>
      <c r="H1754" s="9" t="s">
        <v>26</v>
      </c>
      <c r="I1754" s="9" t="s">
        <v>4534</v>
      </c>
      <c r="J1754" s="16" t="s">
        <v>7538</v>
      </c>
      <c r="K1754" s="9"/>
      <c r="L1754" s="9" t="s">
        <v>30</v>
      </c>
      <c r="M1754" s="9" t="s">
        <v>31</v>
      </c>
      <c r="N1754" s="9" t="s">
        <v>32</v>
      </c>
      <c r="O1754" s="12" t="s">
        <v>33</v>
      </c>
      <c r="P1754" s="12" t="s">
        <v>34</v>
      </c>
      <c r="Q1754" s="9"/>
      <c r="R1754" s="18"/>
      <c r="S1754" s="18"/>
      <c r="T1754" s="18"/>
      <c r="U1754" s="18"/>
      <c r="V1754" s="18"/>
      <c r="W1754" s="15"/>
      <c r="X1754" s="15"/>
    </row>
    <row r="1755">
      <c r="A1755" s="7">
        <v>1754.0</v>
      </c>
      <c r="B1755" s="8" t="s">
        <v>7539</v>
      </c>
      <c r="C1755" s="9" t="s">
        <v>7540</v>
      </c>
      <c r="D1755" s="10" t="str">
        <f>HYPERLINK("https://facebook.com/367089020688300_523999121663955", "367089020688300_523999121663955")</f>
        <v>367089020688300_523999121663955</v>
      </c>
      <c r="E1755" s="11">
        <v>90.0</v>
      </c>
      <c r="F1755" s="11">
        <v>5.0</v>
      </c>
      <c r="G1755" s="11">
        <v>120.0</v>
      </c>
      <c r="H1755" s="9" t="s">
        <v>26</v>
      </c>
      <c r="I1755" s="9" t="s">
        <v>7541</v>
      </c>
      <c r="J1755" s="16" t="s">
        <v>7542</v>
      </c>
      <c r="K1755" s="9"/>
      <c r="L1755" s="9" t="s">
        <v>30</v>
      </c>
      <c r="M1755" s="9" t="s">
        <v>31</v>
      </c>
      <c r="N1755" s="9" t="s">
        <v>32</v>
      </c>
      <c r="O1755" s="12" t="s">
        <v>33</v>
      </c>
      <c r="P1755" s="12" t="s">
        <v>34</v>
      </c>
      <c r="Q1755" s="9"/>
      <c r="R1755" s="18"/>
      <c r="S1755" s="18"/>
      <c r="T1755" s="18"/>
      <c r="U1755" s="18"/>
      <c r="V1755" s="18"/>
      <c r="W1755" s="15"/>
      <c r="X1755" s="15"/>
    </row>
    <row r="1756">
      <c r="A1756" s="7">
        <v>1755.0</v>
      </c>
      <c r="B1756" s="8" t="s">
        <v>7543</v>
      </c>
      <c r="C1756" s="9" t="s">
        <v>7544</v>
      </c>
      <c r="D1756" s="10" t="str">
        <f>HYPERLINK("https://facebook.com/367089020688300_538659933531207", "367089020688300_538659933531207")</f>
        <v>367089020688300_538659933531207</v>
      </c>
      <c r="E1756" s="11">
        <v>567.0</v>
      </c>
      <c r="F1756" s="11">
        <v>7.0</v>
      </c>
      <c r="G1756" s="11">
        <v>555.0</v>
      </c>
      <c r="H1756" s="9" t="s">
        <v>26</v>
      </c>
      <c r="I1756" s="9" t="s">
        <v>7545</v>
      </c>
      <c r="J1756" s="9" t="s">
        <v>7546</v>
      </c>
      <c r="K1756" s="9" t="s">
        <v>7175</v>
      </c>
      <c r="L1756" s="9" t="s">
        <v>30</v>
      </c>
      <c r="M1756" s="9" t="s">
        <v>31</v>
      </c>
      <c r="N1756" s="9" t="s">
        <v>32</v>
      </c>
      <c r="O1756" s="12" t="s">
        <v>33</v>
      </c>
      <c r="P1756" s="12" t="s">
        <v>34</v>
      </c>
      <c r="Q1756" s="9"/>
      <c r="R1756" s="18"/>
      <c r="S1756" s="18"/>
      <c r="T1756" s="18"/>
      <c r="U1756" s="18"/>
      <c r="V1756" s="18"/>
      <c r="W1756" s="15"/>
      <c r="X1756" s="15"/>
    </row>
    <row r="1757">
      <c r="A1757" s="7">
        <v>1756.0</v>
      </c>
      <c r="B1757" s="8" t="s">
        <v>7547</v>
      </c>
      <c r="C1757" s="9" t="s">
        <v>7548</v>
      </c>
      <c r="D1757" s="10" t="str">
        <f>HYPERLINK("https://facebook.com/367089020688300_536999100363957", "367089020688300_536999100363957")</f>
        <v>367089020688300_536999100363957</v>
      </c>
      <c r="E1757" s="11">
        <v>61.0</v>
      </c>
      <c r="F1757" s="11">
        <v>0.0</v>
      </c>
      <c r="G1757" s="11">
        <v>71.0</v>
      </c>
      <c r="H1757" s="9" t="s">
        <v>26</v>
      </c>
      <c r="I1757" s="9" t="s">
        <v>7549</v>
      </c>
      <c r="J1757" s="9" t="s">
        <v>7550</v>
      </c>
      <c r="K1757" s="9" t="s">
        <v>476</v>
      </c>
      <c r="L1757" s="9" t="s">
        <v>30</v>
      </c>
      <c r="M1757" s="9" t="s">
        <v>31</v>
      </c>
      <c r="N1757" s="9" t="s">
        <v>32</v>
      </c>
      <c r="O1757" s="12" t="s">
        <v>33</v>
      </c>
      <c r="P1757" s="12" t="s">
        <v>34</v>
      </c>
      <c r="Q1757" s="9"/>
      <c r="R1757" s="18"/>
      <c r="S1757" s="18"/>
      <c r="T1757" s="18"/>
      <c r="U1757" s="18"/>
      <c r="V1757" s="18"/>
      <c r="W1757" s="15"/>
      <c r="X1757" s="15"/>
    </row>
    <row r="1758">
      <c r="A1758" s="7">
        <v>1757.0</v>
      </c>
      <c r="B1758" s="8" t="s">
        <v>7551</v>
      </c>
      <c r="C1758" s="9" t="s">
        <v>7552</v>
      </c>
      <c r="D1758" s="10" t="str">
        <f>HYPERLINK("https://facebook.com/367089020688300_562750907788776", "367089020688300_562750907788776")</f>
        <v>367089020688300_562750907788776</v>
      </c>
      <c r="E1758" s="11">
        <v>462.0</v>
      </c>
      <c r="F1758" s="11">
        <v>0.0</v>
      </c>
      <c r="G1758" s="11">
        <v>80.0</v>
      </c>
      <c r="H1758" s="9" t="s">
        <v>26</v>
      </c>
      <c r="I1758" s="9" t="s">
        <v>7553</v>
      </c>
      <c r="J1758" s="16" t="s">
        <v>7554</v>
      </c>
      <c r="K1758" s="9"/>
      <c r="L1758" s="9" t="s">
        <v>30</v>
      </c>
      <c r="M1758" s="9" t="s">
        <v>31</v>
      </c>
      <c r="N1758" s="9" t="s">
        <v>32</v>
      </c>
      <c r="O1758" s="12" t="s">
        <v>33</v>
      </c>
      <c r="P1758" s="12" t="s">
        <v>34</v>
      </c>
      <c r="Q1758" s="9"/>
      <c r="R1758" s="18"/>
      <c r="S1758" s="18"/>
      <c r="T1758" s="18"/>
      <c r="U1758" s="18"/>
      <c r="V1758" s="18"/>
      <c r="W1758" s="15"/>
      <c r="X1758" s="15"/>
    </row>
    <row r="1759">
      <c r="A1759" s="7">
        <v>1758.0</v>
      </c>
      <c r="B1759" s="8" t="s">
        <v>7555</v>
      </c>
      <c r="C1759" s="9" t="s">
        <v>7556</v>
      </c>
      <c r="D1759" s="10" t="str">
        <f>HYPERLINK("https://facebook.com/367089020688300_471453283585206", "367089020688300_471453283585206")</f>
        <v>367089020688300_471453283585206</v>
      </c>
      <c r="E1759" s="11">
        <v>330.0</v>
      </c>
      <c r="F1759" s="11">
        <v>17.0</v>
      </c>
      <c r="G1759" s="11">
        <v>520.0</v>
      </c>
      <c r="H1759" s="9" t="s">
        <v>26</v>
      </c>
      <c r="I1759" s="9" t="s">
        <v>5432</v>
      </c>
      <c r="J1759" s="9" t="s">
        <v>5433</v>
      </c>
      <c r="K1759" s="9" t="s">
        <v>7557</v>
      </c>
      <c r="L1759" s="9" t="s">
        <v>30</v>
      </c>
      <c r="M1759" s="9" t="s">
        <v>31</v>
      </c>
      <c r="N1759" s="9" t="s">
        <v>32</v>
      </c>
      <c r="O1759" s="12" t="s">
        <v>33</v>
      </c>
      <c r="P1759" s="12" t="s">
        <v>34</v>
      </c>
      <c r="Q1759" s="9"/>
      <c r="R1759" s="18"/>
      <c r="S1759" s="18"/>
      <c r="T1759" s="18"/>
      <c r="U1759" s="18"/>
      <c r="V1759" s="18"/>
      <c r="W1759" s="15"/>
      <c r="X1759" s="15"/>
    </row>
    <row r="1760">
      <c r="A1760" s="7">
        <v>1759.0</v>
      </c>
      <c r="B1760" s="8" t="s">
        <v>7558</v>
      </c>
      <c r="C1760" s="9" t="s">
        <v>7559</v>
      </c>
      <c r="D1760" s="10" t="str">
        <f>HYPERLINK("https://facebook.com/367089020688300_548902069173660", "367089020688300_548902069173660")</f>
        <v>367089020688300_548902069173660</v>
      </c>
      <c r="E1760" s="11">
        <v>66.0</v>
      </c>
      <c r="F1760" s="11">
        <v>0.0</v>
      </c>
      <c r="G1760" s="11">
        <v>85.0</v>
      </c>
      <c r="H1760" s="9" t="s">
        <v>26</v>
      </c>
      <c r="I1760" s="9" t="s">
        <v>3948</v>
      </c>
      <c r="J1760" s="16" t="s">
        <v>7560</v>
      </c>
      <c r="K1760" s="9"/>
      <c r="L1760" s="9" t="s">
        <v>30</v>
      </c>
      <c r="M1760" s="9" t="s">
        <v>31</v>
      </c>
      <c r="N1760" s="9" t="s">
        <v>32</v>
      </c>
      <c r="O1760" s="12" t="s">
        <v>33</v>
      </c>
      <c r="P1760" s="12" t="s">
        <v>34</v>
      </c>
      <c r="Q1760" s="9"/>
      <c r="R1760" s="18"/>
      <c r="S1760" s="18"/>
      <c r="T1760" s="18"/>
      <c r="U1760" s="18"/>
      <c r="V1760" s="18"/>
      <c r="W1760" s="15"/>
      <c r="X1760" s="15"/>
    </row>
    <row r="1761">
      <c r="A1761" s="7">
        <v>1760.0</v>
      </c>
      <c r="B1761" s="8" t="s">
        <v>7561</v>
      </c>
      <c r="C1761" s="9" t="s">
        <v>7562</v>
      </c>
      <c r="D1761" s="10" t="str">
        <f>HYPERLINK("https://facebook.com/367089020688300_544961442901056", "367089020688300_544961442901056")</f>
        <v>367089020688300_544961442901056</v>
      </c>
      <c r="E1761" s="11">
        <v>255.0</v>
      </c>
      <c r="F1761" s="11">
        <v>1.0</v>
      </c>
      <c r="G1761" s="11">
        <v>335.0</v>
      </c>
      <c r="H1761" s="9" t="s">
        <v>26</v>
      </c>
      <c r="I1761" s="9" t="s">
        <v>7563</v>
      </c>
      <c r="J1761" s="9" t="s">
        <v>7564</v>
      </c>
      <c r="K1761" s="9" t="s">
        <v>7565</v>
      </c>
      <c r="L1761" s="9" t="s">
        <v>30</v>
      </c>
      <c r="M1761" s="9" t="s">
        <v>31</v>
      </c>
      <c r="N1761" s="9" t="s">
        <v>32</v>
      </c>
      <c r="O1761" s="12" t="s">
        <v>33</v>
      </c>
      <c r="P1761" s="12" t="s">
        <v>34</v>
      </c>
      <c r="Q1761" s="9"/>
      <c r="R1761" s="18"/>
      <c r="S1761" s="18"/>
      <c r="T1761" s="18"/>
      <c r="U1761" s="18"/>
      <c r="V1761" s="18"/>
      <c r="W1761" s="15"/>
      <c r="X1761" s="15"/>
    </row>
    <row r="1762">
      <c r="A1762" s="7">
        <v>1761.0</v>
      </c>
      <c r="B1762" s="8" t="s">
        <v>7566</v>
      </c>
      <c r="C1762" s="9" t="s">
        <v>7567</v>
      </c>
      <c r="D1762" s="10" t="str">
        <f>HYPERLINK("https://facebook.com/367089020688300_563079771089223", "367089020688300_563079771089223")</f>
        <v>367089020688300_563079771089223</v>
      </c>
      <c r="E1762" s="11">
        <v>573.0</v>
      </c>
      <c r="F1762" s="11">
        <v>5.0</v>
      </c>
      <c r="G1762" s="11">
        <v>505.0</v>
      </c>
      <c r="H1762" s="9" t="s">
        <v>26</v>
      </c>
      <c r="I1762" s="9" t="s">
        <v>7568</v>
      </c>
      <c r="J1762" s="9" t="s">
        <v>7569</v>
      </c>
      <c r="K1762" s="9" t="s">
        <v>7570</v>
      </c>
      <c r="L1762" s="9" t="s">
        <v>30</v>
      </c>
      <c r="M1762" s="9" t="s">
        <v>31</v>
      </c>
      <c r="N1762" s="9" t="s">
        <v>32</v>
      </c>
      <c r="O1762" s="12" t="s">
        <v>33</v>
      </c>
      <c r="P1762" s="12" t="s">
        <v>34</v>
      </c>
      <c r="Q1762" s="9"/>
      <c r="R1762" s="18"/>
      <c r="S1762" s="18"/>
      <c r="T1762" s="18"/>
      <c r="U1762" s="18"/>
      <c r="V1762" s="18"/>
      <c r="W1762" s="15"/>
      <c r="X1762" s="15"/>
    </row>
    <row r="1763">
      <c r="A1763" s="7">
        <v>1762.0</v>
      </c>
      <c r="B1763" s="8" t="s">
        <v>7571</v>
      </c>
      <c r="C1763" s="9" t="s">
        <v>7572</v>
      </c>
      <c r="D1763" s="10" t="str">
        <f>HYPERLINK("https://facebook.com/367089020688300_534533833943817", "367089020688300_534533833943817")</f>
        <v>367089020688300_534533833943817</v>
      </c>
      <c r="E1763" s="11">
        <v>110.0</v>
      </c>
      <c r="F1763" s="11">
        <v>1.0</v>
      </c>
      <c r="G1763" s="11">
        <v>36.0</v>
      </c>
      <c r="H1763" s="9" t="s">
        <v>26</v>
      </c>
      <c r="I1763" s="9" t="s">
        <v>7573</v>
      </c>
      <c r="J1763" s="16" t="s">
        <v>7574</v>
      </c>
      <c r="K1763" s="9"/>
      <c r="L1763" s="9" t="s">
        <v>30</v>
      </c>
      <c r="M1763" s="9" t="s">
        <v>31</v>
      </c>
      <c r="N1763" s="9" t="s">
        <v>32</v>
      </c>
      <c r="O1763" s="12" t="s">
        <v>33</v>
      </c>
      <c r="P1763" s="12" t="s">
        <v>34</v>
      </c>
      <c r="Q1763" s="9"/>
      <c r="R1763" s="18"/>
      <c r="S1763" s="18"/>
      <c r="T1763" s="18"/>
      <c r="U1763" s="18"/>
      <c r="V1763" s="18"/>
      <c r="W1763" s="15"/>
      <c r="X1763" s="15"/>
    </row>
    <row r="1764">
      <c r="A1764" s="7">
        <v>1763.0</v>
      </c>
      <c r="B1764" s="8" t="s">
        <v>7575</v>
      </c>
      <c r="C1764" s="9" t="s">
        <v>7576</v>
      </c>
      <c r="D1764" s="10" t="str">
        <f>HYPERLINK("https://facebook.com/367089020688300_553411398722727", "367089020688300_553411398722727")</f>
        <v>367089020688300_553411398722727</v>
      </c>
      <c r="E1764" s="11">
        <v>1859.0</v>
      </c>
      <c r="F1764" s="11">
        <v>32.0</v>
      </c>
      <c r="G1764" s="11">
        <v>808.0</v>
      </c>
      <c r="H1764" s="9" t="s">
        <v>26</v>
      </c>
      <c r="I1764" s="9" t="s">
        <v>5753</v>
      </c>
      <c r="J1764" s="9" t="s">
        <v>5754</v>
      </c>
      <c r="K1764" s="9" t="s">
        <v>7577</v>
      </c>
      <c r="L1764" s="9" t="s">
        <v>30</v>
      </c>
      <c r="M1764" s="9" t="s">
        <v>31</v>
      </c>
      <c r="N1764" s="9" t="s">
        <v>32</v>
      </c>
      <c r="O1764" s="12" t="s">
        <v>33</v>
      </c>
      <c r="P1764" s="12" t="s">
        <v>34</v>
      </c>
      <c r="Q1764" s="9"/>
      <c r="R1764" s="18"/>
      <c r="S1764" s="18"/>
      <c r="T1764" s="18"/>
      <c r="U1764" s="18"/>
      <c r="V1764" s="18"/>
      <c r="W1764" s="15"/>
      <c r="X1764" s="15"/>
    </row>
    <row r="1765">
      <c r="A1765" s="7">
        <v>1764.0</v>
      </c>
      <c r="B1765" s="8" t="s">
        <v>7578</v>
      </c>
      <c r="C1765" s="9" t="s">
        <v>7579</v>
      </c>
      <c r="D1765" s="10" t="str">
        <f>HYPERLINK("https://facebook.com/367089020688300_539718520092015", "367089020688300_539718520092015")</f>
        <v>367089020688300_539718520092015</v>
      </c>
      <c r="E1765" s="11">
        <v>40.0</v>
      </c>
      <c r="F1765" s="11">
        <v>1.0</v>
      </c>
      <c r="G1765" s="11">
        <v>13.0</v>
      </c>
      <c r="H1765" s="9" t="s">
        <v>26</v>
      </c>
      <c r="I1765" s="9" t="s">
        <v>7580</v>
      </c>
      <c r="J1765" s="9" t="s">
        <v>7581</v>
      </c>
      <c r="K1765" s="9" t="s">
        <v>7582</v>
      </c>
      <c r="L1765" s="9" t="s">
        <v>30</v>
      </c>
      <c r="M1765" s="9" t="s">
        <v>31</v>
      </c>
      <c r="N1765" s="9" t="s">
        <v>32</v>
      </c>
      <c r="O1765" s="12" t="s">
        <v>33</v>
      </c>
      <c r="P1765" s="12" t="s">
        <v>34</v>
      </c>
      <c r="Q1765" s="9"/>
      <c r="R1765" s="18"/>
      <c r="S1765" s="18"/>
      <c r="T1765" s="18"/>
      <c r="U1765" s="18"/>
      <c r="V1765" s="18"/>
      <c r="W1765" s="15"/>
      <c r="X1765" s="15"/>
    </row>
    <row r="1766">
      <c r="A1766" s="7">
        <v>1765.0</v>
      </c>
      <c r="B1766" s="8" t="s">
        <v>7583</v>
      </c>
      <c r="C1766" s="9" t="s">
        <v>7584</v>
      </c>
      <c r="D1766" s="10" t="str">
        <f>HYPERLINK("https://facebook.com/367089020688300_563234274407106", "367089020688300_563234274407106")</f>
        <v>367089020688300_563234274407106</v>
      </c>
      <c r="E1766" s="11">
        <v>11.0</v>
      </c>
      <c r="F1766" s="11">
        <v>0.0</v>
      </c>
      <c r="G1766" s="11">
        <v>9.0</v>
      </c>
      <c r="H1766" s="9" t="s">
        <v>26</v>
      </c>
      <c r="I1766" s="9" t="s">
        <v>629</v>
      </c>
      <c r="J1766" s="9" t="s">
        <v>7585</v>
      </c>
      <c r="K1766" s="9" t="s">
        <v>363</v>
      </c>
      <c r="L1766" s="9" t="s">
        <v>30</v>
      </c>
      <c r="M1766" s="9" t="s">
        <v>31</v>
      </c>
      <c r="N1766" s="9" t="s">
        <v>32</v>
      </c>
      <c r="O1766" s="12" t="s">
        <v>33</v>
      </c>
      <c r="P1766" s="12" t="s">
        <v>34</v>
      </c>
      <c r="Q1766" s="9"/>
      <c r="R1766" s="18"/>
      <c r="S1766" s="18"/>
      <c r="T1766" s="18"/>
      <c r="U1766" s="18"/>
      <c r="V1766" s="18"/>
      <c r="W1766" s="15"/>
      <c r="X1766" s="15"/>
    </row>
    <row r="1767">
      <c r="A1767" s="7">
        <v>1766.0</v>
      </c>
      <c r="B1767" s="8" t="s">
        <v>7586</v>
      </c>
      <c r="C1767" s="9" t="s">
        <v>7587</v>
      </c>
      <c r="D1767" s="10" t="str">
        <f>HYPERLINK("https://facebook.com/367089020688300_452261085504426", "367089020688300_452261085504426")</f>
        <v>367089020688300_452261085504426</v>
      </c>
      <c r="E1767" s="11">
        <v>1012.0</v>
      </c>
      <c r="F1767" s="11">
        <v>100.0</v>
      </c>
      <c r="G1767" s="11">
        <v>727.0</v>
      </c>
      <c r="H1767" s="9" t="s">
        <v>26</v>
      </c>
      <c r="I1767" s="9" t="s">
        <v>7588</v>
      </c>
      <c r="J1767" s="9" t="s">
        <v>7589</v>
      </c>
      <c r="K1767" s="9" t="s">
        <v>7590</v>
      </c>
      <c r="L1767" s="9" t="s">
        <v>30</v>
      </c>
      <c r="M1767" s="9" t="s">
        <v>31</v>
      </c>
      <c r="N1767" s="9" t="s">
        <v>32</v>
      </c>
      <c r="O1767" s="12" t="s">
        <v>33</v>
      </c>
      <c r="P1767" s="12" t="s">
        <v>34</v>
      </c>
      <c r="Q1767" s="9"/>
      <c r="R1767" s="18"/>
      <c r="S1767" s="18"/>
      <c r="T1767" s="18"/>
      <c r="U1767" s="18"/>
      <c r="V1767" s="18"/>
      <c r="W1767" s="15"/>
      <c r="X1767" s="15"/>
    </row>
    <row r="1768">
      <c r="A1768" s="7">
        <v>1767.0</v>
      </c>
      <c r="B1768" s="8" t="s">
        <v>7591</v>
      </c>
      <c r="C1768" s="9" t="s">
        <v>7592</v>
      </c>
      <c r="D1768" s="10" t="str">
        <f>HYPERLINK("https://facebook.com/367089020688300_455039125226622", "367089020688300_455039125226622")</f>
        <v>367089020688300_455039125226622</v>
      </c>
      <c r="E1768" s="11">
        <v>436.0</v>
      </c>
      <c r="F1768" s="11">
        <v>5.0</v>
      </c>
      <c r="G1768" s="11">
        <v>326.0</v>
      </c>
      <c r="H1768" s="9" t="s">
        <v>26</v>
      </c>
      <c r="I1768" s="9" t="s">
        <v>7593</v>
      </c>
      <c r="J1768" s="9" t="s">
        <v>7594</v>
      </c>
      <c r="K1768" s="9" t="s">
        <v>7595</v>
      </c>
      <c r="L1768" s="9" t="s">
        <v>30</v>
      </c>
      <c r="M1768" s="9" t="s">
        <v>31</v>
      </c>
      <c r="N1768" s="9" t="s">
        <v>32</v>
      </c>
      <c r="O1768" s="12" t="s">
        <v>33</v>
      </c>
      <c r="P1768" s="12" t="s">
        <v>34</v>
      </c>
      <c r="Q1768" s="9"/>
      <c r="R1768" s="18"/>
      <c r="S1768" s="18"/>
      <c r="T1768" s="18"/>
      <c r="U1768" s="18"/>
      <c r="V1768" s="18"/>
      <c r="W1768" s="15"/>
      <c r="X1768" s="15"/>
    </row>
    <row r="1769">
      <c r="A1769" s="7">
        <v>1768.0</v>
      </c>
      <c r="B1769" s="8" t="s">
        <v>7596</v>
      </c>
      <c r="C1769" s="9" t="s">
        <v>7597</v>
      </c>
      <c r="D1769" s="10" t="str">
        <f>HYPERLINK("https://facebook.com/367089020688300_453267615403773", "367089020688300_453267615403773")</f>
        <v>367089020688300_453267615403773</v>
      </c>
      <c r="E1769" s="11">
        <v>49.0</v>
      </c>
      <c r="F1769" s="11">
        <v>0.0</v>
      </c>
      <c r="G1769" s="11">
        <v>110.0</v>
      </c>
      <c r="H1769" s="9" t="s">
        <v>26</v>
      </c>
      <c r="I1769" s="9" t="s">
        <v>7598</v>
      </c>
      <c r="J1769" s="9" t="s">
        <v>7599</v>
      </c>
      <c r="K1769" s="9" t="s">
        <v>219</v>
      </c>
      <c r="L1769" s="9" t="s">
        <v>30</v>
      </c>
      <c r="M1769" s="9" t="s">
        <v>31</v>
      </c>
      <c r="N1769" s="9" t="s">
        <v>32</v>
      </c>
      <c r="O1769" s="12" t="s">
        <v>33</v>
      </c>
      <c r="P1769" s="12" t="s">
        <v>34</v>
      </c>
      <c r="Q1769" s="9"/>
      <c r="R1769" s="18"/>
      <c r="S1769" s="18"/>
      <c r="T1769" s="18"/>
      <c r="U1769" s="18"/>
      <c r="V1769" s="18"/>
      <c r="W1769" s="15"/>
      <c r="X1769" s="15"/>
    </row>
    <row r="1770">
      <c r="A1770" s="7">
        <v>1769.0</v>
      </c>
      <c r="B1770" s="8" t="s">
        <v>7600</v>
      </c>
      <c r="C1770" s="9" t="s">
        <v>7601</v>
      </c>
      <c r="D1770" s="10" t="str">
        <f>HYPERLINK("https://facebook.com/367089020688300_539947910069076", "367089020688300_539947910069076")</f>
        <v>367089020688300_539947910069076</v>
      </c>
      <c r="E1770" s="11">
        <v>493.0</v>
      </c>
      <c r="F1770" s="11">
        <v>3.0</v>
      </c>
      <c r="G1770" s="11">
        <v>470.0</v>
      </c>
      <c r="H1770" s="9" t="s">
        <v>26</v>
      </c>
      <c r="I1770" s="9" t="s">
        <v>7602</v>
      </c>
      <c r="J1770" s="9" t="s">
        <v>7603</v>
      </c>
      <c r="K1770" s="9" t="s">
        <v>7604</v>
      </c>
      <c r="L1770" s="9" t="s">
        <v>30</v>
      </c>
      <c r="M1770" s="9" t="s">
        <v>31</v>
      </c>
      <c r="N1770" s="9" t="s">
        <v>32</v>
      </c>
      <c r="O1770" s="12" t="s">
        <v>33</v>
      </c>
      <c r="P1770" s="12" t="s">
        <v>34</v>
      </c>
      <c r="Q1770" s="9"/>
      <c r="R1770" s="18"/>
      <c r="S1770" s="18"/>
      <c r="T1770" s="18"/>
      <c r="U1770" s="18"/>
      <c r="V1770" s="18"/>
      <c r="W1770" s="15"/>
      <c r="X1770" s="15"/>
    </row>
    <row r="1771">
      <c r="A1771" s="7">
        <v>1770.0</v>
      </c>
      <c r="B1771" s="8" t="s">
        <v>7605</v>
      </c>
      <c r="C1771" s="9" t="s">
        <v>7606</v>
      </c>
      <c r="D1771" s="10" t="str">
        <f>HYPERLINK("https://facebook.com/367089020688300_562646841132516", "367089020688300_562646841132516")</f>
        <v>367089020688300_562646841132516</v>
      </c>
      <c r="E1771" s="11">
        <v>8.0</v>
      </c>
      <c r="F1771" s="11">
        <v>0.0</v>
      </c>
      <c r="G1771" s="11">
        <v>3.0</v>
      </c>
      <c r="H1771" s="9" t="s">
        <v>26</v>
      </c>
      <c r="I1771" s="9" t="s">
        <v>7607</v>
      </c>
      <c r="J1771" s="16" t="s">
        <v>7608</v>
      </c>
      <c r="K1771" s="9"/>
      <c r="L1771" s="9" t="s">
        <v>30</v>
      </c>
      <c r="M1771" s="9" t="s">
        <v>31</v>
      </c>
      <c r="N1771" s="9" t="s">
        <v>32</v>
      </c>
      <c r="O1771" s="12" t="s">
        <v>33</v>
      </c>
      <c r="P1771" s="12" t="s">
        <v>34</v>
      </c>
      <c r="Q1771" s="9"/>
      <c r="R1771" s="18"/>
      <c r="S1771" s="18"/>
      <c r="T1771" s="18"/>
      <c r="U1771" s="18"/>
      <c r="V1771" s="18"/>
      <c r="W1771" s="15"/>
      <c r="X1771" s="15"/>
    </row>
    <row r="1772">
      <c r="A1772" s="7">
        <v>1771.0</v>
      </c>
      <c r="B1772" s="8" t="s">
        <v>7609</v>
      </c>
      <c r="C1772" s="9" t="s">
        <v>7610</v>
      </c>
      <c r="D1772" s="10" t="str">
        <f>HYPERLINK("https://facebook.com/367089020688300_515973402466527", "367089020688300_515973402466527")</f>
        <v>367089020688300_515973402466527</v>
      </c>
      <c r="E1772" s="11">
        <v>769.0</v>
      </c>
      <c r="F1772" s="11">
        <v>27.0</v>
      </c>
      <c r="G1772" s="11">
        <v>542.0</v>
      </c>
      <c r="H1772" s="9" t="s">
        <v>26</v>
      </c>
      <c r="I1772" s="9" t="s">
        <v>7611</v>
      </c>
      <c r="J1772" s="16" t="s">
        <v>7612</v>
      </c>
      <c r="K1772" s="9"/>
      <c r="L1772" s="9" t="s">
        <v>30</v>
      </c>
      <c r="M1772" s="9" t="s">
        <v>31</v>
      </c>
      <c r="N1772" s="9" t="s">
        <v>32</v>
      </c>
      <c r="O1772" s="12" t="s">
        <v>33</v>
      </c>
      <c r="P1772" s="12" t="s">
        <v>34</v>
      </c>
      <c r="Q1772" s="9"/>
      <c r="R1772" s="18"/>
      <c r="S1772" s="18"/>
      <c r="T1772" s="18"/>
      <c r="U1772" s="18"/>
      <c r="V1772" s="18"/>
      <c r="W1772" s="15"/>
      <c r="X1772" s="15"/>
    </row>
    <row r="1773">
      <c r="A1773" s="7">
        <v>1772.0</v>
      </c>
      <c r="B1773" s="8" t="s">
        <v>7613</v>
      </c>
      <c r="C1773" s="9" t="s">
        <v>7614</v>
      </c>
      <c r="D1773" s="10" t="str">
        <f>HYPERLINK("https://facebook.com/367089020688300_537284537002080", "367089020688300_537284537002080")</f>
        <v>367089020688300_537284537002080</v>
      </c>
      <c r="E1773" s="11">
        <v>27.0</v>
      </c>
      <c r="F1773" s="11">
        <v>1.0</v>
      </c>
      <c r="G1773" s="11">
        <v>18.0</v>
      </c>
      <c r="H1773" s="9" t="s">
        <v>26</v>
      </c>
      <c r="I1773" s="9" t="s">
        <v>7615</v>
      </c>
      <c r="J1773" s="9" t="s">
        <v>7616</v>
      </c>
      <c r="K1773" s="9" t="s">
        <v>249</v>
      </c>
      <c r="L1773" s="9" t="s">
        <v>30</v>
      </c>
      <c r="M1773" s="9" t="s">
        <v>31</v>
      </c>
      <c r="N1773" s="9" t="s">
        <v>32</v>
      </c>
      <c r="O1773" s="12" t="s">
        <v>33</v>
      </c>
      <c r="P1773" s="12" t="s">
        <v>34</v>
      </c>
      <c r="Q1773" s="9"/>
      <c r="R1773" s="18"/>
      <c r="S1773" s="18"/>
      <c r="T1773" s="18"/>
      <c r="U1773" s="18"/>
      <c r="V1773" s="18"/>
      <c r="W1773" s="15"/>
      <c r="X1773" s="15"/>
    </row>
    <row r="1774">
      <c r="A1774" s="7">
        <v>1773.0</v>
      </c>
      <c r="B1774" s="8" t="s">
        <v>7617</v>
      </c>
      <c r="C1774" s="9" t="s">
        <v>7618</v>
      </c>
      <c r="D1774" s="10" t="str">
        <f>HYPERLINK("https://facebook.com/367089020688300_533376654059535", "367089020688300_533376654059535")</f>
        <v>367089020688300_533376654059535</v>
      </c>
      <c r="E1774" s="11">
        <v>77.0</v>
      </c>
      <c r="F1774" s="11">
        <v>0.0</v>
      </c>
      <c r="G1774" s="11">
        <v>76.0</v>
      </c>
      <c r="H1774" s="9" t="s">
        <v>26</v>
      </c>
      <c r="I1774" s="9" t="s">
        <v>7619</v>
      </c>
      <c r="J1774" s="16" t="s">
        <v>7620</v>
      </c>
      <c r="K1774" s="9"/>
      <c r="L1774" s="9" t="s">
        <v>30</v>
      </c>
      <c r="M1774" s="9" t="s">
        <v>31</v>
      </c>
      <c r="N1774" s="9" t="s">
        <v>32</v>
      </c>
      <c r="O1774" s="12" t="s">
        <v>33</v>
      </c>
      <c r="P1774" s="12" t="s">
        <v>34</v>
      </c>
      <c r="Q1774" s="9"/>
      <c r="R1774" s="18"/>
      <c r="S1774" s="18"/>
      <c r="T1774" s="18"/>
      <c r="U1774" s="18"/>
      <c r="V1774" s="18"/>
      <c r="W1774" s="15"/>
      <c r="X1774" s="15"/>
    </row>
    <row r="1775">
      <c r="A1775" s="7">
        <v>1774.0</v>
      </c>
      <c r="B1775" s="8" t="s">
        <v>7621</v>
      </c>
      <c r="C1775" s="9" t="s">
        <v>7622</v>
      </c>
      <c r="D1775" s="10" t="str">
        <f>HYPERLINK("https://facebook.com/367089020688300_559398018124065", "367089020688300_559398018124065")</f>
        <v>367089020688300_559398018124065</v>
      </c>
      <c r="E1775" s="11">
        <v>9.0</v>
      </c>
      <c r="F1775" s="11">
        <v>1.0</v>
      </c>
      <c r="G1775" s="11">
        <v>11.0</v>
      </c>
      <c r="H1775" s="9" t="s">
        <v>26</v>
      </c>
      <c r="I1775" s="9" t="s">
        <v>7623</v>
      </c>
      <c r="J1775" s="16" t="s">
        <v>7624</v>
      </c>
      <c r="K1775" s="9"/>
      <c r="L1775" s="9" t="s">
        <v>30</v>
      </c>
      <c r="M1775" s="9" t="s">
        <v>31</v>
      </c>
      <c r="N1775" s="9" t="s">
        <v>32</v>
      </c>
      <c r="O1775" s="12" t="s">
        <v>33</v>
      </c>
      <c r="P1775" s="12" t="s">
        <v>34</v>
      </c>
      <c r="Q1775" s="9"/>
      <c r="R1775" s="18"/>
      <c r="S1775" s="18"/>
      <c r="T1775" s="18"/>
      <c r="U1775" s="18"/>
      <c r="V1775" s="18"/>
      <c r="W1775" s="15"/>
      <c r="X1775" s="15"/>
    </row>
    <row r="1776">
      <c r="A1776" s="7">
        <v>1775.0</v>
      </c>
      <c r="B1776" s="8" t="s">
        <v>7625</v>
      </c>
      <c r="C1776" s="9" t="s">
        <v>7626</v>
      </c>
      <c r="D1776" s="10" t="str">
        <f>HYPERLINK("https://facebook.com/367089020688300_510908589639675", "367089020688300_510908589639675")</f>
        <v>367089020688300_510908589639675</v>
      </c>
      <c r="E1776" s="11">
        <v>222.0</v>
      </c>
      <c r="F1776" s="11">
        <v>2.0</v>
      </c>
      <c r="G1776" s="11">
        <v>286.0</v>
      </c>
      <c r="H1776" s="9" t="s">
        <v>26</v>
      </c>
      <c r="I1776" s="9" t="s">
        <v>2243</v>
      </c>
      <c r="J1776" s="16" t="s">
        <v>7627</v>
      </c>
      <c r="K1776" s="9"/>
      <c r="L1776" s="9" t="s">
        <v>30</v>
      </c>
      <c r="M1776" s="9" t="s">
        <v>31</v>
      </c>
      <c r="N1776" s="9" t="s">
        <v>32</v>
      </c>
      <c r="O1776" s="12" t="s">
        <v>33</v>
      </c>
      <c r="P1776" s="12" t="s">
        <v>34</v>
      </c>
      <c r="Q1776" s="9"/>
      <c r="R1776" s="18"/>
      <c r="S1776" s="18"/>
      <c r="T1776" s="18"/>
      <c r="U1776" s="18"/>
      <c r="V1776" s="18"/>
      <c r="W1776" s="15"/>
      <c r="X1776" s="15"/>
    </row>
    <row r="1777">
      <c r="A1777" s="7">
        <v>1776.0</v>
      </c>
      <c r="B1777" s="8" t="s">
        <v>7628</v>
      </c>
      <c r="C1777" s="9" t="s">
        <v>7629</v>
      </c>
      <c r="D1777" s="10" t="str">
        <f>HYPERLINK("https://facebook.com/367089020688300_560601198003747", "367089020688300_560601198003747")</f>
        <v>367089020688300_560601198003747</v>
      </c>
      <c r="E1777" s="11">
        <v>633.0</v>
      </c>
      <c r="F1777" s="11">
        <v>2.0</v>
      </c>
      <c r="G1777" s="11">
        <v>134.0</v>
      </c>
      <c r="H1777" s="9" t="s">
        <v>26</v>
      </c>
      <c r="I1777" s="9" t="s">
        <v>7630</v>
      </c>
      <c r="J1777" s="9" t="s">
        <v>7631</v>
      </c>
      <c r="K1777" s="9" t="s">
        <v>7632</v>
      </c>
      <c r="L1777" s="9" t="s">
        <v>30</v>
      </c>
      <c r="M1777" s="9" t="s">
        <v>31</v>
      </c>
      <c r="N1777" s="9" t="s">
        <v>32</v>
      </c>
      <c r="O1777" s="12" t="s">
        <v>33</v>
      </c>
      <c r="P1777" s="12" t="s">
        <v>34</v>
      </c>
      <c r="Q1777" s="9"/>
      <c r="R1777" s="18"/>
      <c r="S1777" s="18"/>
      <c r="T1777" s="18"/>
      <c r="U1777" s="18"/>
      <c r="V1777" s="18"/>
      <c r="W1777" s="15"/>
      <c r="X1777" s="15"/>
    </row>
    <row r="1778">
      <c r="A1778" s="7">
        <v>1777.0</v>
      </c>
      <c r="B1778" s="8" t="s">
        <v>7633</v>
      </c>
      <c r="C1778" s="9" t="s">
        <v>7634</v>
      </c>
      <c r="D1778" s="10" t="str">
        <f>HYPERLINK("https://facebook.com/367089020688300_546324019431465", "367089020688300_546324019431465")</f>
        <v>367089020688300_546324019431465</v>
      </c>
      <c r="E1778" s="11">
        <v>318.0</v>
      </c>
      <c r="F1778" s="11">
        <v>14.0</v>
      </c>
      <c r="G1778" s="11">
        <v>173.0</v>
      </c>
      <c r="H1778" s="9" t="s">
        <v>26</v>
      </c>
      <c r="I1778" s="9" t="s">
        <v>7635</v>
      </c>
      <c r="J1778" s="16" t="s">
        <v>7636</v>
      </c>
      <c r="K1778" s="9"/>
      <c r="L1778" s="9" t="s">
        <v>30</v>
      </c>
      <c r="M1778" s="9" t="s">
        <v>31</v>
      </c>
      <c r="N1778" s="9" t="s">
        <v>32</v>
      </c>
      <c r="O1778" s="12" t="s">
        <v>33</v>
      </c>
      <c r="P1778" s="12" t="s">
        <v>34</v>
      </c>
      <c r="Q1778" s="9"/>
      <c r="R1778" s="18"/>
      <c r="S1778" s="18"/>
      <c r="T1778" s="18"/>
      <c r="U1778" s="18"/>
      <c r="V1778" s="18"/>
      <c r="W1778" s="15"/>
      <c r="X1778" s="15"/>
    </row>
    <row r="1779">
      <c r="A1779" s="7">
        <v>1778.0</v>
      </c>
      <c r="B1779" s="8" t="s">
        <v>7637</v>
      </c>
      <c r="C1779" s="9" t="s">
        <v>7638</v>
      </c>
      <c r="D1779" s="10" t="str">
        <f>HYPERLINK("https://facebook.com/367089020688300_461389531258248", "367089020688300_461389531258248")</f>
        <v>367089020688300_461389531258248</v>
      </c>
      <c r="E1779" s="11">
        <v>275.0</v>
      </c>
      <c r="F1779" s="11">
        <v>11.0</v>
      </c>
      <c r="G1779" s="11">
        <v>234.0</v>
      </c>
      <c r="H1779" s="9" t="s">
        <v>26</v>
      </c>
      <c r="I1779" s="9" t="s">
        <v>7639</v>
      </c>
      <c r="J1779" s="9" t="s">
        <v>7640</v>
      </c>
      <c r="K1779" s="9" t="s">
        <v>7641</v>
      </c>
      <c r="L1779" s="9" t="s">
        <v>30</v>
      </c>
      <c r="M1779" s="9" t="s">
        <v>31</v>
      </c>
      <c r="N1779" s="9" t="s">
        <v>32</v>
      </c>
      <c r="O1779" s="12" t="s">
        <v>33</v>
      </c>
      <c r="P1779" s="12" t="s">
        <v>34</v>
      </c>
      <c r="Q1779" s="9"/>
      <c r="R1779" s="18"/>
      <c r="S1779" s="18"/>
      <c r="T1779" s="18"/>
      <c r="U1779" s="18"/>
      <c r="V1779" s="18"/>
      <c r="W1779" s="15"/>
      <c r="X1779" s="15"/>
    </row>
    <row r="1780">
      <c r="A1780" s="7">
        <v>1779.0</v>
      </c>
      <c r="B1780" s="8" t="s">
        <v>7642</v>
      </c>
      <c r="C1780" s="9" t="s">
        <v>7643</v>
      </c>
      <c r="D1780" s="10" t="str">
        <f>HYPERLINK("https://facebook.com/367089020688300_538748083522392", "367089020688300_538748083522392")</f>
        <v>367089020688300_538748083522392</v>
      </c>
      <c r="E1780" s="11">
        <v>7.0</v>
      </c>
      <c r="F1780" s="11">
        <v>0.0</v>
      </c>
      <c r="G1780" s="11">
        <v>11.0</v>
      </c>
      <c r="H1780" s="9" t="s">
        <v>26</v>
      </c>
      <c r="I1780" s="9" t="s">
        <v>7644</v>
      </c>
      <c r="J1780" s="16" t="s">
        <v>7645</v>
      </c>
      <c r="K1780" s="9"/>
      <c r="L1780" s="9" t="s">
        <v>30</v>
      </c>
      <c r="M1780" s="9" t="s">
        <v>31</v>
      </c>
      <c r="N1780" s="9" t="s">
        <v>32</v>
      </c>
      <c r="O1780" s="12" t="s">
        <v>33</v>
      </c>
      <c r="P1780" s="12" t="s">
        <v>34</v>
      </c>
      <c r="Q1780" s="9"/>
      <c r="R1780" s="18"/>
      <c r="S1780" s="18"/>
      <c r="T1780" s="18"/>
      <c r="U1780" s="18"/>
      <c r="V1780" s="18"/>
      <c r="W1780" s="15"/>
      <c r="X1780" s="15"/>
    </row>
    <row r="1781">
      <c r="A1781" s="7">
        <v>1780.0</v>
      </c>
      <c r="B1781" s="8" t="s">
        <v>7646</v>
      </c>
      <c r="C1781" s="9" t="s">
        <v>7647</v>
      </c>
      <c r="D1781" s="10" t="str">
        <f>HYPERLINK("https://facebook.com/367089020688300_553370402060160", "367089020688300_553370402060160")</f>
        <v>367089020688300_553370402060160</v>
      </c>
      <c r="E1781" s="11">
        <v>13.0</v>
      </c>
      <c r="F1781" s="11">
        <v>0.0</v>
      </c>
      <c r="G1781" s="11">
        <v>0.0</v>
      </c>
      <c r="H1781" s="9" t="s">
        <v>26</v>
      </c>
      <c r="I1781" s="9" t="s">
        <v>7648</v>
      </c>
      <c r="J1781" s="9" t="s">
        <v>7649</v>
      </c>
      <c r="K1781" s="9" t="s">
        <v>7650</v>
      </c>
      <c r="L1781" s="9" t="s">
        <v>30</v>
      </c>
      <c r="M1781" s="9" t="s">
        <v>31</v>
      </c>
      <c r="N1781" s="9" t="s">
        <v>32</v>
      </c>
      <c r="O1781" s="12" t="s">
        <v>33</v>
      </c>
      <c r="P1781" s="12" t="s">
        <v>34</v>
      </c>
      <c r="Q1781" s="9"/>
      <c r="R1781" s="18"/>
      <c r="S1781" s="18"/>
      <c r="T1781" s="18"/>
      <c r="U1781" s="18"/>
      <c r="V1781" s="18"/>
      <c r="W1781" s="15"/>
      <c r="X1781" s="15"/>
    </row>
    <row r="1782">
      <c r="A1782" s="7">
        <v>1781.0</v>
      </c>
      <c r="B1782" s="8" t="s">
        <v>7651</v>
      </c>
      <c r="C1782" s="9" t="s">
        <v>7652</v>
      </c>
      <c r="D1782" s="10" t="str">
        <f>HYPERLINK("https://facebook.com/367089020688300_550722975658236", "367089020688300_550722975658236")</f>
        <v>367089020688300_550722975658236</v>
      </c>
      <c r="E1782" s="11">
        <v>8.0</v>
      </c>
      <c r="F1782" s="11">
        <v>0.0</v>
      </c>
      <c r="G1782" s="11">
        <v>3.0</v>
      </c>
      <c r="H1782" s="9" t="s">
        <v>26</v>
      </c>
      <c r="I1782" s="9" t="s">
        <v>7653</v>
      </c>
      <c r="J1782" s="16" t="s">
        <v>7654</v>
      </c>
      <c r="K1782" s="9"/>
      <c r="L1782" s="9" t="s">
        <v>30</v>
      </c>
      <c r="M1782" s="9" t="s">
        <v>31</v>
      </c>
      <c r="N1782" s="9" t="s">
        <v>32</v>
      </c>
      <c r="O1782" s="12" t="s">
        <v>33</v>
      </c>
      <c r="P1782" s="12" t="s">
        <v>34</v>
      </c>
      <c r="Q1782" s="9"/>
      <c r="R1782" s="18"/>
      <c r="S1782" s="18"/>
      <c r="T1782" s="18"/>
      <c r="U1782" s="18"/>
      <c r="V1782" s="18"/>
      <c r="W1782" s="15"/>
      <c r="X1782" s="15"/>
    </row>
    <row r="1783">
      <c r="A1783" s="7">
        <v>1782.0</v>
      </c>
      <c r="B1783" s="8" t="s">
        <v>7655</v>
      </c>
      <c r="C1783" s="9" t="s">
        <v>7656</v>
      </c>
      <c r="D1783" s="10" t="str">
        <f>HYPERLINK("https://facebook.com/367089020688300_537421713655029", "367089020688300_537421713655029")</f>
        <v>367089020688300_537421713655029</v>
      </c>
      <c r="E1783" s="11">
        <v>35.0</v>
      </c>
      <c r="F1783" s="11">
        <v>0.0</v>
      </c>
      <c r="G1783" s="11">
        <v>14.0</v>
      </c>
      <c r="H1783" s="9" t="s">
        <v>26</v>
      </c>
      <c r="I1783" s="9" t="s">
        <v>7657</v>
      </c>
      <c r="J1783" s="9" t="s">
        <v>7658</v>
      </c>
      <c r="K1783" s="9" t="s">
        <v>7659</v>
      </c>
      <c r="L1783" s="9" t="s">
        <v>30</v>
      </c>
      <c r="M1783" s="9" t="s">
        <v>31</v>
      </c>
      <c r="N1783" s="9" t="s">
        <v>32</v>
      </c>
      <c r="O1783" s="12" t="s">
        <v>33</v>
      </c>
      <c r="P1783" s="12" t="s">
        <v>34</v>
      </c>
      <c r="Q1783" s="9"/>
      <c r="R1783" s="18"/>
      <c r="S1783" s="18"/>
      <c r="T1783" s="18"/>
      <c r="U1783" s="18"/>
      <c r="V1783" s="18"/>
      <c r="W1783" s="15"/>
      <c r="X1783" s="15"/>
    </row>
    <row r="1784">
      <c r="A1784" s="7">
        <v>1783.0</v>
      </c>
      <c r="B1784" s="8" t="s">
        <v>7660</v>
      </c>
      <c r="C1784" s="9" t="s">
        <v>7661</v>
      </c>
      <c r="D1784" s="10" t="str">
        <f>HYPERLINK("https://facebook.com/367089020688300_561993657864501", "367089020688300_561993657864501")</f>
        <v>367089020688300_561993657864501</v>
      </c>
      <c r="E1784" s="11">
        <v>413.0</v>
      </c>
      <c r="F1784" s="11">
        <v>2.0</v>
      </c>
      <c r="G1784" s="11">
        <v>28.0</v>
      </c>
      <c r="H1784" s="9" t="s">
        <v>26</v>
      </c>
      <c r="I1784" s="9" t="s">
        <v>993</v>
      </c>
      <c r="J1784" s="9" t="s">
        <v>994</v>
      </c>
      <c r="K1784" s="9" t="s">
        <v>1214</v>
      </c>
      <c r="L1784" s="9" t="s">
        <v>30</v>
      </c>
      <c r="M1784" s="9" t="s">
        <v>31</v>
      </c>
      <c r="N1784" s="9" t="s">
        <v>32</v>
      </c>
      <c r="O1784" s="12" t="s">
        <v>33</v>
      </c>
      <c r="P1784" s="12" t="s">
        <v>34</v>
      </c>
      <c r="Q1784" s="9"/>
      <c r="R1784" s="18"/>
      <c r="S1784" s="18"/>
      <c r="T1784" s="18"/>
      <c r="U1784" s="18"/>
      <c r="V1784" s="18"/>
      <c r="W1784" s="15"/>
      <c r="X1784" s="15"/>
    </row>
    <row r="1785">
      <c r="A1785" s="7">
        <v>1784.0</v>
      </c>
      <c r="B1785" s="8" t="s">
        <v>7662</v>
      </c>
      <c r="C1785" s="9" t="s">
        <v>7663</v>
      </c>
      <c r="D1785" s="10" t="str">
        <f>HYPERLINK("https://facebook.com/367089020688300_493382968058904", "367089020688300_493382968058904")</f>
        <v>367089020688300_493382968058904</v>
      </c>
      <c r="E1785" s="11">
        <v>198.0</v>
      </c>
      <c r="F1785" s="11">
        <v>6.0</v>
      </c>
      <c r="G1785" s="11">
        <v>189.0</v>
      </c>
      <c r="H1785" s="9" t="s">
        <v>26</v>
      </c>
      <c r="I1785" s="9" t="s">
        <v>3172</v>
      </c>
      <c r="J1785" s="9" t="s">
        <v>3173</v>
      </c>
      <c r="K1785" s="9" t="s">
        <v>7664</v>
      </c>
      <c r="L1785" s="9" t="s">
        <v>30</v>
      </c>
      <c r="M1785" s="9" t="s">
        <v>31</v>
      </c>
      <c r="N1785" s="9" t="s">
        <v>32</v>
      </c>
      <c r="O1785" s="12" t="s">
        <v>33</v>
      </c>
      <c r="P1785" s="12" t="s">
        <v>34</v>
      </c>
      <c r="Q1785" s="9"/>
      <c r="R1785" s="18"/>
      <c r="S1785" s="18"/>
      <c r="T1785" s="18"/>
      <c r="U1785" s="18"/>
      <c r="V1785" s="18"/>
      <c r="W1785" s="15"/>
      <c r="X1785" s="15"/>
    </row>
    <row r="1786">
      <c r="A1786" s="7">
        <v>1785.0</v>
      </c>
      <c r="B1786" s="8" t="s">
        <v>7665</v>
      </c>
      <c r="C1786" s="9" t="s">
        <v>7666</v>
      </c>
      <c r="D1786" s="10" t="str">
        <f>HYPERLINK("https://facebook.com/367089020688300_445467746183760", "367089020688300_445467746183760")</f>
        <v>367089020688300_445467746183760</v>
      </c>
      <c r="E1786" s="11">
        <v>653.0</v>
      </c>
      <c r="F1786" s="11">
        <v>12.0</v>
      </c>
      <c r="G1786" s="11">
        <v>1028.0</v>
      </c>
      <c r="H1786" s="9" t="s">
        <v>26</v>
      </c>
      <c r="I1786" s="9" t="s">
        <v>7667</v>
      </c>
      <c r="J1786" s="16" t="s">
        <v>7668</v>
      </c>
      <c r="K1786" s="9"/>
      <c r="L1786" s="9" t="s">
        <v>30</v>
      </c>
      <c r="M1786" s="9" t="s">
        <v>31</v>
      </c>
      <c r="N1786" s="9" t="s">
        <v>32</v>
      </c>
      <c r="O1786" s="12" t="s">
        <v>33</v>
      </c>
      <c r="P1786" s="12" t="s">
        <v>34</v>
      </c>
      <c r="Q1786" s="9"/>
      <c r="R1786" s="18"/>
      <c r="S1786" s="18"/>
      <c r="T1786" s="18"/>
      <c r="U1786" s="18"/>
      <c r="V1786" s="18"/>
      <c r="W1786" s="15"/>
      <c r="X1786" s="15"/>
    </row>
    <row r="1787">
      <c r="A1787" s="7">
        <v>1786.0</v>
      </c>
      <c r="B1787" s="8" t="s">
        <v>7669</v>
      </c>
      <c r="C1787" s="9" t="s">
        <v>7670</v>
      </c>
      <c r="D1787" s="10" t="str">
        <f>HYPERLINK("https://facebook.com/367089020688300_397943824269486", "367089020688300_397943824269486")</f>
        <v>367089020688300_397943824269486</v>
      </c>
      <c r="E1787" s="11">
        <v>74.0</v>
      </c>
      <c r="F1787" s="11">
        <v>12.0</v>
      </c>
      <c r="G1787" s="11">
        <v>72.0</v>
      </c>
      <c r="H1787" s="9" t="s">
        <v>26</v>
      </c>
      <c r="I1787" s="9" t="s">
        <v>7671</v>
      </c>
      <c r="J1787" s="9" t="s">
        <v>7672</v>
      </c>
      <c r="K1787" s="9" t="s">
        <v>7673</v>
      </c>
      <c r="L1787" s="9" t="s">
        <v>30</v>
      </c>
      <c r="M1787" s="9" t="s">
        <v>31</v>
      </c>
      <c r="N1787" s="9" t="s">
        <v>32</v>
      </c>
      <c r="O1787" s="12" t="s">
        <v>33</v>
      </c>
      <c r="P1787" s="12" t="s">
        <v>34</v>
      </c>
      <c r="Q1787" s="9"/>
      <c r="R1787" s="18"/>
      <c r="S1787" s="18"/>
      <c r="T1787" s="18"/>
      <c r="U1787" s="18"/>
      <c r="V1787" s="18"/>
      <c r="W1787" s="15"/>
      <c r="X1787" s="15"/>
    </row>
    <row r="1788">
      <c r="A1788" s="7">
        <v>1787.0</v>
      </c>
      <c r="B1788" s="8" t="s">
        <v>7674</v>
      </c>
      <c r="C1788" s="9" t="s">
        <v>7675</v>
      </c>
      <c r="D1788" s="10" t="str">
        <f>HYPERLINK("https://facebook.com/367089020688300_557782228285644", "367089020688300_557782228285644")</f>
        <v>367089020688300_557782228285644</v>
      </c>
      <c r="E1788" s="11">
        <v>220.0</v>
      </c>
      <c r="F1788" s="11">
        <v>1.0</v>
      </c>
      <c r="G1788" s="11">
        <v>217.0</v>
      </c>
      <c r="H1788" s="9" t="s">
        <v>26</v>
      </c>
      <c r="I1788" s="9" t="s">
        <v>7676</v>
      </c>
      <c r="J1788" s="16" t="s">
        <v>7677</v>
      </c>
      <c r="K1788" s="9"/>
      <c r="L1788" s="9" t="s">
        <v>30</v>
      </c>
      <c r="M1788" s="9" t="s">
        <v>31</v>
      </c>
      <c r="N1788" s="9" t="s">
        <v>32</v>
      </c>
      <c r="O1788" s="12" t="s">
        <v>33</v>
      </c>
      <c r="P1788" s="12" t="s">
        <v>34</v>
      </c>
      <c r="Q1788" s="9"/>
      <c r="R1788" s="18"/>
      <c r="S1788" s="18"/>
      <c r="T1788" s="18"/>
      <c r="U1788" s="18"/>
      <c r="V1788" s="18"/>
      <c r="W1788" s="15"/>
      <c r="X1788" s="15"/>
    </row>
    <row r="1789">
      <c r="A1789" s="7">
        <v>1788.0</v>
      </c>
      <c r="B1789" s="8" t="s">
        <v>7678</v>
      </c>
      <c r="C1789" s="9" t="s">
        <v>7679</v>
      </c>
      <c r="D1789" s="10" t="str">
        <f>HYPERLINK("https://facebook.com/367089020688300_497511490979385", "367089020688300_497511490979385")</f>
        <v>367089020688300_497511490979385</v>
      </c>
      <c r="E1789" s="11">
        <v>122.0</v>
      </c>
      <c r="F1789" s="11">
        <v>2.0</v>
      </c>
      <c r="G1789" s="11">
        <v>172.0</v>
      </c>
      <c r="H1789" s="9" t="s">
        <v>26</v>
      </c>
      <c r="I1789" s="9" t="s">
        <v>7680</v>
      </c>
      <c r="J1789" s="9" t="s">
        <v>7681</v>
      </c>
      <c r="K1789" s="9" t="s">
        <v>7682</v>
      </c>
      <c r="L1789" s="9" t="s">
        <v>30</v>
      </c>
      <c r="M1789" s="9" t="s">
        <v>31</v>
      </c>
      <c r="N1789" s="9" t="s">
        <v>32</v>
      </c>
      <c r="O1789" s="12" t="s">
        <v>33</v>
      </c>
      <c r="P1789" s="12" t="s">
        <v>34</v>
      </c>
      <c r="Q1789" s="9"/>
      <c r="R1789" s="18"/>
      <c r="S1789" s="18"/>
      <c r="T1789" s="18"/>
      <c r="U1789" s="18"/>
      <c r="V1789" s="18"/>
      <c r="W1789" s="15"/>
      <c r="X1789" s="15"/>
    </row>
    <row r="1790">
      <c r="A1790" s="7">
        <v>1789.0</v>
      </c>
      <c r="B1790" s="8" t="s">
        <v>7683</v>
      </c>
      <c r="C1790" s="9" t="s">
        <v>7684</v>
      </c>
      <c r="D1790" s="10" t="str">
        <f>HYPERLINK("https://facebook.com/367089020688300_390082238388978", "367089020688300_390082238388978")</f>
        <v>367089020688300_390082238388978</v>
      </c>
      <c r="E1790" s="11">
        <v>447.0</v>
      </c>
      <c r="F1790" s="11">
        <v>13.0</v>
      </c>
      <c r="G1790" s="11">
        <v>191.0</v>
      </c>
      <c r="H1790" s="9" t="s">
        <v>26</v>
      </c>
      <c r="I1790" s="9" t="s">
        <v>1325</v>
      </c>
      <c r="J1790" s="9" t="s">
        <v>7685</v>
      </c>
      <c r="K1790" s="9" t="s">
        <v>7686</v>
      </c>
      <c r="L1790" s="9" t="s">
        <v>30</v>
      </c>
      <c r="M1790" s="9" t="s">
        <v>31</v>
      </c>
      <c r="N1790" s="9" t="s">
        <v>32</v>
      </c>
      <c r="O1790" s="12" t="s">
        <v>33</v>
      </c>
      <c r="P1790" s="12" t="s">
        <v>34</v>
      </c>
      <c r="Q1790" s="9"/>
      <c r="R1790" s="18"/>
      <c r="S1790" s="18"/>
      <c r="T1790" s="18"/>
      <c r="U1790" s="18"/>
      <c r="V1790" s="18"/>
      <c r="W1790" s="15"/>
      <c r="X1790" s="15"/>
    </row>
    <row r="1791">
      <c r="A1791" s="7">
        <v>1790.0</v>
      </c>
      <c r="B1791" s="8" t="s">
        <v>7687</v>
      </c>
      <c r="C1791" s="9" t="s">
        <v>7688</v>
      </c>
      <c r="D1791" s="10" t="str">
        <f>HYPERLINK("https://facebook.com/367089020688300_545312342865966", "367089020688300_545312342865966")</f>
        <v>367089020688300_545312342865966</v>
      </c>
      <c r="E1791" s="11">
        <v>382.0</v>
      </c>
      <c r="F1791" s="11">
        <v>4.0</v>
      </c>
      <c r="G1791" s="11">
        <v>529.0</v>
      </c>
      <c r="H1791" s="9" t="s">
        <v>26</v>
      </c>
      <c r="I1791" s="9" t="s">
        <v>7689</v>
      </c>
      <c r="J1791" s="16" t="s">
        <v>7690</v>
      </c>
      <c r="K1791" s="9"/>
      <c r="L1791" s="9" t="s">
        <v>30</v>
      </c>
      <c r="M1791" s="9" t="s">
        <v>31</v>
      </c>
      <c r="N1791" s="9" t="s">
        <v>32</v>
      </c>
      <c r="O1791" s="12" t="s">
        <v>33</v>
      </c>
      <c r="P1791" s="12" t="s">
        <v>34</v>
      </c>
      <c r="Q1791" s="9"/>
      <c r="R1791" s="18"/>
      <c r="S1791" s="18"/>
      <c r="T1791" s="18"/>
      <c r="U1791" s="18"/>
      <c r="V1791" s="18"/>
      <c r="W1791" s="15"/>
      <c r="X1791" s="15"/>
    </row>
    <row r="1792">
      <c r="A1792" s="7">
        <v>1791.0</v>
      </c>
      <c r="B1792" s="8" t="s">
        <v>7691</v>
      </c>
      <c r="C1792" s="9" t="s">
        <v>7692</v>
      </c>
      <c r="D1792" s="10" t="str">
        <f>HYPERLINK("https://facebook.com/367089020688300_443663509697517", "367089020688300_443663509697517")</f>
        <v>367089020688300_443663509697517</v>
      </c>
      <c r="E1792" s="11">
        <v>90.0</v>
      </c>
      <c r="F1792" s="11">
        <v>0.0</v>
      </c>
      <c r="G1792" s="11">
        <v>96.0</v>
      </c>
      <c r="H1792" s="9" t="s">
        <v>26</v>
      </c>
      <c r="I1792" s="9" t="s">
        <v>7693</v>
      </c>
      <c r="J1792" s="9" t="s">
        <v>7694</v>
      </c>
      <c r="K1792" s="9" t="s">
        <v>7695</v>
      </c>
      <c r="L1792" s="9" t="s">
        <v>30</v>
      </c>
      <c r="M1792" s="9" t="s">
        <v>31</v>
      </c>
      <c r="N1792" s="9" t="s">
        <v>32</v>
      </c>
      <c r="O1792" s="12" t="s">
        <v>33</v>
      </c>
      <c r="P1792" s="12" t="s">
        <v>34</v>
      </c>
      <c r="Q1792" s="9"/>
      <c r="R1792" s="18"/>
      <c r="S1792" s="18"/>
      <c r="T1792" s="18"/>
      <c r="U1792" s="18"/>
      <c r="V1792" s="18"/>
      <c r="W1792" s="15"/>
      <c r="X1792" s="15"/>
    </row>
    <row r="1793">
      <c r="A1793" s="7">
        <v>1792.0</v>
      </c>
      <c r="B1793" s="8" t="s">
        <v>7696</v>
      </c>
      <c r="C1793" s="9" t="s">
        <v>7697</v>
      </c>
      <c r="D1793" s="10" t="str">
        <f>HYPERLINK("https://facebook.com/367089020688300_554030555327478", "367089020688300_554030555327478")</f>
        <v>367089020688300_554030555327478</v>
      </c>
      <c r="E1793" s="11">
        <v>303.0</v>
      </c>
      <c r="F1793" s="11">
        <v>0.0</v>
      </c>
      <c r="G1793" s="11">
        <v>250.0</v>
      </c>
      <c r="H1793" s="9" t="s">
        <v>26</v>
      </c>
      <c r="I1793" s="9" t="s">
        <v>7698</v>
      </c>
      <c r="J1793" s="16" t="s">
        <v>7699</v>
      </c>
      <c r="K1793" s="9"/>
      <c r="L1793" s="9" t="s">
        <v>30</v>
      </c>
      <c r="M1793" s="9" t="s">
        <v>31</v>
      </c>
      <c r="N1793" s="9" t="s">
        <v>32</v>
      </c>
      <c r="O1793" s="12" t="s">
        <v>33</v>
      </c>
      <c r="P1793" s="12" t="s">
        <v>34</v>
      </c>
      <c r="Q1793" s="9"/>
      <c r="R1793" s="18"/>
      <c r="S1793" s="18"/>
      <c r="T1793" s="18"/>
      <c r="U1793" s="18"/>
      <c r="V1793" s="18"/>
      <c r="W1793" s="15"/>
      <c r="X1793" s="15"/>
    </row>
    <row r="1794">
      <c r="A1794" s="7">
        <v>1793.0</v>
      </c>
      <c r="B1794" s="8" t="s">
        <v>7700</v>
      </c>
      <c r="C1794" s="9" t="s">
        <v>7701</v>
      </c>
      <c r="D1794" s="10" t="str">
        <f>HYPERLINK("https://facebook.com/367089020688300_403020353761833", "367089020688300_403020353761833")</f>
        <v>367089020688300_403020353761833</v>
      </c>
      <c r="E1794" s="11">
        <v>148.0</v>
      </c>
      <c r="F1794" s="11">
        <v>16.0</v>
      </c>
      <c r="G1794" s="11">
        <v>201.0</v>
      </c>
      <c r="H1794" s="9" t="s">
        <v>26</v>
      </c>
      <c r="I1794" s="9" t="s">
        <v>3901</v>
      </c>
      <c r="J1794" s="9" t="s">
        <v>7702</v>
      </c>
      <c r="K1794" s="9" t="s">
        <v>7703</v>
      </c>
      <c r="L1794" s="9" t="s">
        <v>30</v>
      </c>
      <c r="M1794" s="9" t="s">
        <v>31</v>
      </c>
      <c r="N1794" s="9" t="s">
        <v>32</v>
      </c>
      <c r="O1794" s="12" t="s">
        <v>33</v>
      </c>
      <c r="P1794" s="12" t="s">
        <v>34</v>
      </c>
      <c r="Q1794" s="9"/>
      <c r="R1794" s="18"/>
      <c r="S1794" s="18"/>
      <c r="T1794" s="18"/>
      <c r="U1794" s="18"/>
      <c r="V1794" s="18"/>
      <c r="W1794" s="15"/>
      <c r="X1794" s="15"/>
    </row>
    <row r="1795">
      <c r="A1795" s="7">
        <v>1794.0</v>
      </c>
      <c r="B1795" s="8" t="s">
        <v>7704</v>
      </c>
      <c r="C1795" s="9" t="s">
        <v>7705</v>
      </c>
      <c r="D1795" s="10" t="str">
        <f>HYPERLINK("https://facebook.com/367089020688300_541869259876941", "367089020688300_541869259876941")</f>
        <v>367089020688300_541869259876941</v>
      </c>
      <c r="E1795" s="11">
        <v>335.0</v>
      </c>
      <c r="F1795" s="11">
        <v>2.0</v>
      </c>
      <c r="G1795" s="11">
        <v>120.0</v>
      </c>
      <c r="H1795" s="9" t="s">
        <v>26</v>
      </c>
      <c r="I1795" s="9" t="s">
        <v>7706</v>
      </c>
      <c r="J1795" s="9" t="s">
        <v>7707</v>
      </c>
      <c r="K1795" s="9" t="s">
        <v>214</v>
      </c>
      <c r="L1795" s="9" t="s">
        <v>30</v>
      </c>
      <c r="M1795" s="9" t="s">
        <v>31</v>
      </c>
      <c r="N1795" s="9" t="s">
        <v>32</v>
      </c>
      <c r="O1795" s="12" t="s">
        <v>33</v>
      </c>
      <c r="P1795" s="12" t="s">
        <v>34</v>
      </c>
      <c r="Q1795" s="9"/>
      <c r="R1795" s="18"/>
      <c r="S1795" s="18"/>
      <c r="T1795" s="18"/>
      <c r="U1795" s="18"/>
      <c r="V1795" s="18"/>
      <c r="W1795" s="15"/>
      <c r="X1795" s="15"/>
    </row>
    <row r="1796">
      <c r="A1796" s="7">
        <v>1795.0</v>
      </c>
      <c r="B1796" s="8" t="s">
        <v>7708</v>
      </c>
      <c r="C1796" s="9" t="s">
        <v>7709</v>
      </c>
      <c r="D1796" s="10" t="str">
        <f>HYPERLINK("https://facebook.com/367089020688300_514117009318833", "367089020688300_514117009318833")</f>
        <v>367089020688300_514117009318833</v>
      </c>
      <c r="E1796" s="11">
        <v>53.0</v>
      </c>
      <c r="F1796" s="11">
        <v>0.0</v>
      </c>
      <c r="G1796" s="11">
        <v>30.0</v>
      </c>
      <c r="H1796" s="9" t="s">
        <v>26</v>
      </c>
      <c r="I1796" s="9" t="s">
        <v>739</v>
      </c>
      <c r="J1796" s="16" t="s">
        <v>7710</v>
      </c>
      <c r="K1796" s="9"/>
      <c r="L1796" s="9" t="s">
        <v>30</v>
      </c>
      <c r="M1796" s="9" t="s">
        <v>31</v>
      </c>
      <c r="N1796" s="9" t="s">
        <v>32</v>
      </c>
      <c r="O1796" s="12" t="s">
        <v>33</v>
      </c>
      <c r="P1796" s="12" t="s">
        <v>34</v>
      </c>
      <c r="Q1796" s="9"/>
      <c r="R1796" s="18"/>
      <c r="S1796" s="18"/>
      <c r="T1796" s="18"/>
      <c r="U1796" s="18"/>
      <c r="V1796" s="18"/>
      <c r="W1796" s="15"/>
      <c r="X1796" s="15"/>
    </row>
    <row r="1797">
      <c r="A1797" s="7">
        <v>1796.0</v>
      </c>
      <c r="B1797" s="8" t="s">
        <v>7711</v>
      </c>
      <c r="C1797" s="9" t="s">
        <v>7712</v>
      </c>
      <c r="D1797" s="10" t="str">
        <f>HYPERLINK("https://facebook.com/367089020688300_528313534565847", "367089020688300_528313534565847")</f>
        <v>367089020688300_528313534565847</v>
      </c>
      <c r="E1797" s="11">
        <v>302.0</v>
      </c>
      <c r="F1797" s="11">
        <v>23.0</v>
      </c>
      <c r="G1797" s="11">
        <v>248.0</v>
      </c>
      <c r="H1797" s="9" t="s">
        <v>26</v>
      </c>
      <c r="I1797" s="9" t="s">
        <v>6636</v>
      </c>
      <c r="J1797" s="9" t="s">
        <v>7713</v>
      </c>
      <c r="K1797" s="9" t="s">
        <v>7714</v>
      </c>
      <c r="L1797" s="9" t="s">
        <v>30</v>
      </c>
      <c r="M1797" s="9" t="s">
        <v>31</v>
      </c>
      <c r="N1797" s="9" t="s">
        <v>32</v>
      </c>
      <c r="O1797" s="12" t="s">
        <v>33</v>
      </c>
      <c r="P1797" s="12" t="s">
        <v>34</v>
      </c>
      <c r="Q1797" s="9"/>
      <c r="R1797" s="18"/>
      <c r="S1797" s="18"/>
      <c r="T1797" s="18"/>
      <c r="U1797" s="18"/>
      <c r="V1797" s="18"/>
      <c r="W1797" s="15"/>
      <c r="X1797" s="15"/>
    </row>
    <row r="1798">
      <c r="A1798" s="7">
        <v>1797.0</v>
      </c>
      <c r="B1798" s="8" t="s">
        <v>7715</v>
      </c>
      <c r="C1798" s="9" t="s">
        <v>7716</v>
      </c>
      <c r="D1798" s="10" t="str">
        <f>HYPERLINK("https://facebook.com/367089020688300_538201110243756", "367089020688300_538201110243756")</f>
        <v>367089020688300_538201110243756</v>
      </c>
      <c r="E1798" s="11">
        <v>1123.0</v>
      </c>
      <c r="F1798" s="11">
        <v>16.0</v>
      </c>
      <c r="G1798" s="11">
        <v>779.0</v>
      </c>
      <c r="H1798" s="9" t="s">
        <v>26</v>
      </c>
      <c r="I1798" s="9" t="s">
        <v>7717</v>
      </c>
      <c r="J1798" s="16" t="s">
        <v>7718</v>
      </c>
      <c r="K1798" s="9"/>
      <c r="L1798" s="9" t="s">
        <v>30</v>
      </c>
      <c r="M1798" s="9" t="s">
        <v>31</v>
      </c>
      <c r="N1798" s="9" t="s">
        <v>32</v>
      </c>
      <c r="O1798" s="12" t="s">
        <v>33</v>
      </c>
      <c r="P1798" s="12" t="s">
        <v>34</v>
      </c>
      <c r="Q1798" s="9"/>
      <c r="R1798" s="18"/>
      <c r="S1798" s="18"/>
      <c r="T1798" s="18"/>
      <c r="U1798" s="18"/>
      <c r="V1798" s="18"/>
      <c r="W1798" s="15"/>
      <c r="X1798" s="15"/>
    </row>
    <row r="1799">
      <c r="A1799" s="7">
        <v>1798.0</v>
      </c>
      <c r="B1799" s="8" t="s">
        <v>7719</v>
      </c>
      <c r="C1799" s="9" t="s">
        <v>7720</v>
      </c>
      <c r="D1799" s="10" t="str">
        <f>HYPERLINK("https://facebook.com/367089020688300_547617115968822", "367089020688300_547617115968822")</f>
        <v>367089020688300_547617115968822</v>
      </c>
      <c r="E1799" s="11">
        <v>44.0</v>
      </c>
      <c r="F1799" s="11">
        <v>0.0</v>
      </c>
      <c r="G1799" s="11">
        <v>59.0</v>
      </c>
      <c r="H1799" s="9" t="s">
        <v>26</v>
      </c>
      <c r="I1799" s="9" t="s">
        <v>7721</v>
      </c>
      <c r="J1799" s="16" t="s">
        <v>7722</v>
      </c>
      <c r="K1799" s="9"/>
      <c r="L1799" s="9" t="s">
        <v>30</v>
      </c>
      <c r="M1799" s="9" t="s">
        <v>31</v>
      </c>
      <c r="N1799" s="9" t="s">
        <v>32</v>
      </c>
      <c r="O1799" s="12" t="s">
        <v>33</v>
      </c>
      <c r="P1799" s="12" t="s">
        <v>34</v>
      </c>
      <c r="Q1799" s="9"/>
      <c r="R1799" s="18"/>
      <c r="S1799" s="18"/>
      <c r="T1799" s="18"/>
      <c r="U1799" s="18"/>
      <c r="V1799" s="18"/>
      <c r="W1799" s="15"/>
      <c r="X1799" s="15"/>
    </row>
    <row r="1800">
      <c r="A1800" s="7">
        <v>1799.0</v>
      </c>
      <c r="B1800" s="8" t="s">
        <v>7723</v>
      </c>
      <c r="C1800" s="9" t="s">
        <v>7724</v>
      </c>
      <c r="D1800" s="10" t="str">
        <f>HYPERLINK("https://facebook.com/367089020688300_526720148058519", "367089020688300_526720148058519")</f>
        <v>367089020688300_526720148058519</v>
      </c>
      <c r="E1800" s="11">
        <v>124.0</v>
      </c>
      <c r="F1800" s="11">
        <v>2.0</v>
      </c>
      <c r="G1800" s="11">
        <v>228.0</v>
      </c>
      <c r="H1800" s="9" t="s">
        <v>26</v>
      </c>
      <c r="I1800" s="9" t="s">
        <v>4182</v>
      </c>
      <c r="J1800" s="9" t="s">
        <v>4183</v>
      </c>
      <c r="K1800" s="9" t="s">
        <v>214</v>
      </c>
      <c r="L1800" s="9" t="s">
        <v>30</v>
      </c>
      <c r="M1800" s="9" t="s">
        <v>31</v>
      </c>
      <c r="N1800" s="9" t="s">
        <v>32</v>
      </c>
      <c r="O1800" s="12" t="s">
        <v>33</v>
      </c>
      <c r="P1800" s="12" t="s">
        <v>34</v>
      </c>
      <c r="Q1800" s="9"/>
      <c r="R1800" s="18"/>
      <c r="S1800" s="18"/>
      <c r="T1800" s="18"/>
      <c r="U1800" s="18"/>
      <c r="V1800" s="18"/>
      <c r="W1800" s="15"/>
      <c r="X1800" s="15"/>
    </row>
    <row r="1801">
      <c r="A1801" s="7">
        <v>1800.0</v>
      </c>
      <c r="B1801" s="8" t="s">
        <v>7725</v>
      </c>
      <c r="C1801" s="9" t="s">
        <v>7726</v>
      </c>
      <c r="D1801" s="10" t="str">
        <f>HYPERLINK("https://facebook.com/367089020688300_527595094637691", "367089020688300_527595094637691")</f>
        <v>367089020688300_527595094637691</v>
      </c>
      <c r="E1801" s="11">
        <v>146.0</v>
      </c>
      <c r="F1801" s="11">
        <v>2.0</v>
      </c>
      <c r="G1801" s="11">
        <v>214.0</v>
      </c>
      <c r="H1801" s="9" t="s">
        <v>26</v>
      </c>
      <c r="I1801" s="9" t="s">
        <v>3515</v>
      </c>
      <c r="J1801" s="9" t="s">
        <v>3516</v>
      </c>
      <c r="K1801" s="9" t="s">
        <v>7727</v>
      </c>
      <c r="L1801" s="9" t="s">
        <v>30</v>
      </c>
      <c r="M1801" s="9" t="s">
        <v>31</v>
      </c>
      <c r="N1801" s="9" t="s">
        <v>32</v>
      </c>
      <c r="O1801" s="12" t="s">
        <v>33</v>
      </c>
      <c r="P1801" s="12" t="s">
        <v>34</v>
      </c>
      <c r="Q1801" s="9"/>
      <c r="R1801" s="18"/>
      <c r="S1801" s="18"/>
      <c r="T1801" s="18"/>
      <c r="U1801" s="18"/>
      <c r="V1801" s="18"/>
      <c r="W1801" s="15"/>
      <c r="X1801" s="15"/>
    </row>
    <row r="1802">
      <c r="A1802" s="7">
        <v>1801.0</v>
      </c>
      <c r="B1802" s="8" t="s">
        <v>7728</v>
      </c>
      <c r="C1802" s="9" t="s">
        <v>7729</v>
      </c>
      <c r="D1802" s="10" t="str">
        <f>HYPERLINK("https://facebook.com/367089020688300_547683625962171", "367089020688300_547683625962171")</f>
        <v>367089020688300_547683625962171</v>
      </c>
      <c r="E1802" s="11">
        <v>900.0</v>
      </c>
      <c r="F1802" s="11">
        <v>28.0</v>
      </c>
      <c r="G1802" s="11">
        <v>353.0</v>
      </c>
      <c r="H1802" s="9" t="s">
        <v>26</v>
      </c>
      <c r="I1802" s="9" t="s">
        <v>7730</v>
      </c>
      <c r="J1802" s="16" t="s">
        <v>7731</v>
      </c>
      <c r="K1802" s="9"/>
      <c r="L1802" s="9" t="s">
        <v>30</v>
      </c>
      <c r="M1802" s="9" t="s">
        <v>31</v>
      </c>
      <c r="N1802" s="9" t="s">
        <v>32</v>
      </c>
      <c r="O1802" s="12" t="s">
        <v>33</v>
      </c>
      <c r="P1802" s="12" t="s">
        <v>34</v>
      </c>
      <c r="Q1802" s="9"/>
      <c r="R1802" s="18"/>
      <c r="S1802" s="18"/>
      <c r="T1802" s="18"/>
      <c r="U1802" s="18"/>
      <c r="V1802" s="18"/>
      <c r="W1802" s="15"/>
      <c r="X1802" s="15"/>
    </row>
    <row r="1803">
      <c r="A1803" s="7">
        <v>1802.0</v>
      </c>
      <c r="B1803" s="8" t="s">
        <v>7732</v>
      </c>
      <c r="C1803" s="9" t="s">
        <v>7733</v>
      </c>
      <c r="D1803" s="10" t="str">
        <f>HYPERLINK("https://facebook.com/367089020688300_453496362047565", "367089020688300_453496362047565")</f>
        <v>367089020688300_453496362047565</v>
      </c>
      <c r="E1803" s="11">
        <v>395.0</v>
      </c>
      <c r="F1803" s="11">
        <v>18.0</v>
      </c>
      <c r="G1803" s="11">
        <v>411.0</v>
      </c>
      <c r="H1803" s="9" t="s">
        <v>26</v>
      </c>
      <c r="I1803" s="9" t="s">
        <v>7734</v>
      </c>
      <c r="J1803" s="9" t="s">
        <v>7735</v>
      </c>
      <c r="K1803" s="9" t="s">
        <v>7736</v>
      </c>
      <c r="L1803" s="9" t="s">
        <v>30</v>
      </c>
      <c r="M1803" s="9" t="s">
        <v>31</v>
      </c>
      <c r="N1803" s="9" t="s">
        <v>32</v>
      </c>
      <c r="O1803" s="12" t="s">
        <v>33</v>
      </c>
      <c r="P1803" s="12" t="s">
        <v>34</v>
      </c>
      <c r="Q1803" s="9"/>
      <c r="R1803" s="18"/>
      <c r="S1803" s="18"/>
      <c r="T1803" s="18"/>
      <c r="U1803" s="18"/>
      <c r="V1803" s="18"/>
      <c r="W1803" s="15"/>
      <c r="X1803" s="15"/>
    </row>
    <row r="1804">
      <c r="A1804" s="7">
        <v>1803.0</v>
      </c>
      <c r="B1804" s="8" t="s">
        <v>7737</v>
      </c>
      <c r="C1804" s="9" t="s">
        <v>7738</v>
      </c>
      <c r="D1804" s="10" t="str">
        <f>HYPERLINK("https://facebook.com/367089020688300_562649721132228", "367089020688300_562649721132228")</f>
        <v>367089020688300_562649721132228</v>
      </c>
      <c r="E1804" s="11">
        <v>360.0</v>
      </c>
      <c r="F1804" s="11">
        <v>0.0</v>
      </c>
      <c r="G1804" s="11">
        <v>56.0</v>
      </c>
      <c r="H1804" s="9" t="s">
        <v>26</v>
      </c>
      <c r="I1804" s="9" t="s">
        <v>7739</v>
      </c>
      <c r="J1804" s="16" t="s">
        <v>7740</v>
      </c>
      <c r="K1804" s="9"/>
      <c r="L1804" s="9" t="s">
        <v>30</v>
      </c>
      <c r="M1804" s="9" t="s">
        <v>31</v>
      </c>
      <c r="N1804" s="9" t="s">
        <v>32</v>
      </c>
      <c r="O1804" s="12" t="s">
        <v>33</v>
      </c>
      <c r="P1804" s="12" t="s">
        <v>34</v>
      </c>
      <c r="Q1804" s="9"/>
      <c r="R1804" s="18"/>
      <c r="S1804" s="18"/>
      <c r="T1804" s="18"/>
      <c r="U1804" s="18"/>
      <c r="V1804" s="18"/>
      <c r="W1804" s="15"/>
      <c r="X1804" s="15"/>
    </row>
    <row r="1805">
      <c r="A1805" s="7">
        <v>1804.0</v>
      </c>
      <c r="B1805" s="8" t="s">
        <v>7741</v>
      </c>
      <c r="C1805" s="9" t="s">
        <v>7742</v>
      </c>
      <c r="D1805" s="10" t="str">
        <f>HYPERLINK("https://facebook.com/367089020688300_405449636852238", "367089020688300_405449636852238")</f>
        <v>367089020688300_405449636852238</v>
      </c>
      <c r="E1805" s="11">
        <v>175.0</v>
      </c>
      <c r="F1805" s="11">
        <v>9.0</v>
      </c>
      <c r="G1805" s="11">
        <v>135.0</v>
      </c>
      <c r="H1805" s="9" t="s">
        <v>26</v>
      </c>
      <c r="I1805" s="9" t="s">
        <v>7743</v>
      </c>
      <c r="J1805" s="9" t="s">
        <v>7744</v>
      </c>
      <c r="K1805" s="9" t="s">
        <v>7745</v>
      </c>
      <c r="L1805" s="9" t="s">
        <v>30</v>
      </c>
      <c r="M1805" s="9" t="s">
        <v>31</v>
      </c>
      <c r="N1805" s="9" t="s">
        <v>32</v>
      </c>
      <c r="O1805" s="12" t="s">
        <v>33</v>
      </c>
      <c r="P1805" s="12" t="s">
        <v>34</v>
      </c>
      <c r="Q1805" s="9"/>
      <c r="R1805" s="18"/>
      <c r="S1805" s="18"/>
      <c r="T1805" s="18"/>
      <c r="U1805" s="18"/>
      <c r="V1805" s="18"/>
      <c r="W1805" s="15"/>
      <c r="X1805" s="15"/>
    </row>
    <row r="1806">
      <c r="A1806" s="7">
        <v>1805.0</v>
      </c>
      <c r="B1806" s="8" t="s">
        <v>7746</v>
      </c>
      <c r="C1806" s="9" t="s">
        <v>7747</v>
      </c>
      <c r="D1806" s="10" t="str">
        <f>HYPERLINK("https://facebook.com/367089020688300_541083139955553", "367089020688300_541083139955553")</f>
        <v>367089020688300_541083139955553</v>
      </c>
      <c r="E1806" s="11">
        <v>23.0</v>
      </c>
      <c r="F1806" s="11">
        <v>0.0</v>
      </c>
      <c r="G1806" s="11">
        <v>15.0</v>
      </c>
      <c r="H1806" s="9" t="s">
        <v>26</v>
      </c>
      <c r="I1806" s="9" t="s">
        <v>7748</v>
      </c>
      <c r="J1806" s="9" t="s">
        <v>7749</v>
      </c>
      <c r="K1806" s="9" t="s">
        <v>249</v>
      </c>
      <c r="L1806" s="9" t="s">
        <v>30</v>
      </c>
      <c r="M1806" s="9" t="s">
        <v>31</v>
      </c>
      <c r="N1806" s="9" t="s">
        <v>32</v>
      </c>
      <c r="O1806" s="12" t="s">
        <v>33</v>
      </c>
      <c r="P1806" s="12" t="s">
        <v>34</v>
      </c>
      <c r="Q1806" s="9"/>
      <c r="R1806" s="18"/>
      <c r="S1806" s="18"/>
      <c r="T1806" s="18"/>
      <c r="U1806" s="18"/>
      <c r="V1806" s="18"/>
      <c r="W1806" s="15"/>
      <c r="X1806" s="15"/>
    </row>
    <row r="1807">
      <c r="A1807" s="7">
        <v>1806.0</v>
      </c>
      <c r="B1807" s="8" t="s">
        <v>7750</v>
      </c>
      <c r="C1807" s="9" t="s">
        <v>7751</v>
      </c>
      <c r="D1807" s="10" t="str">
        <f>HYPERLINK("https://facebook.com/367089020688300_505799683483899", "367089020688300_505799683483899")</f>
        <v>367089020688300_505799683483899</v>
      </c>
      <c r="E1807" s="11">
        <v>427.0</v>
      </c>
      <c r="F1807" s="11">
        <v>3.0</v>
      </c>
      <c r="G1807" s="11">
        <v>128.0</v>
      </c>
      <c r="H1807" s="9" t="s">
        <v>26</v>
      </c>
      <c r="I1807" s="9" t="s">
        <v>7752</v>
      </c>
      <c r="J1807" s="9" t="s">
        <v>7753</v>
      </c>
      <c r="K1807" s="9" t="s">
        <v>7754</v>
      </c>
      <c r="L1807" s="9" t="s">
        <v>30</v>
      </c>
      <c r="M1807" s="9" t="s">
        <v>31</v>
      </c>
      <c r="N1807" s="9" t="s">
        <v>32</v>
      </c>
      <c r="O1807" s="12" t="s">
        <v>33</v>
      </c>
      <c r="P1807" s="12" t="s">
        <v>34</v>
      </c>
      <c r="Q1807" s="9"/>
      <c r="R1807" s="18"/>
      <c r="S1807" s="18"/>
      <c r="T1807" s="18"/>
      <c r="U1807" s="18"/>
      <c r="V1807" s="18"/>
      <c r="W1807" s="15"/>
      <c r="X1807" s="15"/>
    </row>
    <row r="1808">
      <c r="A1808" s="7">
        <v>1807.0</v>
      </c>
      <c r="B1808" s="8" t="s">
        <v>7755</v>
      </c>
      <c r="C1808" s="9" t="s">
        <v>7756</v>
      </c>
      <c r="D1808" s="10" t="str">
        <f>HYPERLINK("https://facebook.com/367089020688300_561560361241164", "367089020688300_561560361241164")</f>
        <v>367089020688300_561560361241164</v>
      </c>
      <c r="E1808" s="11">
        <v>298.0</v>
      </c>
      <c r="F1808" s="11">
        <v>15.0</v>
      </c>
      <c r="G1808" s="11">
        <v>143.0</v>
      </c>
      <c r="H1808" s="9" t="s">
        <v>26</v>
      </c>
      <c r="I1808" s="9" t="s">
        <v>7757</v>
      </c>
      <c r="J1808" s="16" t="s">
        <v>7758</v>
      </c>
      <c r="K1808" s="9"/>
      <c r="L1808" s="9" t="s">
        <v>30</v>
      </c>
      <c r="M1808" s="9" t="s">
        <v>31</v>
      </c>
      <c r="N1808" s="9" t="s">
        <v>32</v>
      </c>
      <c r="O1808" s="12" t="s">
        <v>33</v>
      </c>
      <c r="P1808" s="12" t="s">
        <v>34</v>
      </c>
      <c r="Q1808" s="9"/>
      <c r="R1808" s="18"/>
      <c r="S1808" s="18"/>
      <c r="T1808" s="18"/>
      <c r="U1808" s="18"/>
      <c r="V1808" s="18"/>
      <c r="W1808" s="15"/>
      <c r="X1808" s="15"/>
    </row>
    <row r="1809">
      <c r="A1809" s="7">
        <v>1808.0</v>
      </c>
      <c r="B1809" s="8" t="s">
        <v>7759</v>
      </c>
      <c r="C1809" s="9" t="s">
        <v>7760</v>
      </c>
      <c r="D1809" s="10" t="str">
        <f>HYPERLINK("https://facebook.com/367089020688300_531339810929886", "367089020688300_531339810929886")</f>
        <v>367089020688300_531339810929886</v>
      </c>
      <c r="E1809" s="11">
        <v>227.0</v>
      </c>
      <c r="F1809" s="11">
        <v>15.0</v>
      </c>
      <c r="G1809" s="11">
        <v>261.0</v>
      </c>
      <c r="H1809" s="9" t="s">
        <v>26</v>
      </c>
      <c r="I1809" s="9" t="s">
        <v>7761</v>
      </c>
      <c r="J1809" s="16" t="s">
        <v>7762</v>
      </c>
      <c r="K1809" s="9"/>
      <c r="L1809" s="9" t="s">
        <v>30</v>
      </c>
      <c r="M1809" s="9" t="s">
        <v>31</v>
      </c>
      <c r="N1809" s="9" t="s">
        <v>32</v>
      </c>
      <c r="O1809" s="12" t="s">
        <v>33</v>
      </c>
      <c r="P1809" s="12" t="s">
        <v>34</v>
      </c>
      <c r="Q1809" s="9"/>
      <c r="R1809" s="18"/>
      <c r="S1809" s="18"/>
      <c r="T1809" s="18"/>
      <c r="U1809" s="18"/>
      <c r="V1809" s="18"/>
      <c r="W1809" s="15"/>
      <c r="X1809" s="15"/>
    </row>
    <row r="1810">
      <c r="A1810" s="7">
        <v>1809.0</v>
      </c>
      <c r="B1810" s="8" t="s">
        <v>7763</v>
      </c>
      <c r="C1810" s="9" t="s">
        <v>7764</v>
      </c>
      <c r="D1810" s="10" t="str">
        <f>HYPERLINK("https://facebook.com/367089020688300_551269795603554", "367089020688300_551269795603554")</f>
        <v>367089020688300_551269795603554</v>
      </c>
      <c r="E1810" s="11">
        <v>23.0</v>
      </c>
      <c r="F1810" s="11">
        <v>0.0</v>
      </c>
      <c r="G1810" s="11">
        <v>18.0</v>
      </c>
      <c r="H1810" s="9" t="s">
        <v>26</v>
      </c>
      <c r="I1810" s="9" t="s">
        <v>3117</v>
      </c>
      <c r="J1810" s="9" t="s">
        <v>7765</v>
      </c>
      <c r="K1810" s="9" t="s">
        <v>7766</v>
      </c>
      <c r="L1810" s="9" t="s">
        <v>30</v>
      </c>
      <c r="M1810" s="9" t="s">
        <v>31</v>
      </c>
      <c r="N1810" s="9" t="s">
        <v>32</v>
      </c>
      <c r="O1810" s="12" t="s">
        <v>33</v>
      </c>
      <c r="P1810" s="12" t="s">
        <v>34</v>
      </c>
      <c r="Q1810" s="9"/>
      <c r="R1810" s="18"/>
      <c r="S1810" s="18"/>
      <c r="T1810" s="18"/>
      <c r="U1810" s="18"/>
      <c r="V1810" s="18"/>
      <c r="W1810" s="15"/>
      <c r="X1810" s="15"/>
    </row>
    <row r="1811">
      <c r="A1811" s="7">
        <v>1810.0</v>
      </c>
      <c r="B1811" s="8" t="s">
        <v>7767</v>
      </c>
      <c r="C1811" s="9" t="s">
        <v>7768</v>
      </c>
      <c r="D1811" s="10" t="str">
        <f>HYPERLINK("https://facebook.com/367089020688300_547209082676292", "367089020688300_547209082676292")</f>
        <v>367089020688300_547209082676292</v>
      </c>
      <c r="E1811" s="11">
        <v>38.0</v>
      </c>
      <c r="F1811" s="11">
        <v>0.0</v>
      </c>
      <c r="G1811" s="11">
        <v>16.0</v>
      </c>
      <c r="H1811" s="9" t="s">
        <v>26</v>
      </c>
      <c r="I1811" s="9" t="s">
        <v>2951</v>
      </c>
      <c r="J1811" s="16" t="s">
        <v>7769</v>
      </c>
      <c r="K1811" s="9"/>
      <c r="L1811" s="9" t="s">
        <v>30</v>
      </c>
      <c r="M1811" s="9" t="s">
        <v>31</v>
      </c>
      <c r="N1811" s="9" t="s">
        <v>32</v>
      </c>
      <c r="O1811" s="12" t="s">
        <v>33</v>
      </c>
      <c r="P1811" s="12" t="s">
        <v>34</v>
      </c>
      <c r="Q1811" s="9"/>
      <c r="R1811" s="18"/>
      <c r="S1811" s="18"/>
      <c r="T1811" s="18"/>
      <c r="U1811" s="18"/>
      <c r="V1811" s="18"/>
      <c r="W1811" s="15"/>
      <c r="X1811" s="15"/>
    </row>
    <row r="1812">
      <c r="A1812" s="7">
        <v>1811.0</v>
      </c>
      <c r="B1812" s="8" t="s">
        <v>7770</v>
      </c>
      <c r="C1812" s="9" t="s">
        <v>7771</v>
      </c>
      <c r="D1812" s="10" t="str">
        <f>HYPERLINK("https://facebook.com/367089020688300_549281392469061", "367089020688300_549281392469061")</f>
        <v>367089020688300_549281392469061</v>
      </c>
      <c r="E1812" s="11">
        <v>62.0</v>
      </c>
      <c r="F1812" s="11">
        <v>0.0</v>
      </c>
      <c r="G1812" s="11">
        <v>13.0</v>
      </c>
      <c r="H1812" s="9" t="s">
        <v>26</v>
      </c>
      <c r="I1812" s="9" t="s">
        <v>1380</v>
      </c>
      <c r="J1812" s="16" t="s">
        <v>1381</v>
      </c>
      <c r="K1812" s="9"/>
      <c r="L1812" s="9" t="s">
        <v>30</v>
      </c>
      <c r="M1812" s="9" t="s">
        <v>31</v>
      </c>
      <c r="N1812" s="9" t="s">
        <v>32</v>
      </c>
      <c r="O1812" s="12" t="s">
        <v>33</v>
      </c>
      <c r="P1812" s="12" t="s">
        <v>34</v>
      </c>
      <c r="Q1812" s="9"/>
      <c r="R1812" s="18"/>
      <c r="S1812" s="18"/>
      <c r="T1812" s="18"/>
      <c r="U1812" s="18"/>
      <c r="V1812" s="18"/>
      <c r="W1812" s="15"/>
      <c r="X1812" s="15"/>
    </row>
    <row r="1813">
      <c r="A1813" s="7">
        <v>1812.0</v>
      </c>
      <c r="B1813" s="8" t="s">
        <v>7772</v>
      </c>
      <c r="C1813" s="9" t="s">
        <v>7773</v>
      </c>
      <c r="D1813" s="10" t="str">
        <f>HYPERLINK("https://facebook.com/367089020688300_563304144400119", "367089020688300_563304144400119")</f>
        <v>367089020688300_563304144400119</v>
      </c>
      <c r="E1813" s="11">
        <v>193.0</v>
      </c>
      <c r="F1813" s="11">
        <v>1.0</v>
      </c>
      <c r="G1813" s="11">
        <v>84.0</v>
      </c>
      <c r="H1813" s="9" t="s">
        <v>26</v>
      </c>
      <c r="I1813" s="9" t="s">
        <v>7774</v>
      </c>
      <c r="J1813" s="16" t="s">
        <v>7775</v>
      </c>
      <c r="K1813" s="9"/>
      <c r="L1813" s="9" t="s">
        <v>30</v>
      </c>
      <c r="M1813" s="9" t="s">
        <v>31</v>
      </c>
      <c r="N1813" s="9" t="s">
        <v>32</v>
      </c>
      <c r="O1813" s="12" t="s">
        <v>33</v>
      </c>
      <c r="P1813" s="12" t="s">
        <v>34</v>
      </c>
      <c r="Q1813" s="9"/>
      <c r="R1813" s="18"/>
      <c r="S1813" s="18"/>
      <c r="T1813" s="18"/>
      <c r="U1813" s="18"/>
      <c r="V1813" s="18"/>
      <c r="W1813" s="15"/>
      <c r="X1813" s="15"/>
    </row>
    <row r="1814">
      <c r="A1814" s="7">
        <v>1813.0</v>
      </c>
      <c r="B1814" s="8" t="s">
        <v>7776</v>
      </c>
      <c r="C1814" s="9" t="s">
        <v>7777</v>
      </c>
      <c r="D1814" s="10" t="str">
        <f>HYPERLINK("https://facebook.com/367089020688300_548907392506461", "367089020688300_548907392506461")</f>
        <v>367089020688300_548907392506461</v>
      </c>
      <c r="E1814" s="11">
        <v>17.0</v>
      </c>
      <c r="F1814" s="11">
        <v>0.0</v>
      </c>
      <c r="G1814" s="11">
        <v>10.0</v>
      </c>
      <c r="H1814" s="9" t="s">
        <v>26</v>
      </c>
      <c r="I1814" s="9" t="s">
        <v>6768</v>
      </c>
      <c r="J1814" s="16" t="s">
        <v>7778</v>
      </c>
      <c r="K1814" s="9"/>
      <c r="L1814" s="9" t="s">
        <v>30</v>
      </c>
      <c r="M1814" s="9" t="s">
        <v>31</v>
      </c>
      <c r="N1814" s="9" t="s">
        <v>32</v>
      </c>
      <c r="O1814" s="12" t="s">
        <v>33</v>
      </c>
      <c r="P1814" s="12" t="s">
        <v>34</v>
      </c>
      <c r="Q1814" s="9"/>
      <c r="R1814" s="18"/>
      <c r="S1814" s="18"/>
      <c r="T1814" s="18"/>
      <c r="U1814" s="18"/>
      <c r="V1814" s="18"/>
      <c r="W1814" s="15"/>
      <c r="X1814" s="15"/>
    </row>
    <row r="1815">
      <c r="A1815" s="7">
        <v>1814.0</v>
      </c>
      <c r="B1815" s="8" t="s">
        <v>7779</v>
      </c>
      <c r="C1815" s="9" t="s">
        <v>7780</v>
      </c>
      <c r="D1815" s="10" t="str">
        <f>HYPERLINK("https://facebook.com/367089020688300_529020761161791", "367089020688300_529020761161791")</f>
        <v>367089020688300_529020761161791</v>
      </c>
      <c r="E1815" s="11">
        <v>56.0</v>
      </c>
      <c r="F1815" s="11">
        <v>3.0</v>
      </c>
      <c r="G1815" s="11">
        <v>121.0</v>
      </c>
      <c r="H1815" s="9" t="s">
        <v>26</v>
      </c>
      <c r="I1815" s="9" t="s">
        <v>7781</v>
      </c>
      <c r="J1815" s="9" t="s">
        <v>7782</v>
      </c>
      <c r="K1815" s="9" t="s">
        <v>7783</v>
      </c>
      <c r="L1815" s="9" t="s">
        <v>30</v>
      </c>
      <c r="M1815" s="9" t="s">
        <v>31</v>
      </c>
      <c r="N1815" s="9" t="s">
        <v>32</v>
      </c>
      <c r="O1815" s="12" t="s">
        <v>33</v>
      </c>
      <c r="P1815" s="12" t="s">
        <v>34</v>
      </c>
      <c r="Q1815" s="9"/>
      <c r="R1815" s="18"/>
      <c r="S1815" s="18"/>
      <c r="T1815" s="18"/>
      <c r="U1815" s="18"/>
      <c r="V1815" s="18"/>
      <c r="W1815" s="15"/>
      <c r="X1815" s="15"/>
    </row>
    <row r="1816">
      <c r="A1816" s="7">
        <v>1815.0</v>
      </c>
      <c r="B1816" s="8" t="s">
        <v>7784</v>
      </c>
      <c r="C1816" s="9" t="s">
        <v>7785</v>
      </c>
      <c r="D1816" s="10" t="str">
        <f>HYPERLINK("https://facebook.com/367089020688300_519618455435355", "367089020688300_519618455435355")</f>
        <v>367089020688300_519618455435355</v>
      </c>
      <c r="E1816" s="11">
        <v>757.0</v>
      </c>
      <c r="F1816" s="11">
        <v>6.0</v>
      </c>
      <c r="G1816" s="11">
        <v>81.0</v>
      </c>
      <c r="H1816" s="9" t="s">
        <v>26</v>
      </c>
      <c r="I1816" s="9" t="s">
        <v>7786</v>
      </c>
      <c r="J1816" s="9" t="s">
        <v>7787</v>
      </c>
      <c r="K1816" s="9" t="s">
        <v>249</v>
      </c>
      <c r="L1816" s="9" t="s">
        <v>30</v>
      </c>
      <c r="M1816" s="9" t="s">
        <v>31</v>
      </c>
      <c r="N1816" s="9" t="s">
        <v>32</v>
      </c>
      <c r="O1816" s="12" t="s">
        <v>33</v>
      </c>
      <c r="P1816" s="12" t="s">
        <v>34</v>
      </c>
      <c r="Q1816" s="9"/>
      <c r="R1816" s="18"/>
      <c r="S1816" s="18"/>
      <c r="T1816" s="18"/>
      <c r="U1816" s="18"/>
      <c r="V1816" s="18"/>
      <c r="W1816" s="15"/>
      <c r="X1816" s="15"/>
    </row>
    <row r="1817">
      <c r="A1817" s="7">
        <v>1816.0</v>
      </c>
      <c r="B1817" s="8" t="s">
        <v>7788</v>
      </c>
      <c r="C1817" s="9" t="s">
        <v>7789</v>
      </c>
      <c r="D1817" s="10" t="str">
        <f>HYPERLINK("https://facebook.com/367089020688300_539063313490869", "367089020688300_539063313490869")</f>
        <v>367089020688300_539063313490869</v>
      </c>
      <c r="E1817" s="11">
        <v>10.0</v>
      </c>
      <c r="F1817" s="11">
        <v>1.0</v>
      </c>
      <c r="G1817" s="11">
        <v>8.0</v>
      </c>
      <c r="H1817" s="9" t="s">
        <v>26</v>
      </c>
      <c r="I1817" s="9" t="s">
        <v>7790</v>
      </c>
      <c r="J1817" s="9" t="s">
        <v>7791</v>
      </c>
      <c r="K1817" s="9" t="s">
        <v>7792</v>
      </c>
      <c r="L1817" s="9" t="s">
        <v>30</v>
      </c>
      <c r="M1817" s="9" t="s">
        <v>31</v>
      </c>
      <c r="N1817" s="9" t="s">
        <v>32</v>
      </c>
      <c r="O1817" s="12" t="s">
        <v>33</v>
      </c>
      <c r="P1817" s="12" t="s">
        <v>34</v>
      </c>
      <c r="Q1817" s="9"/>
      <c r="R1817" s="18"/>
      <c r="S1817" s="18"/>
      <c r="T1817" s="18"/>
      <c r="U1817" s="18"/>
      <c r="V1817" s="18"/>
      <c r="W1817" s="15"/>
      <c r="X1817" s="15"/>
    </row>
    <row r="1818">
      <c r="A1818" s="7">
        <v>1817.0</v>
      </c>
      <c r="B1818" s="8" t="s">
        <v>7793</v>
      </c>
      <c r="C1818" s="9" t="s">
        <v>7794</v>
      </c>
      <c r="D1818" s="10" t="str">
        <f>HYPERLINK("https://facebook.com/367089020688300_558521034878430", "367089020688300_558521034878430")</f>
        <v>367089020688300_558521034878430</v>
      </c>
      <c r="E1818" s="11">
        <v>37.0</v>
      </c>
      <c r="F1818" s="11">
        <v>0.0</v>
      </c>
      <c r="G1818" s="11">
        <v>36.0</v>
      </c>
      <c r="H1818" s="9" t="s">
        <v>26</v>
      </c>
      <c r="I1818" s="9" t="s">
        <v>7795</v>
      </c>
      <c r="J1818" s="16" t="s">
        <v>7796</v>
      </c>
      <c r="K1818" s="9"/>
      <c r="L1818" s="9" t="s">
        <v>30</v>
      </c>
      <c r="M1818" s="9" t="s">
        <v>31</v>
      </c>
      <c r="N1818" s="9" t="s">
        <v>32</v>
      </c>
      <c r="O1818" s="12" t="s">
        <v>33</v>
      </c>
      <c r="P1818" s="12" t="s">
        <v>34</v>
      </c>
      <c r="Q1818" s="9"/>
      <c r="R1818" s="18"/>
      <c r="S1818" s="18"/>
      <c r="T1818" s="18"/>
      <c r="U1818" s="18"/>
      <c r="V1818" s="18"/>
      <c r="W1818" s="15"/>
      <c r="X1818" s="15"/>
    </row>
    <row r="1819">
      <c r="A1819" s="7">
        <v>1818.0</v>
      </c>
      <c r="B1819" s="8" t="s">
        <v>7797</v>
      </c>
      <c r="C1819" s="9" t="s">
        <v>7798</v>
      </c>
      <c r="D1819" s="10" t="str">
        <f>HYPERLINK("https://facebook.com/367089020688300_561141051283095", "367089020688300_561141051283095")</f>
        <v>367089020688300_561141051283095</v>
      </c>
      <c r="E1819" s="11">
        <v>11.0</v>
      </c>
      <c r="F1819" s="11">
        <v>0.0</v>
      </c>
      <c r="G1819" s="11">
        <v>10.0</v>
      </c>
      <c r="H1819" s="9" t="s">
        <v>26</v>
      </c>
      <c r="I1819" s="9" t="s">
        <v>7799</v>
      </c>
      <c r="J1819" s="16" t="s">
        <v>7800</v>
      </c>
      <c r="K1819" s="9"/>
      <c r="L1819" s="9" t="s">
        <v>30</v>
      </c>
      <c r="M1819" s="9" t="s">
        <v>31</v>
      </c>
      <c r="N1819" s="9" t="s">
        <v>32</v>
      </c>
      <c r="O1819" s="12" t="s">
        <v>33</v>
      </c>
      <c r="P1819" s="12" t="s">
        <v>34</v>
      </c>
      <c r="Q1819" s="9"/>
      <c r="R1819" s="18"/>
      <c r="S1819" s="18"/>
      <c r="T1819" s="18"/>
      <c r="U1819" s="18"/>
      <c r="V1819" s="18"/>
      <c r="W1819" s="15"/>
      <c r="X1819" s="15"/>
    </row>
    <row r="1820">
      <c r="A1820" s="7">
        <v>1819.0</v>
      </c>
      <c r="B1820" s="8" t="s">
        <v>7801</v>
      </c>
      <c r="C1820" s="9" t="s">
        <v>7802</v>
      </c>
      <c r="D1820" s="10" t="str">
        <f>HYPERLINK("https://facebook.com/367089020688300_512859546111246", "367089020688300_512859546111246")</f>
        <v>367089020688300_512859546111246</v>
      </c>
      <c r="E1820" s="11">
        <v>619.0</v>
      </c>
      <c r="F1820" s="11">
        <v>14.0</v>
      </c>
      <c r="G1820" s="11">
        <v>341.0</v>
      </c>
      <c r="H1820" s="9" t="s">
        <v>26</v>
      </c>
      <c r="I1820" s="9" t="s">
        <v>7803</v>
      </c>
      <c r="J1820" s="9" t="s">
        <v>7804</v>
      </c>
      <c r="K1820" s="9" t="s">
        <v>7805</v>
      </c>
      <c r="L1820" s="9" t="s">
        <v>30</v>
      </c>
      <c r="M1820" s="9" t="s">
        <v>31</v>
      </c>
      <c r="N1820" s="9" t="s">
        <v>32</v>
      </c>
      <c r="O1820" s="12" t="s">
        <v>33</v>
      </c>
      <c r="P1820" s="12" t="s">
        <v>34</v>
      </c>
      <c r="Q1820" s="9"/>
      <c r="R1820" s="18"/>
      <c r="S1820" s="18"/>
      <c r="T1820" s="18"/>
      <c r="U1820" s="18"/>
      <c r="V1820" s="18"/>
      <c r="W1820" s="15"/>
      <c r="X1820" s="15"/>
    </row>
    <row r="1821">
      <c r="A1821" s="7">
        <v>1820.0</v>
      </c>
      <c r="B1821" s="8" t="s">
        <v>7806</v>
      </c>
      <c r="C1821" s="9" t="s">
        <v>7807</v>
      </c>
      <c r="D1821" s="10" t="str">
        <f>HYPERLINK("https://facebook.com/367089020688300_559150251482175", "367089020688300_559150251482175")</f>
        <v>367089020688300_559150251482175</v>
      </c>
      <c r="E1821" s="11">
        <v>113.0</v>
      </c>
      <c r="F1821" s="11">
        <v>0.0</v>
      </c>
      <c r="G1821" s="11">
        <v>47.0</v>
      </c>
      <c r="H1821" s="9" t="s">
        <v>26</v>
      </c>
      <c r="I1821" s="9" t="s">
        <v>1258</v>
      </c>
      <c r="J1821" s="16" t="s">
        <v>7808</v>
      </c>
      <c r="K1821" s="9"/>
      <c r="L1821" s="9" t="s">
        <v>30</v>
      </c>
      <c r="M1821" s="9" t="s">
        <v>31</v>
      </c>
      <c r="N1821" s="9" t="s">
        <v>32</v>
      </c>
      <c r="O1821" s="12" t="s">
        <v>33</v>
      </c>
      <c r="P1821" s="12" t="s">
        <v>34</v>
      </c>
      <c r="Q1821" s="9"/>
      <c r="R1821" s="18"/>
      <c r="S1821" s="18"/>
      <c r="T1821" s="18"/>
      <c r="U1821" s="18"/>
      <c r="V1821" s="18"/>
      <c r="W1821" s="15"/>
      <c r="X1821" s="15"/>
    </row>
    <row r="1822">
      <c r="A1822" s="7">
        <v>1821.0</v>
      </c>
      <c r="B1822" s="8" t="s">
        <v>7809</v>
      </c>
      <c r="C1822" s="9" t="s">
        <v>7810</v>
      </c>
      <c r="D1822" s="10" t="str">
        <f>HYPERLINK("https://facebook.com/367089020688300_563460661051134", "367089020688300_563460661051134")</f>
        <v>367089020688300_563460661051134</v>
      </c>
      <c r="E1822" s="11">
        <v>12.0</v>
      </c>
      <c r="F1822" s="11">
        <v>0.0</v>
      </c>
      <c r="G1822" s="11">
        <v>6.0</v>
      </c>
      <c r="H1822" s="9" t="s">
        <v>26</v>
      </c>
      <c r="I1822" s="9" t="s">
        <v>3657</v>
      </c>
      <c r="J1822" s="16" t="s">
        <v>3658</v>
      </c>
      <c r="K1822" s="9"/>
      <c r="L1822" s="9" t="s">
        <v>30</v>
      </c>
      <c r="M1822" s="9" t="s">
        <v>31</v>
      </c>
      <c r="N1822" s="9" t="s">
        <v>32</v>
      </c>
      <c r="O1822" s="12" t="s">
        <v>33</v>
      </c>
      <c r="P1822" s="12" t="s">
        <v>34</v>
      </c>
      <c r="Q1822" s="9"/>
      <c r="R1822" s="18"/>
      <c r="S1822" s="18"/>
      <c r="T1822" s="18"/>
      <c r="U1822" s="18"/>
      <c r="V1822" s="18"/>
      <c r="W1822" s="15"/>
      <c r="X1822" s="15"/>
    </row>
    <row r="1823">
      <c r="A1823" s="7">
        <v>1822.0</v>
      </c>
      <c r="B1823" s="8" t="s">
        <v>7811</v>
      </c>
      <c r="C1823" s="9" t="s">
        <v>7812</v>
      </c>
      <c r="D1823" s="10" t="str">
        <f>HYPERLINK("https://facebook.com/367089020688300_560670557996811", "367089020688300_560670557996811")</f>
        <v>367089020688300_560670557996811</v>
      </c>
      <c r="E1823" s="11">
        <v>54.0</v>
      </c>
      <c r="F1823" s="11">
        <v>0.0</v>
      </c>
      <c r="G1823" s="11">
        <v>65.0</v>
      </c>
      <c r="H1823" s="9" t="s">
        <v>26</v>
      </c>
      <c r="I1823" s="9" t="s">
        <v>7813</v>
      </c>
      <c r="J1823" s="9" t="s">
        <v>7814</v>
      </c>
      <c r="K1823" s="9" t="s">
        <v>7815</v>
      </c>
      <c r="L1823" s="9" t="s">
        <v>30</v>
      </c>
      <c r="M1823" s="9" t="s">
        <v>31</v>
      </c>
      <c r="N1823" s="9" t="s">
        <v>32</v>
      </c>
      <c r="O1823" s="12" t="s">
        <v>33</v>
      </c>
      <c r="P1823" s="12" t="s">
        <v>34</v>
      </c>
      <c r="Q1823" s="9"/>
      <c r="R1823" s="18"/>
      <c r="S1823" s="18"/>
      <c r="T1823" s="18"/>
      <c r="U1823" s="18"/>
      <c r="V1823" s="18"/>
      <c r="W1823" s="15"/>
      <c r="X1823" s="15"/>
    </row>
    <row r="1824">
      <c r="A1824" s="7">
        <v>1823.0</v>
      </c>
      <c r="B1824" s="8" t="s">
        <v>7816</v>
      </c>
      <c r="C1824" s="9" t="s">
        <v>7817</v>
      </c>
      <c r="D1824" s="10" t="str">
        <f>HYPERLINK("https://facebook.com/367089020688300_370988016965067", "367089020688300_370988016965067")</f>
        <v>367089020688300_370988016965067</v>
      </c>
      <c r="E1824" s="11">
        <v>228.0</v>
      </c>
      <c r="F1824" s="11">
        <v>10.0</v>
      </c>
      <c r="G1824" s="11">
        <v>608.0</v>
      </c>
      <c r="H1824" s="9" t="s">
        <v>26</v>
      </c>
      <c r="I1824" s="9" t="s">
        <v>7818</v>
      </c>
      <c r="J1824" s="9" t="s">
        <v>7819</v>
      </c>
      <c r="K1824" s="9" t="s">
        <v>7820</v>
      </c>
      <c r="L1824" s="9" t="s">
        <v>30</v>
      </c>
      <c r="M1824" s="9" t="s">
        <v>31</v>
      </c>
      <c r="N1824" s="9" t="s">
        <v>32</v>
      </c>
      <c r="O1824" s="12" t="s">
        <v>33</v>
      </c>
      <c r="P1824" s="12" t="s">
        <v>34</v>
      </c>
      <c r="Q1824" s="9"/>
      <c r="R1824" s="18"/>
      <c r="S1824" s="18"/>
      <c r="T1824" s="18"/>
      <c r="U1824" s="18"/>
      <c r="V1824" s="18"/>
      <c r="W1824" s="15"/>
      <c r="X1824" s="15"/>
    </row>
    <row r="1825">
      <c r="A1825" s="7">
        <v>1824.0</v>
      </c>
      <c r="B1825" s="8" t="s">
        <v>7821</v>
      </c>
      <c r="C1825" s="9" t="s">
        <v>7822</v>
      </c>
      <c r="D1825" s="10" t="str">
        <f>HYPERLINK("https://facebook.com/367089020688300_545030156227518", "367089020688300_545030156227518")</f>
        <v>367089020688300_545030156227518</v>
      </c>
      <c r="E1825" s="11">
        <v>23.0</v>
      </c>
      <c r="F1825" s="11">
        <v>0.0</v>
      </c>
      <c r="G1825" s="11">
        <v>11.0</v>
      </c>
      <c r="H1825" s="9" t="s">
        <v>26</v>
      </c>
      <c r="I1825" s="9" t="s">
        <v>7823</v>
      </c>
      <c r="J1825" s="16" t="s">
        <v>7824</v>
      </c>
      <c r="K1825" s="9"/>
      <c r="L1825" s="9" t="s">
        <v>30</v>
      </c>
      <c r="M1825" s="9" t="s">
        <v>31</v>
      </c>
      <c r="N1825" s="9" t="s">
        <v>32</v>
      </c>
      <c r="O1825" s="12" t="s">
        <v>33</v>
      </c>
      <c r="P1825" s="12" t="s">
        <v>34</v>
      </c>
      <c r="Q1825" s="9"/>
      <c r="R1825" s="18"/>
      <c r="S1825" s="18"/>
      <c r="T1825" s="18"/>
      <c r="U1825" s="18"/>
      <c r="V1825" s="18"/>
      <c r="W1825" s="15"/>
      <c r="X1825" s="15"/>
    </row>
    <row r="1826">
      <c r="A1826" s="7">
        <v>1825.0</v>
      </c>
      <c r="B1826" s="8" t="s">
        <v>7825</v>
      </c>
      <c r="C1826" s="9" t="s">
        <v>7826</v>
      </c>
      <c r="D1826" s="10" t="str">
        <f>HYPERLINK("https://facebook.com/367089020688300_538122283584972", "367089020688300_538122283584972")</f>
        <v>367089020688300_538122283584972</v>
      </c>
      <c r="E1826" s="11">
        <v>13.0</v>
      </c>
      <c r="F1826" s="11">
        <v>0.0</v>
      </c>
      <c r="G1826" s="11">
        <v>5.0</v>
      </c>
      <c r="H1826" s="9" t="s">
        <v>26</v>
      </c>
      <c r="I1826" s="9" t="s">
        <v>212</v>
      </c>
      <c r="J1826" s="9" t="s">
        <v>213</v>
      </c>
      <c r="K1826" s="9" t="s">
        <v>142</v>
      </c>
      <c r="L1826" s="9" t="s">
        <v>30</v>
      </c>
      <c r="M1826" s="9" t="s">
        <v>31</v>
      </c>
      <c r="N1826" s="9" t="s">
        <v>32</v>
      </c>
      <c r="O1826" s="12" t="s">
        <v>33</v>
      </c>
      <c r="P1826" s="12" t="s">
        <v>34</v>
      </c>
      <c r="Q1826" s="9"/>
      <c r="R1826" s="18"/>
      <c r="S1826" s="18"/>
      <c r="T1826" s="18"/>
      <c r="U1826" s="18"/>
      <c r="V1826" s="18"/>
      <c r="W1826" s="15"/>
      <c r="X1826" s="15"/>
    </row>
    <row r="1827">
      <c r="A1827" s="7">
        <v>1826.0</v>
      </c>
      <c r="B1827" s="8" t="s">
        <v>7827</v>
      </c>
      <c r="C1827" s="9" t="s">
        <v>7828</v>
      </c>
      <c r="D1827" s="10" t="str">
        <f>HYPERLINK("https://facebook.com/367089020688300_542762806454253", "367089020688300_542762806454253")</f>
        <v>367089020688300_542762806454253</v>
      </c>
      <c r="E1827" s="11">
        <v>74.0</v>
      </c>
      <c r="F1827" s="11">
        <v>0.0</v>
      </c>
      <c r="G1827" s="11">
        <v>60.0</v>
      </c>
      <c r="H1827" s="9" t="s">
        <v>26</v>
      </c>
      <c r="I1827" s="9" t="s">
        <v>7829</v>
      </c>
      <c r="J1827" s="9" t="s">
        <v>7830</v>
      </c>
      <c r="K1827" s="9" t="s">
        <v>7831</v>
      </c>
      <c r="L1827" s="9" t="s">
        <v>30</v>
      </c>
      <c r="M1827" s="9" t="s">
        <v>31</v>
      </c>
      <c r="N1827" s="9" t="s">
        <v>32</v>
      </c>
      <c r="O1827" s="12" t="s">
        <v>33</v>
      </c>
      <c r="P1827" s="12" t="s">
        <v>34</v>
      </c>
      <c r="Q1827" s="9"/>
      <c r="R1827" s="18"/>
      <c r="S1827" s="18"/>
      <c r="T1827" s="18"/>
      <c r="U1827" s="18"/>
      <c r="V1827" s="18"/>
      <c r="W1827" s="15"/>
      <c r="X1827" s="15"/>
    </row>
    <row r="1828">
      <c r="A1828" s="7">
        <v>1827.0</v>
      </c>
      <c r="B1828" s="8" t="s">
        <v>7832</v>
      </c>
      <c r="C1828" s="9" t="s">
        <v>7833</v>
      </c>
      <c r="D1828" s="10" t="str">
        <f>HYPERLINK("https://facebook.com/367089020688300_452113695519165", "367089020688300_452113695519165")</f>
        <v>367089020688300_452113695519165</v>
      </c>
      <c r="E1828" s="11">
        <v>108.0</v>
      </c>
      <c r="F1828" s="11">
        <v>1.0</v>
      </c>
      <c r="G1828" s="11">
        <v>186.0</v>
      </c>
      <c r="H1828" s="9" t="s">
        <v>26</v>
      </c>
      <c r="I1828" s="9" t="s">
        <v>7834</v>
      </c>
      <c r="J1828" s="9" t="s">
        <v>7835</v>
      </c>
      <c r="K1828" s="9" t="s">
        <v>7836</v>
      </c>
      <c r="L1828" s="9" t="s">
        <v>30</v>
      </c>
      <c r="M1828" s="9" t="s">
        <v>31</v>
      </c>
      <c r="N1828" s="9" t="s">
        <v>32</v>
      </c>
      <c r="O1828" s="12" t="s">
        <v>33</v>
      </c>
      <c r="P1828" s="12" t="s">
        <v>34</v>
      </c>
      <c r="Q1828" s="9"/>
      <c r="R1828" s="18"/>
      <c r="S1828" s="18"/>
      <c r="T1828" s="18"/>
      <c r="U1828" s="18"/>
      <c r="V1828" s="18"/>
      <c r="W1828" s="15"/>
      <c r="X1828" s="15"/>
    </row>
    <row r="1829">
      <c r="A1829" s="7">
        <v>1828.0</v>
      </c>
      <c r="B1829" s="8" t="s">
        <v>7837</v>
      </c>
      <c r="C1829" s="9" t="s">
        <v>7838</v>
      </c>
      <c r="D1829" s="10" t="str">
        <f>HYPERLINK("https://facebook.com/367089020688300_554822898581577", "367089020688300_554822898581577")</f>
        <v>367089020688300_554822898581577</v>
      </c>
      <c r="E1829" s="11">
        <v>3447.0</v>
      </c>
      <c r="F1829" s="11">
        <v>124.0</v>
      </c>
      <c r="G1829" s="11">
        <v>1957.0</v>
      </c>
      <c r="H1829" s="9" t="s">
        <v>26</v>
      </c>
      <c r="I1829" s="9" t="s">
        <v>1764</v>
      </c>
      <c r="J1829" s="16" t="s">
        <v>1765</v>
      </c>
      <c r="K1829" s="9"/>
      <c r="L1829" s="9" t="s">
        <v>30</v>
      </c>
      <c r="M1829" s="9" t="s">
        <v>31</v>
      </c>
      <c r="N1829" s="9" t="s">
        <v>32</v>
      </c>
      <c r="O1829" s="12" t="s">
        <v>33</v>
      </c>
      <c r="P1829" s="12" t="s">
        <v>34</v>
      </c>
      <c r="Q1829" s="9"/>
      <c r="R1829" s="18"/>
      <c r="S1829" s="18"/>
      <c r="T1829" s="18"/>
      <c r="U1829" s="18"/>
      <c r="V1829" s="18"/>
      <c r="W1829" s="15"/>
      <c r="X1829" s="15"/>
    </row>
    <row r="1830">
      <c r="A1830" s="7">
        <v>1829.0</v>
      </c>
      <c r="B1830" s="8" t="s">
        <v>7839</v>
      </c>
      <c r="C1830" s="9" t="s">
        <v>7840</v>
      </c>
      <c r="D1830" s="10" t="str">
        <f>HYPERLINK("https://facebook.com/367089020688300_460191751378026", "367089020688300_460191751378026")</f>
        <v>367089020688300_460191751378026</v>
      </c>
      <c r="E1830" s="11">
        <v>24.0</v>
      </c>
      <c r="F1830" s="11">
        <v>0.0</v>
      </c>
      <c r="G1830" s="11">
        <v>7.0</v>
      </c>
      <c r="H1830" s="9" t="s">
        <v>26</v>
      </c>
      <c r="I1830" s="9" t="s">
        <v>7841</v>
      </c>
      <c r="J1830" s="9" t="s">
        <v>7842</v>
      </c>
      <c r="K1830" s="9" t="s">
        <v>7843</v>
      </c>
      <c r="L1830" s="9" t="s">
        <v>30</v>
      </c>
      <c r="M1830" s="9" t="s">
        <v>31</v>
      </c>
      <c r="N1830" s="9" t="s">
        <v>32</v>
      </c>
      <c r="O1830" s="12" t="s">
        <v>33</v>
      </c>
      <c r="P1830" s="12" t="s">
        <v>34</v>
      </c>
      <c r="Q1830" s="9"/>
      <c r="R1830" s="18"/>
      <c r="S1830" s="18"/>
      <c r="T1830" s="18"/>
      <c r="U1830" s="18"/>
      <c r="V1830" s="18"/>
      <c r="W1830" s="15"/>
      <c r="X1830" s="15"/>
    </row>
    <row r="1831">
      <c r="A1831" s="7">
        <v>1830.0</v>
      </c>
      <c r="B1831" s="8" t="s">
        <v>7844</v>
      </c>
      <c r="C1831" s="9" t="s">
        <v>7845</v>
      </c>
      <c r="D1831" s="10" t="str">
        <f>HYPERLINK("https://facebook.com/367089020688300_396743847722817", "367089020688300_396743847722817")</f>
        <v>367089020688300_396743847722817</v>
      </c>
      <c r="E1831" s="11">
        <v>25.0</v>
      </c>
      <c r="F1831" s="11">
        <v>0.0</v>
      </c>
      <c r="G1831" s="11">
        <v>45.0</v>
      </c>
      <c r="H1831" s="9" t="s">
        <v>26</v>
      </c>
      <c r="I1831" s="9" t="s">
        <v>7846</v>
      </c>
      <c r="J1831" s="9" t="s">
        <v>7847</v>
      </c>
      <c r="K1831" s="9" t="s">
        <v>7848</v>
      </c>
      <c r="L1831" s="9" t="s">
        <v>30</v>
      </c>
      <c r="M1831" s="9" t="s">
        <v>31</v>
      </c>
      <c r="N1831" s="9" t="s">
        <v>32</v>
      </c>
      <c r="O1831" s="12" t="s">
        <v>33</v>
      </c>
      <c r="P1831" s="12" t="s">
        <v>34</v>
      </c>
      <c r="Q1831" s="9"/>
      <c r="R1831" s="18"/>
      <c r="S1831" s="18"/>
      <c r="T1831" s="18"/>
      <c r="U1831" s="18"/>
      <c r="V1831" s="18"/>
      <c r="W1831" s="15"/>
      <c r="X1831" s="15"/>
    </row>
    <row r="1832">
      <c r="A1832" s="7">
        <v>1831.0</v>
      </c>
      <c r="B1832" s="8" t="s">
        <v>7849</v>
      </c>
      <c r="C1832" s="9" t="s">
        <v>7850</v>
      </c>
      <c r="D1832" s="10" t="str">
        <f>HYPERLINK("https://facebook.com/367089020688300_547066589357208", "367089020688300_547066589357208")</f>
        <v>367089020688300_547066589357208</v>
      </c>
      <c r="E1832" s="11">
        <v>57.0</v>
      </c>
      <c r="F1832" s="11">
        <v>0.0</v>
      </c>
      <c r="G1832" s="11">
        <v>17.0</v>
      </c>
      <c r="H1832" s="9" t="s">
        <v>26</v>
      </c>
      <c r="I1832" s="9" t="s">
        <v>7851</v>
      </c>
      <c r="J1832" s="16" t="s">
        <v>7852</v>
      </c>
      <c r="K1832" s="9"/>
      <c r="L1832" s="9" t="s">
        <v>30</v>
      </c>
      <c r="M1832" s="9" t="s">
        <v>31</v>
      </c>
      <c r="N1832" s="9" t="s">
        <v>32</v>
      </c>
      <c r="O1832" s="12" t="s">
        <v>33</v>
      </c>
      <c r="P1832" s="12" t="s">
        <v>34</v>
      </c>
      <c r="Q1832" s="9"/>
      <c r="R1832" s="18"/>
      <c r="S1832" s="18"/>
      <c r="T1832" s="18"/>
      <c r="U1832" s="18"/>
      <c r="V1832" s="18"/>
      <c r="W1832" s="15"/>
      <c r="X1832" s="15"/>
    </row>
    <row r="1833">
      <c r="A1833" s="7">
        <v>1832.0</v>
      </c>
      <c r="B1833" s="8" t="s">
        <v>7853</v>
      </c>
      <c r="C1833" s="9" t="s">
        <v>7854</v>
      </c>
      <c r="D1833" s="10" t="str">
        <f>HYPERLINK("https://facebook.com/367089020688300_530378157692718", "367089020688300_530378157692718")</f>
        <v>367089020688300_530378157692718</v>
      </c>
      <c r="E1833" s="11">
        <v>182.0</v>
      </c>
      <c r="F1833" s="11">
        <v>12.0</v>
      </c>
      <c r="G1833" s="11">
        <v>321.0</v>
      </c>
      <c r="H1833" s="9" t="s">
        <v>26</v>
      </c>
      <c r="I1833" s="9" t="s">
        <v>4186</v>
      </c>
      <c r="J1833" s="9" t="s">
        <v>4187</v>
      </c>
      <c r="K1833" s="9" t="s">
        <v>2271</v>
      </c>
      <c r="L1833" s="9" t="s">
        <v>30</v>
      </c>
      <c r="M1833" s="9" t="s">
        <v>31</v>
      </c>
      <c r="N1833" s="9" t="s">
        <v>32</v>
      </c>
      <c r="O1833" s="12" t="s">
        <v>33</v>
      </c>
      <c r="P1833" s="12" t="s">
        <v>34</v>
      </c>
      <c r="Q1833" s="9"/>
      <c r="R1833" s="18"/>
      <c r="S1833" s="18"/>
      <c r="T1833" s="18"/>
      <c r="U1833" s="18"/>
      <c r="V1833" s="18"/>
      <c r="W1833" s="15"/>
      <c r="X1833" s="15"/>
    </row>
    <row r="1834">
      <c r="A1834" s="7">
        <v>1833.0</v>
      </c>
      <c r="B1834" s="8" t="s">
        <v>7855</v>
      </c>
      <c r="C1834" s="9" t="s">
        <v>7856</v>
      </c>
      <c r="D1834" s="10" t="str">
        <f>HYPERLINK("https://facebook.com/367089020688300_537056340358233", "367089020688300_537056340358233")</f>
        <v>367089020688300_537056340358233</v>
      </c>
      <c r="E1834" s="11">
        <v>393.0</v>
      </c>
      <c r="F1834" s="11">
        <v>9.0</v>
      </c>
      <c r="G1834" s="11">
        <v>238.0</v>
      </c>
      <c r="H1834" s="9" t="s">
        <v>26</v>
      </c>
      <c r="I1834" s="9" t="s">
        <v>7857</v>
      </c>
      <c r="J1834" s="16" t="s">
        <v>7858</v>
      </c>
      <c r="K1834" s="9"/>
      <c r="L1834" s="9" t="s">
        <v>30</v>
      </c>
      <c r="M1834" s="9" t="s">
        <v>31</v>
      </c>
      <c r="N1834" s="9" t="s">
        <v>32</v>
      </c>
      <c r="O1834" s="12" t="s">
        <v>33</v>
      </c>
      <c r="P1834" s="12" t="s">
        <v>34</v>
      </c>
      <c r="Q1834" s="9"/>
      <c r="R1834" s="18"/>
      <c r="S1834" s="18"/>
      <c r="T1834" s="18"/>
      <c r="U1834" s="18"/>
      <c r="V1834" s="18"/>
      <c r="W1834" s="15"/>
      <c r="X1834" s="15"/>
    </row>
    <row r="1835">
      <c r="A1835" s="7">
        <v>1834.0</v>
      </c>
      <c r="B1835" s="8" t="s">
        <v>7859</v>
      </c>
      <c r="C1835" s="9" t="s">
        <v>7860</v>
      </c>
      <c r="D1835" s="10" t="str">
        <f>HYPERLINK("https://facebook.com/367089020688300_556679841729216", "367089020688300_556679841729216")</f>
        <v>367089020688300_556679841729216</v>
      </c>
      <c r="E1835" s="11">
        <v>75.0</v>
      </c>
      <c r="F1835" s="11">
        <v>1.0</v>
      </c>
      <c r="G1835" s="11">
        <v>150.0</v>
      </c>
      <c r="H1835" s="9" t="s">
        <v>26</v>
      </c>
      <c r="I1835" s="9" t="s">
        <v>7861</v>
      </c>
      <c r="J1835" s="16" t="s">
        <v>7862</v>
      </c>
      <c r="K1835" s="9"/>
      <c r="L1835" s="9" t="s">
        <v>30</v>
      </c>
      <c r="M1835" s="9" t="s">
        <v>31</v>
      </c>
      <c r="N1835" s="9" t="s">
        <v>32</v>
      </c>
      <c r="O1835" s="12" t="s">
        <v>33</v>
      </c>
      <c r="P1835" s="12" t="s">
        <v>34</v>
      </c>
      <c r="Q1835" s="9"/>
      <c r="R1835" s="18"/>
      <c r="S1835" s="18"/>
      <c r="T1835" s="18"/>
      <c r="U1835" s="18"/>
      <c r="V1835" s="18"/>
      <c r="W1835" s="15"/>
      <c r="X1835" s="15"/>
    </row>
    <row r="1836">
      <c r="A1836" s="7">
        <v>1835.0</v>
      </c>
      <c r="B1836" s="8" t="s">
        <v>7863</v>
      </c>
      <c r="C1836" s="9" t="s">
        <v>7864</v>
      </c>
      <c r="D1836" s="10" t="str">
        <f>HYPERLINK("https://facebook.com/367089020688300_543776003019600", "367089020688300_543776003019600")</f>
        <v>367089020688300_543776003019600</v>
      </c>
      <c r="E1836" s="11">
        <v>1035.0</v>
      </c>
      <c r="F1836" s="11">
        <v>62.0</v>
      </c>
      <c r="G1836" s="11">
        <v>392.0</v>
      </c>
      <c r="H1836" s="9" t="s">
        <v>26</v>
      </c>
      <c r="I1836" s="9" t="s">
        <v>7865</v>
      </c>
      <c r="J1836" s="9" t="s">
        <v>7866</v>
      </c>
      <c r="K1836" s="9" t="s">
        <v>7867</v>
      </c>
      <c r="L1836" s="9" t="s">
        <v>30</v>
      </c>
      <c r="M1836" s="9" t="s">
        <v>31</v>
      </c>
      <c r="N1836" s="9" t="s">
        <v>32</v>
      </c>
      <c r="O1836" s="12" t="s">
        <v>33</v>
      </c>
      <c r="P1836" s="12" t="s">
        <v>34</v>
      </c>
      <c r="Q1836" s="9"/>
      <c r="R1836" s="18"/>
      <c r="S1836" s="18"/>
      <c r="T1836" s="18"/>
      <c r="U1836" s="18"/>
      <c r="V1836" s="18"/>
      <c r="W1836" s="15"/>
      <c r="X1836" s="15"/>
    </row>
    <row r="1837">
      <c r="A1837" s="7">
        <v>1836.0</v>
      </c>
      <c r="B1837" s="8" t="s">
        <v>7868</v>
      </c>
      <c r="C1837" s="9" t="s">
        <v>7869</v>
      </c>
      <c r="D1837" s="10" t="str">
        <f>HYPERLINK("https://facebook.com/367089020688300_375378139859388", "367089020688300_375378139859388")</f>
        <v>367089020688300_375378139859388</v>
      </c>
      <c r="E1837" s="11">
        <v>203.0</v>
      </c>
      <c r="F1837" s="11">
        <v>11.0</v>
      </c>
      <c r="G1837" s="11">
        <v>506.0</v>
      </c>
      <c r="H1837" s="9" t="s">
        <v>26</v>
      </c>
      <c r="I1837" s="9" t="s">
        <v>7870</v>
      </c>
      <c r="J1837" s="9" t="s">
        <v>7871</v>
      </c>
      <c r="K1837" s="9" t="s">
        <v>7872</v>
      </c>
      <c r="L1837" s="9" t="s">
        <v>30</v>
      </c>
      <c r="M1837" s="9" t="s">
        <v>31</v>
      </c>
      <c r="N1837" s="9" t="s">
        <v>32</v>
      </c>
      <c r="O1837" s="12" t="s">
        <v>33</v>
      </c>
      <c r="P1837" s="12" t="s">
        <v>34</v>
      </c>
      <c r="Q1837" s="9"/>
      <c r="R1837" s="18"/>
      <c r="S1837" s="18"/>
      <c r="T1837" s="18"/>
      <c r="U1837" s="18"/>
      <c r="V1837" s="18"/>
      <c r="W1837" s="15"/>
      <c r="X1837" s="15"/>
    </row>
    <row r="1838">
      <c r="A1838" s="7">
        <v>1837.0</v>
      </c>
      <c r="B1838" s="8" t="s">
        <v>7873</v>
      </c>
      <c r="C1838" s="9" t="s">
        <v>7874</v>
      </c>
      <c r="D1838" s="10" t="str">
        <f>HYPERLINK("https://facebook.com/367089020688300_554985208565346", "367089020688300_554985208565346")</f>
        <v>367089020688300_554985208565346</v>
      </c>
      <c r="E1838" s="11">
        <v>16.0</v>
      </c>
      <c r="F1838" s="11">
        <v>0.0</v>
      </c>
      <c r="G1838" s="11">
        <v>18.0</v>
      </c>
      <c r="H1838" s="9" t="s">
        <v>26</v>
      </c>
      <c r="I1838" s="9" t="s">
        <v>7875</v>
      </c>
      <c r="J1838" s="16" t="s">
        <v>7876</v>
      </c>
      <c r="K1838" s="9"/>
      <c r="L1838" s="9" t="s">
        <v>30</v>
      </c>
      <c r="M1838" s="9" t="s">
        <v>31</v>
      </c>
      <c r="N1838" s="9" t="s">
        <v>32</v>
      </c>
      <c r="O1838" s="12" t="s">
        <v>33</v>
      </c>
      <c r="P1838" s="12" t="s">
        <v>34</v>
      </c>
      <c r="Q1838" s="9"/>
      <c r="R1838" s="18"/>
      <c r="S1838" s="18"/>
      <c r="T1838" s="18"/>
      <c r="U1838" s="18"/>
      <c r="V1838" s="18"/>
      <c r="W1838" s="15"/>
      <c r="X1838" s="15"/>
    </row>
    <row r="1839">
      <c r="A1839" s="7">
        <v>1838.0</v>
      </c>
      <c r="B1839" s="8" t="s">
        <v>7877</v>
      </c>
      <c r="C1839" s="9" t="s">
        <v>7878</v>
      </c>
      <c r="D1839" s="10" t="str">
        <f>HYPERLINK("https://facebook.com/367089020688300_396923697704832", "367089020688300_396923697704832")</f>
        <v>367089020688300_396923697704832</v>
      </c>
      <c r="E1839" s="11">
        <v>985.0</v>
      </c>
      <c r="F1839" s="11">
        <v>53.0</v>
      </c>
      <c r="G1839" s="11">
        <v>365.0</v>
      </c>
      <c r="H1839" s="9" t="s">
        <v>26</v>
      </c>
      <c r="I1839" s="9" t="s">
        <v>1760</v>
      </c>
      <c r="J1839" s="9" t="s">
        <v>2782</v>
      </c>
      <c r="K1839" s="9" t="s">
        <v>7879</v>
      </c>
      <c r="L1839" s="9" t="s">
        <v>30</v>
      </c>
      <c r="M1839" s="9" t="s">
        <v>31</v>
      </c>
      <c r="N1839" s="9" t="s">
        <v>32</v>
      </c>
      <c r="O1839" s="12" t="s">
        <v>33</v>
      </c>
      <c r="P1839" s="12" t="s">
        <v>34</v>
      </c>
      <c r="Q1839" s="9"/>
      <c r="R1839" s="18"/>
      <c r="S1839" s="18"/>
      <c r="T1839" s="18"/>
      <c r="U1839" s="18"/>
      <c r="V1839" s="18"/>
      <c r="W1839" s="15"/>
      <c r="X1839" s="15"/>
    </row>
    <row r="1840">
      <c r="A1840" s="7">
        <v>1839.0</v>
      </c>
      <c r="B1840" s="8" t="s">
        <v>7880</v>
      </c>
      <c r="C1840" s="9" t="s">
        <v>7881</v>
      </c>
      <c r="D1840" s="10" t="str">
        <f>HYPERLINK("https://facebook.com/367089020688300_531351280928739", "367089020688300_531351280928739")</f>
        <v>367089020688300_531351280928739</v>
      </c>
      <c r="E1840" s="11">
        <v>306.0</v>
      </c>
      <c r="F1840" s="11">
        <v>0.0</v>
      </c>
      <c r="G1840" s="11">
        <v>75.0</v>
      </c>
      <c r="H1840" s="9" t="s">
        <v>26</v>
      </c>
      <c r="I1840" s="9" t="s">
        <v>7882</v>
      </c>
      <c r="J1840" s="16" t="s">
        <v>7883</v>
      </c>
      <c r="K1840" s="9"/>
      <c r="L1840" s="9" t="s">
        <v>30</v>
      </c>
      <c r="M1840" s="9" t="s">
        <v>31</v>
      </c>
      <c r="N1840" s="9" t="s">
        <v>32</v>
      </c>
      <c r="O1840" s="12" t="s">
        <v>33</v>
      </c>
      <c r="P1840" s="12" t="s">
        <v>34</v>
      </c>
      <c r="Q1840" s="9"/>
      <c r="R1840" s="18"/>
      <c r="S1840" s="18"/>
      <c r="T1840" s="18"/>
      <c r="U1840" s="18"/>
      <c r="V1840" s="18"/>
      <c r="W1840" s="15"/>
      <c r="X1840" s="15"/>
    </row>
    <row r="1841">
      <c r="A1841" s="7">
        <v>1840.0</v>
      </c>
      <c r="B1841" s="8" t="s">
        <v>7884</v>
      </c>
      <c r="C1841" s="9" t="s">
        <v>7885</v>
      </c>
      <c r="D1841" s="10" t="str">
        <f>HYPERLINK("https://facebook.com/367089020688300_553958045334729", "367089020688300_553958045334729")</f>
        <v>367089020688300_553958045334729</v>
      </c>
      <c r="E1841" s="11">
        <v>35.0</v>
      </c>
      <c r="F1841" s="11">
        <v>1.0</v>
      </c>
      <c r="G1841" s="11">
        <v>71.0</v>
      </c>
      <c r="H1841" s="9" t="s">
        <v>26</v>
      </c>
      <c r="I1841" s="9" t="s">
        <v>7886</v>
      </c>
      <c r="J1841" s="16" t="s">
        <v>7887</v>
      </c>
      <c r="K1841" s="9"/>
      <c r="L1841" s="9" t="s">
        <v>30</v>
      </c>
      <c r="M1841" s="9" t="s">
        <v>31</v>
      </c>
      <c r="N1841" s="9" t="s">
        <v>32</v>
      </c>
      <c r="O1841" s="12" t="s">
        <v>33</v>
      </c>
      <c r="P1841" s="12" t="s">
        <v>34</v>
      </c>
      <c r="Q1841" s="9"/>
      <c r="R1841" s="18"/>
      <c r="S1841" s="18"/>
      <c r="T1841" s="18"/>
      <c r="U1841" s="18"/>
      <c r="V1841" s="18"/>
      <c r="W1841" s="15"/>
      <c r="X1841" s="15"/>
    </row>
    <row r="1842">
      <c r="A1842" s="7">
        <v>1841.0</v>
      </c>
      <c r="B1842" s="8" t="s">
        <v>7888</v>
      </c>
      <c r="C1842" s="9" t="s">
        <v>7889</v>
      </c>
      <c r="D1842" s="10" t="str">
        <f>HYPERLINK("https://facebook.com/367089020688300_547891709274696", "367089020688300_547891709274696")</f>
        <v>367089020688300_547891709274696</v>
      </c>
      <c r="E1842" s="11">
        <v>22.0</v>
      </c>
      <c r="F1842" s="11">
        <v>0.0</v>
      </c>
      <c r="G1842" s="11">
        <v>9.0</v>
      </c>
      <c r="H1842" s="9" t="s">
        <v>26</v>
      </c>
      <c r="I1842" s="9" t="s">
        <v>7890</v>
      </c>
      <c r="J1842" s="16" t="s">
        <v>7891</v>
      </c>
      <c r="K1842" s="9"/>
      <c r="L1842" s="9" t="s">
        <v>30</v>
      </c>
      <c r="M1842" s="9" t="s">
        <v>31</v>
      </c>
      <c r="N1842" s="9" t="s">
        <v>32</v>
      </c>
      <c r="O1842" s="12" t="s">
        <v>33</v>
      </c>
      <c r="P1842" s="12" t="s">
        <v>34</v>
      </c>
      <c r="Q1842" s="9"/>
      <c r="R1842" s="18"/>
      <c r="S1842" s="18"/>
      <c r="T1842" s="18"/>
      <c r="U1842" s="18"/>
      <c r="V1842" s="18"/>
      <c r="W1842" s="15"/>
      <c r="X1842" s="15"/>
    </row>
    <row r="1843">
      <c r="A1843" s="7">
        <v>1842.0</v>
      </c>
      <c r="B1843" s="8" t="s">
        <v>7892</v>
      </c>
      <c r="C1843" s="9" t="s">
        <v>7893</v>
      </c>
      <c r="D1843" s="10" t="str">
        <f>HYPERLINK("https://facebook.com/367089020688300_551772138886653", "367089020688300_551772138886653")</f>
        <v>367089020688300_551772138886653</v>
      </c>
      <c r="E1843" s="11">
        <v>174.0</v>
      </c>
      <c r="F1843" s="11">
        <v>1.0</v>
      </c>
      <c r="G1843" s="11">
        <v>111.0</v>
      </c>
      <c r="H1843" s="9" t="s">
        <v>26</v>
      </c>
      <c r="I1843" s="9" t="s">
        <v>7894</v>
      </c>
      <c r="J1843" s="16" t="s">
        <v>7895</v>
      </c>
      <c r="K1843" s="9"/>
      <c r="L1843" s="9" t="s">
        <v>30</v>
      </c>
      <c r="M1843" s="9" t="s">
        <v>31</v>
      </c>
      <c r="N1843" s="9" t="s">
        <v>32</v>
      </c>
      <c r="O1843" s="12" t="s">
        <v>33</v>
      </c>
      <c r="P1843" s="12" t="s">
        <v>34</v>
      </c>
      <c r="Q1843" s="9"/>
      <c r="R1843" s="18"/>
      <c r="S1843" s="18"/>
      <c r="T1843" s="18"/>
      <c r="U1843" s="18"/>
      <c r="V1843" s="18"/>
      <c r="W1843" s="15"/>
      <c r="X1843" s="15"/>
    </row>
    <row r="1844">
      <c r="A1844" s="7">
        <v>1843.0</v>
      </c>
      <c r="B1844" s="8" t="s">
        <v>7896</v>
      </c>
      <c r="C1844" s="9" t="s">
        <v>7897</v>
      </c>
      <c r="D1844" s="10" t="str">
        <f>HYPERLINK("https://facebook.com/367089020688300_467854523945082", "367089020688300_467854523945082")</f>
        <v>367089020688300_467854523945082</v>
      </c>
      <c r="E1844" s="11">
        <v>1442.0</v>
      </c>
      <c r="F1844" s="11">
        <v>33.0</v>
      </c>
      <c r="G1844" s="11">
        <v>1557.0</v>
      </c>
      <c r="H1844" s="9" t="s">
        <v>26</v>
      </c>
      <c r="I1844" s="9" t="s">
        <v>7898</v>
      </c>
      <c r="J1844" s="9" t="s">
        <v>7899</v>
      </c>
      <c r="K1844" s="9" t="s">
        <v>7900</v>
      </c>
      <c r="L1844" s="9" t="s">
        <v>30</v>
      </c>
      <c r="M1844" s="9" t="s">
        <v>31</v>
      </c>
      <c r="N1844" s="9" t="s">
        <v>32</v>
      </c>
      <c r="O1844" s="12" t="s">
        <v>33</v>
      </c>
      <c r="P1844" s="12" t="s">
        <v>34</v>
      </c>
      <c r="Q1844" s="9"/>
      <c r="R1844" s="18"/>
      <c r="S1844" s="18"/>
      <c r="T1844" s="18"/>
      <c r="U1844" s="18"/>
      <c r="V1844" s="18"/>
      <c r="W1844" s="15"/>
      <c r="X1844" s="15"/>
    </row>
    <row r="1845">
      <c r="A1845" s="7">
        <v>1844.0</v>
      </c>
      <c r="B1845" s="8" t="s">
        <v>7901</v>
      </c>
      <c r="C1845" s="9" t="s">
        <v>7902</v>
      </c>
      <c r="D1845" s="10" t="str">
        <f>HYPERLINK("https://facebook.com/367089020688300_446968946033640", "367089020688300_446968946033640")</f>
        <v>367089020688300_446968946033640</v>
      </c>
      <c r="E1845" s="11">
        <v>302.0</v>
      </c>
      <c r="F1845" s="11">
        <v>18.0</v>
      </c>
      <c r="G1845" s="11">
        <v>236.0</v>
      </c>
      <c r="H1845" s="9" t="s">
        <v>26</v>
      </c>
      <c r="I1845" s="9" t="s">
        <v>7903</v>
      </c>
      <c r="J1845" s="9" t="s">
        <v>7904</v>
      </c>
      <c r="K1845" s="9" t="s">
        <v>7905</v>
      </c>
      <c r="L1845" s="9" t="s">
        <v>30</v>
      </c>
      <c r="M1845" s="9" t="s">
        <v>31</v>
      </c>
      <c r="N1845" s="9" t="s">
        <v>32</v>
      </c>
      <c r="O1845" s="12" t="s">
        <v>33</v>
      </c>
      <c r="P1845" s="12" t="s">
        <v>34</v>
      </c>
      <c r="Q1845" s="9"/>
      <c r="R1845" s="18"/>
      <c r="S1845" s="18"/>
      <c r="T1845" s="18"/>
      <c r="U1845" s="18"/>
      <c r="V1845" s="18"/>
      <c r="W1845" s="15"/>
      <c r="X1845" s="15"/>
    </row>
    <row r="1846">
      <c r="A1846" s="7">
        <v>1845.0</v>
      </c>
      <c r="B1846" s="8" t="s">
        <v>7906</v>
      </c>
      <c r="C1846" s="9" t="s">
        <v>7907</v>
      </c>
      <c r="D1846" s="10" t="str">
        <f>HYPERLINK("https://facebook.com/367089020688300_536604940403373", "367089020688300_536604940403373")</f>
        <v>367089020688300_536604940403373</v>
      </c>
      <c r="E1846" s="11">
        <v>101.0</v>
      </c>
      <c r="F1846" s="11">
        <v>0.0</v>
      </c>
      <c r="G1846" s="11">
        <v>31.0</v>
      </c>
      <c r="H1846" s="9" t="s">
        <v>26</v>
      </c>
      <c r="I1846" s="9" t="s">
        <v>7908</v>
      </c>
      <c r="J1846" s="16" t="s">
        <v>7909</v>
      </c>
      <c r="K1846" s="9"/>
      <c r="L1846" s="9" t="s">
        <v>30</v>
      </c>
      <c r="M1846" s="9" t="s">
        <v>31</v>
      </c>
      <c r="N1846" s="9" t="s">
        <v>32</v>
      </c>
      <c r="O1846" s="12" t="s">
        <v>33</v>
      </c>
      <c r="P1846" s="12" t="s">
        <v>34</v>
      </c>
      <c r="Q1846" s="9"/>
      <c r="R1846" s="18"/>
      <c r="S1846" s="18"/>
      <c r="T1846" s="18"/>
      <c r="U1846" s="18"/>
      <c r="V1846" s="18"/>
      <c r="W1846" s="15"/>
      <c r="X1846" s="15"/>
    </row>
    <row r="1847">
      <c r="A1847" s="7">
        <v>1846.0</v>
      </c>
      <c r="B1847" s="8" t="s">
        <v>7910</v>
      </c>
      <c r="C1847" s="9" t="s">
        <v>7911</v>
      </c>
      <c r="D1847" s="10" t="str">
        <f>HYPERLINK("https://facebook.com/367089020688300_552622752134925", "367089020688300_552622752134925")</f>
        <v>367089020688300_552622752134925</v>
      </c>
      <c r="E1847" s="11">
        <v>13.0</v>
      </c>
      <c r="F1847" s="11">
        <v>0.0</v>
      </c>
      <c r="G1847" s="11">
        <v>2.0</v>
      </c>
      <c r="H1847" s="9" t="s">
        <v>26</v>
      </c>
      <c r="I1847" s="9" t="s">
        <v>2640</v>
      </c>
      <c r="J1847" s="9" t="s">
        <v>7912</v>
      </c>
      <c r="K1847" s="9" t="s">
        <v>7913</v>
      </c>
      <c r="L1847" s="9" t="s">
        <v>30</v>
      </c>
      <c r="M1847" s="9" t="s">
        <v>31</v>
      </c>
      <c r="N1847" s="9" t="s">
        <v>32</v>
      </c>
      <c r="O1847" s="12" t="s">
        <v>33</v>
      </c>
      <c r="P1847" s="12" t="s">
        <v>34</v>
      </c>
      <c r="Q1847" s="9"/>
      <c r="R1847" s="18"/>
      <c r="S1847" s="18"/>
      <c r="T1847" s="18"/>
      <c r="U1847" s="18"/>
      <c r="V1847" s="18"/>
      <c r="W1847" s="15"/>
      <c r="X1847" s="15"/>
    </row>
    <row r="1848">
      <c r="A1848" s="7">
        <v>1847.0</v>
      </c>
      <c r="B1848" s="8" t="s">
        <v>7914</v>
      </c>
      <c r="C1848" s="9" t="s">
        <v>7915</v>
      </c>
      <c r="D1848" s="10" t="str">
        <f>HYPERLINK("https://facebook.com/367089020688300_514677672596100", "367089020688300_514677672596100")</f>
        <v>367089020688300_514677672596100</v>
      </c>
      <c r="E1848" s="11">
        <v>787.0</v>
      </c>
      <c r="F1848" s="11">
        <v>1.0</v>
      </c>
      <c r="G1848" s="11">
        <v>442.0</v>
      </c>
      <c r="H1848" s="9" t="s">
        <v>26</v>
      </c>
      <c r="I1848" s="9" t="s">
        <v>7916</v>
      </c>
      <c r="J1848" s="9" t="s">
        <v>7917</v>
      </c>
      <c r="K1848" s="9" t="s">
        <v>249</v>
      </c>
      <c r="L1848" s="9" t="s">
        <v>30</v>
      </c>
      <c r="M1848" s="9" t="s">
        <v>31</v>
      </c>
      <c r="N1848" s="9" t="s">
        <v>32</v>
      </c>
      <c r="O1848" s="12" t="s">
        <v>33</v>
      </c>
      <c r="P1848" s="12" t="s">
        <v>34</v>
      </c>
      <c r="Q1848" s="9"/>
      <c r="R1848" s="18"/>
      <c r="S1848" s="18"/>
      <c r="T1848" s="18"/>
      <c r="U1848" s="18"/>
      <c r="V1848" s="18"/>
      <c r="W1848" s="15"/>
      <c r="X1848" s="15"/>
    </row>
    <row r="1849">
      <c r="A1849" s="7">
        <v>1848.0</v>
      </c>
      <c r="B1849" s="8" t="s">
        <v>7918</v>
      </c>
      <c r="C1849" s="9" t="s">
        <v>7919</v>
      </c>
      <c r="D1849" s="10" t="str">
        <f>HYPERLINK("https://facebook.com/367089020688300_563151261082074", "367089020688300_563151261082074")</f>
        <v>367089020688300_563151261082074</v>
      </c>
      <c r="E1849" s="11">
        <v>218.0</v>
      </c>
      <c r="F1849" s="11">
        <v>3.0</v>
      </c>
      <c r="G1849" s="11">
        <v>44.0</v>
      </c>
      <c r="H1849" s="9" t="s">
        <v>26</v>
      </c>
      <c r="I1849" s="9" t="s">
        <v>7920</v>
      </c>
      <c r="J1849" s="16" t="s">
        <v>7921</v>
      </c>
      <c r="K1849" s="9"/>
      <c r="L1849" s="9" t="s">
        <v>30</v>
      </c>
      <c r="M1849" s="9" t="s">
        <v>31</v>
      </c>
      <c r="N1849" s="9" t="s">
        <v>32</v>
      </c>
      <c r="O1849" s="12" t="s">
        <v>33</v>
      </c>
      <c r="P1849" s="12" t="s">
        <v>34</v>
      </c>
      <c r="Q1849" s="9"/>
      <c r="R1849" s="18"/>
      <c r="S1849" s="18"/>
      <c r="T1849" s="18"/>
      <c r="U1849" s="18"/>
      <c r="V1849" s="18"/>
      <c r="W1849" s="15"/>
      <c r="X1849" s="15"/>
    </row>
    <row r="1850">
      <c r="A1850" s="7">
        <v>1849.0</v>
      </c>
      <c r="B1850" s="8" t="s">
        <v>7922</v>
      </c>
      <c r="C1850" s="9" t="s">
        <v>7923</v>
      </c>
      <c r="D1850" s="10" t="str">
        <f>HYPERLINK("https://facebook.com/367089020688300_520628288667705", "367089020688300_520628288667705")</f>
        <v>367089020688300_520628288667705</v>
      </c>
      <c r="E1850" s="11">
        <v>26.0</v>
      </c>
      <c r="F1850" s="11">
        <v>0.0</v>
      </c>
      <c r="G1850" s="11">
        <v>18.0</v>
      </c>
      <c r="H1850" s="9" t="s">
        <v>26</v>
      </c>
      <c r="I1850" s="9" t="s">
        <v>7924</v>
      </c>
      <c r="J1850" s="9" t="s">
        <v>7925</v>
      </c>
      <c r="K1850" s="9" t="s">
        <v>7926</v>
      </c>
      <c r="L1850" s="9" t="s">
        <v>30</v>
      </c>
      <c r="M1850" s="9" t="s">
        <v>31</v>
      </c>
      <c r="N1850" s="9" t="s">
        <v>32</v>
      </c>
      <c r="O1850" s="12" t="s">
        <v>33</v>
      </c>
      <c r="P1850" s="12" t="s">
        <v>34</v>
      </c>
      <c r="Q1850" s="9"/>
      <c r="R1850" s="18"/>
      <c r="S1850" s="18"/>
      <c r="T1850" s="18"/>
      <c r="U1850" s="18"/>
      <c r="V1850" s="18"/>
      <c r="W1850" s="15"/>
      <c r="X1850" s="15"/>
    </row>
    <row r="1851">
      <c r="A1851" s="7">
        <v>1850.0</v>
      </c>
      <c r="B1851" s="8" t="s">
        <v>7927</v>
      </c>
      <c r="C1851" s="9" t="s">
        <v>7928</v>
      </c>
      <c r="D1851" s="10" t="str">
        <f>HYPERLINK("https://facebook.com/367089020688300_512360082827859", "367089020688300_512360082827859")</f>
        <v>367089020688300_512360082827859</v>
      </c>
      <c r="E1851" s="11">
        <v>9.0</v>
      </c>
      <c r="F1851" s="11">
        <v>0.0</v>
      </c>
      <c r="G1851" s="11">
        <v>17.0</v>
      </c>
      <c r="H1851" s="9" t="s">
        <v>26</v>
      </c>
      <c r="I1851" s="9" t="s">
        <v>7929</v>
      </c>
      <c r="J1851" s="9" t="s">
        <v>7930</v>
      </c>
      <c r="K1851" s="9" t="s">
        <v>7931</v>
      </c>
      <c r="L1851" s="9" t="s">
        <v>30</v>
      </c>
      <c r="M1851" s="9" t="s">
        <v>31</v>
      </c>
      <c r="N1851" s="9" t="s">
        <v>32</v>
      </c>
      <c r="O1851" s="12" t="s">
        <v>33</v>
      </c>
      <c r="P1851" s="12" t="s">
        <v>34</v>
      </c>
      <c r="Q1851" s="9"/>
      <c r="R1851" s="18"/>
      <c r="S1851" s="18"/>
      <c r="T1851" s="18"/>
      <c r="U1851" s="18"/>
      <c r="V1851" s="18"/>
      <c r="W1851" s="15"/>
      <c r="X1851" s="15"/>
    </row>
    <row r="1852">
      <c r="A1852" s="7">
        <v>1851.0</v>
      </c>
      <c r="B1852" s="8" t="s">
        <v>7932</v>
      </c>
      <c r="C1852" s="9" t="s">
        <v>7933</v>
      </c>
      <c r="D1852" s="10" t="str">
        <f>HYPERLINK("https://facebook.com/367089020688300_535225577207976", "367089020688300_535225577207976")</f>
        <v>367089020688300_535225577207976</v>
      </c>
      <c r="E1852" s="11">
        <v>659.0</v>
      </c>
      <c r="F1852" s="11">
        <v>33.0</v>
      </c>
      <c r="G1852" s="11">
        <v>723.0</v>
      </c>
      <c r="H1852" s="9" t="s">
        <v>26</v>
      </c>
      <c r="I1852" s="9" t="s">
        <v>7934</v>
      </c>
      <c r="J1852" s="9" t="s">
        <v>7935</v>
      </c>
      <c r="K1852" s="9" t="s">
        <v>7936</v>
      </c>
      <c r="L1852" s="9" t="s">
        <v>30</v>
      </c>
      <c r="M1852" s="9" t="s">
        <v>31</v>
      </c>
      <c r="N1852" s="9" t="s">
        <v>32</v>
      </c>
      <c r="O1852" s="12" t="s">
        <v>33</v>
      </c>
      <c r="P1852" s="12" t="s">
        <v>34</v>
      </c>
      <c r="Q1852" s="9"/>
      <c r="R1852" s="18"/>
      <c r="S1852" s="18"/>
      <c r="T1852" s="18"/>
      <c r="U1852" s="18"/>
      <c r="V1852" s="18"/>
      <c r="W1852" s="15"/>
      <c r="X1852" s="15"/>
    </row>
    <row r="1853">
      <c r="A1853" s="7">
        <v>1852.0</v>
      </c>
      <c r="B1853" s="8" t="s">
        <v>7937</v>
      </c>
      <c r="C1853" s="9" t="s">
        <v>7938</v>
      </c>
      <c r="D1853" s="10" t="str">
        <f>HYPERLINK("https://facebook.com/367089020688300_534164657314068", "367089020688300_534164657314068")</f>
        <v>367089020688300_534164657314068</v>
      </c>
      <c r="E1853" s="11">
        <v>90.0</v>
      </c>
      <c r="F1853" s="11">
        <v>0.0</v>
      </c>
      <c r="G1853" s="11">
        <v>142.0</v>
      </c>
      <c r="H1853" s="9" t="s">
        <v>26</v>
      </c>
      <c r="I1853" s="9" t="s">
        <v>7939</v>
      </c>
      <c r="J1853" s="9" t="s">
        <v>7940</v>
      </c>
      <c r="K1853" s="9" t="s">
        <v>7941</v>
      </c>
      <c r="L1853" s="9" t="s">
        <v>30</v>
      </c>
      <c r="M1853" s="9" t="s">
        <v>31</v>
      </c>
      <c r="N1853" s="9" t="s">
        <v>32</v>
      </c>
      <c r="O1853" s="12" t="s">
        <v>33</v>
      </c>
      <c r="P1853" s="12" t="s">
        <v>34</v>
      </c>
      <c r="Q1853" s="9"/>
      <c r="R1853" s="18"/>
      <c r="S1853" s="18"/>
      <c r="T1853" s="18"/>
      <c r="U1853" s="18"/>
      <c r="V1853" s="18"/>
      <c r="W1853" s="15"/>
      <c r="X1853" s="15"/>
    </row>
    <row r="1854">
      <c r="A1854" s="7">
        <v>1853.0</v>
      </c>
      <c r="B1854" s="8" t="s">
        <v>7942</v>
      </c>
      <c r="C1854" s="9" t="s">
        <v>7943</v>
      </c>
      <c r="D1854" s="10" t="str">
        <f>HYPERLINK("https://facebook.com/367089020688300_553393525391181", "367089020688300_553393525391181")</f>
        <v>367089020688300_553393525391181</v>
      </c>
      <c r="E1854" s="11">
        <v>25.0</v>
      </c>
      <c r="F1854" s="11">
        <v>1.0</v>
      </c>
      <c r="G1854" s="11">
        <v>20.0</v>
      </c>
      <c r="H1854" s="9" t="s">
        <v>26</v>
      </c>
      <c r="I1854" s="9" t="s">
        <v>7944</v>
      </c>
      <c r="J1854" s="16" t="s">
        <v>7945</v>
      </c>
      <c r="K1854" s="9"/>
      <c r="L1854" s="9" t="s">
        <v>30</v>
      </c>
      <c r="M1854" s="9" t="s">
        <v>31</v>
      </c>
      <c r="N1854" s="9" t="s">
        <v>32</v>
      </c>
      <c r="O1854" s="12" t="s">
        <v>33</v>
      </c>
      <c r="P1854" s="12" t="s">
        <v>34</v>
      </c>
      <c r="Q1854" s="9"/>
      <c r="R1854" s="18"/>
      <c r="S1854" s="18"/>
      <c r="T1854" s="18"/>
      <c r="U1854" s="18"/>
      <c r="V1854" s="18"/>
      <c r="W1854" s="15"/>
      <c r="X1854" s="15"/>
    </row>
    <row r="1855">
      <c r="A1855" s="7">
        <v>1854.0</v>
      </c>
      <c r="B1855" s="8" t="s">
        <v>7946</v>
      </c>
      <c r="C1855" s="9" t="s">
        <v>7947</v>
      </c>
      <c r="D1855" s="10" t="str">
        <f>HYPERLINK("https://facebook.com/367089020688300_538215626908971", "367089020688300_538215626908971")</f>
        <v>367089020688300_538215626908971</v>
      </c>
      <c r="E1855" s="11">
        <v>111.0</v>
      </c>
      <c r="F1855" s="11">
        <v>5.0</v>
      </c>
      <c r="G1855" s="11">
        <v>78.0</v>
      </c>
      <c r="H1855" s="9" t="s">
        <v>26</v>
      </c>
      <c r="I1855" s="9" t="s">
        <v>7948</v>
      </c>
      <c r="J1855" s="16" t="s">
        <v>7949</v>
      </c>
      <c r="K1855" s="9"/>
      <c r="L1855" s="9" t="s">
        <v>30</v>
      </c>
      <c r="M1855" s="9" t="s">
        <v>31</v>
      </c>
      <c r="N1855" s="9" t="s">
        <v>32</v>
      </c>
      <c r="O1855" s="12" t="s">
        <v>33</v>
      </c>
      <c r="P1855" s="12" t="s">
        <v>34</v>
      </c>
      <c r="Q1855" s="9"/>
      <c r="R1855" s="18"/>
      <c r="S1855" s="18"/>
      <c r="T1855" s="18"/>
      <c r="U1855" s="18"/>
      <c r="V1855" s="18"/>
      <c r="W1855" s="15"/>
      <c r="X1855" s="15"/>
    </row>
    <row r="1856">
      <c r="A1856" s="7">
        <v>1855.0</v>
      </c>
      <c r="B1856" s="8" t="s">
        <v>7950</v>
      </c>
      <c r="C1856" s="9" t="s">
        <v>7951</v>
      </c>
      <c r="D1856" s="10" t="str">
        <f>HYPERLINK("https://facebook.com/367089020688300_515517665845434", "367089020688300_515517665845434")</f>
        <v>367089020688300_515517665845434</v>
      </c>
      <c r="E1856" s="11">
        <v>33.0</v>
      </c>
      <c r="F1856" s="11">
        <v>0.0</v>
      </c>
      <c r="G1856" s="11">
        <v>19.0</v>
      </c>
      <c r="H1856" s="9" t="s">
        <v>26</v>
      </c>
      <c r="I1856" s="9" t="s">
        <v>5547</v>
      </c>
      <c r="J1856" s="9" t="s">
        <v>5548</v>
      </c>
      <c r="K1856" s="9" t="s">
        <v>7952</v>
      </c>
      <c r="L1856" s="9" t="s">
        <v>30</v>
      </c>
      <c r="M1856" s="9" t="s">
        <v>31</v>
      </c>
      <c r="N1856" s="9" t="s">
        <v>32</v>
      </c>
      <c r="O1856" s="12" t="s">
        <v>33</v>
      </c>
      <c r="P1856" s="12" t="s">
        <v>34</v>
      </c>
      <c r="Q1856" s="9"/>
      <c r="R1856" s="18"/>
      <c r="S1856" s="18"/>
      <c r="T1856" s="18"/>
      <c r="U1856" s="18"/>
      <c r="V1856" s="18"/>
      <c r="W1856" s="15"/>
      <c r="X1856" s="15"/>
    </row>
    <row r="1857">
      <c r="A1857" s="7">
        <v>1856.0</v>
      </c>
      <c r="B1857" s="8" t="s">
        <v>7953</v>
      </c>
      <c r="C1857" s="9" t="s">
        <v>7954</v>
      </c>
      <c r="D1857" s="10" t="str">
        <f>HYPERLINK("https://facebook.com/367089020688300_540078820055985", "367089020688300_540078820055985")</f>
        <v>367089020688300_540078820055985</v>
      </c>
      <c r="E1857" s="11">
        <v>298.0</v>
      </c>
      <c r="F1857" s="11">
        <v>20.0</v>
      </c>
      <c r="G1857" s="11">
        <v>248.0</v>
      </c>
      <c r="H1857" s="9" t="s">
        <v>26</v>
      </c>
      <c r="I1857" s="9" t="s">
        <v>7955</v>
      </c>
      <c r="J1857" s="9" t="s">
        <v>7956</v>
      </c>
      <c r="K1857" s="9" t="s">
        <v>249</v>
      </c>
      <c r="L1857" s="9" t="s">
        <v>30</v>
      </c>
      <c r="M1857" s="9" t="s">
        <v>31</v>
      </c>
      <c r="N1857" s="9" t="s">
        <v>32</v>
      </c>
      <c r="O1857" s="12" t="s">
        <v>33</v>
      </c>
      <c r="P1857" s="12" t="s">
        <v>34</v>
      </c>
      <c r="Q1857" s="9"/>
      <c r="R1857" s="18"/>
      <c r="S1857" s="18"/>
      <c r="T1857" s="18"/>
      <c r="U1857" s="18"/>
      <c r="V1857" s="18"/>
      <c r="W1857" s="15"/>
      <c r="X1857" s="15"/>
    </row>
    <row r="1858">
      <c r="A1858" s="7">
        <v>1857.0</v>
      </c>
      <c r="B1858" s="8" t="s">
        <v>7957</v>
      </c>
      <c r="C1858" s="9" t="s">
        <v>7958</v>
      </c>
      <c r="D1858" s="10" t="str">
        <f>HYPERLINK("https://facebook.com/367089020688300_376720343058501", "367089020688300_376720343058501")</f>
        <v>367089020688300_376720343058501</v>
      </c>
      <c r="E1858" s="11">
        <v>286.0</v>
      </c>
      <c r="F1858" s="11">
        <v>17.0</v>
      </c>
      <c r="G1858" s="11">
        <v>394.0</v>
      </c>
      <c r="H1858" s="9" t="s">
        <v>26</v>
      </c>
      <c r="I1858" s="9" t="s">
        <v>7959</v>
      </c>
      <c r="J1858" s="9" t="s">
        <v>7960</v>
      </c>
      <c r="K1858" s="9" t="s">
        <v>7961</v>
      </c>
      <c r="L1858" s="9" t="s">
        <v>30</v>
      </c>
      <c r="M1858" s="9" t="s">
        <v>31</v>
      </c>
      <c r="N1858" s="9" t="s">
        <v>32</v>
      </c>
      <c r="O1858" s="12" t="s">
        <v>33</v>
      </c>
      <c r="P1858" s="12" t="s">
        <v>34</v>
      </c>
      <c r="Q1858" s="9"/>
      <c r="R1858" s="18"/>
      <c r="S1858" s="18"/>
      <c r="T1858" s="18"/>
      <c r="U1858" s="18"/>
      <c r="V1858" s="18"/>
      <c r="W1858" s="15"/>
      <c r="X1858" s="15"/>
    </row>
    <row r="1859">
      <c r="A1859" s="7">
        <v>1858.0</v>
      </c>
      <c r="B1859" s="8" t="s">
        <v>7962</v>
      </c>
      <c r="C1859" s="9" t="s">
        <v>7963</v>
      </c>
      <c r="D1859" s="10" t="str">
        <f>HYPERLINK("https://facebook.com/367089020688300_518272508903283", "367089020688300_518272508903283")</f>
        <v>367089020688300_518272508903283</v>
      </c>
      <c r="E1859" s="11">
        <v>188.0</v>
      </c>
      <c r="F1859" s="11">
        <v>2.0</v>
      </c>
      <c r="G1859" s="11">
        <v>106.0</v>
      </c>
      <c r="H1859" s="9" t="s">
        <v>26</v>
      </c>
      <c r="I1859" s="9" t="s">
        <v>7964</v>
      </c>
      <c r="J1859" s="16" t="s">
        <v>7965</v>
      </c>
      <c r="K1859" s="9"/>
      <c r="L1859" s="9" t="s">
        <v>30</v>
      </c>
      <c r="M1859" s="9" t="s">
        <v>31</v>
      </c>
      <c r="N1859" s="9" t="s">
        <v>32</v>
      </c>
      <c r="O1859" s="12" t="s">
        <v>33</v>
      </c>
      <c r="P1859" s="12" t="s">
        <v>34</v>
      </c>
      <c r="Q1859" s="9"/>
      <c r="R1859" s="18"/>
      <c r="S1859" s="18"/>
      <c r="T1859" s="18"/>
      <c r="U1859" s="18"/>
      <c r="V1859" s="18"/>
      <c r="W1859" s="15"/>
      <c r="X1859" s="15"/>
    </row>
    <row r="1860">
      <c r="A1860" s="7">
        <v>1859.0</v>
      </c>
      <c r="B1860" s="8" t="s">
        <v>7966</v>
      </c>
      <c r="C1860" s="9" t="s">
        <v>7967</v>
      </c>
      <c r="D1860" s="10" t="str">
        <f>HYPERLINK("https://facebook.com/367089020688300_555733645157169", "367089020688300_555733645157169")</f>
        <v>367089020688300_555733645157169</v>
      </c>
      <c r="E1860" s="11">
        <v>40.0</v>
      </c>
      <c r="F1860" s="11">
        <v>0.0</v>
      </c>
      <c r="G1860" s="11">
        <v>22.0</v>
      </c>
      <c r="H1860" s="9" t="s">
        <v>26</v>
      </c>
      <c r="I1860" s="9" t="s">
        <v>2260</v>
      </c>
      <c r="J1860" s="16" t="s">
        <v>2261</v>
      </c>
      <c r="K1860" s="9"/>
      <c r="L1860" s="9" t="s">
        <v>30</v>
      </c>
      <c r="M1860" s="9" t="s">
        <v>31</v>
      </c>
      <c r="N1860" s="9" t="s">
        <v>32</v>
      </c>
      <c r="O1860" s="12" t="s">
        <v>33</v>
      </c>
      <c r="P1860" s="12" t="s">
        <v>34</v>
      </c>
      <c r="Q1860" s="9"/>
      <c r="R1860" s="18"/>
      <c r="S1860" s="18"/>
      <c r="T1860" s="18"/>
      <c r="U1860" s="18"/>
      <c r="V1860" s="18"/>
      <c r="W1860" s="15"/>
      <c r="X1860" s="15"/>
    </row>
    <row r="1861">
      <c r="A1861" s="7">
        <v>1860.0</v>
      </c>
      <c r="B1861" s="8" t="s">
        <v>7968</v>
      </c>
      <c r="C1861" s="9" t="s">
        <v>7969</v>
      </c>
      <c r="D1861" s="10" t="str">
        <f>HYPERLINK("https://facebook.com/367089020688300_536598793737321", "367089020688300_536598793737321")</f>
        <v>367089020688300_536598793737321</v>
      </c>
      <c r="E1861" s="11">
        <v>23.0</v>
      </c>
      <c r="F1861" s="11">
        <v>1.0</v>
      </c>
      <c r="G1861" s="11">
        <v>34.0</v>
      </c>
      <c r="H1861" s="9" t="s">
        <v>26</v>
      </c>
      <c r="I1861" s="9" t="s">
        <v>7970</v>
      </c>
      <c r="J1861" s="9" t="s">
        <v>7971</v>
      </c>
      <c r="K1861" s="9" t="s">
        <v>7972</v>
      </c>
      <c r="L1861" s="9" t="s">
        <v>30</v>
      </c>
      <c r="M1861" s="9" t="s">
        <v>31</v>
      </c>
      <c r="N1861" s="9" t="s">
        <v>32</v>
      </c>
      <c r="O1861" s="12" t="s">
        <v>33</v>
      </c>
      <c r="P1861" s="12" t="s">
        <v>34</v>
      </c>
      <c r="Q1861" s="9"/>
      <c r="R1861" s="18"/>
      <c r="S1861" s="18"/>
      <c r="T1861" s="18"/>
      <c r="U1861" s="18"/>
      <c r="V1861" s="18"/>
      <c r="W1861" s="15"/>
      <c r="X1861" s="15"/>
    </row>
    <row r="1862">
      <c r="A1862" s="7">
        <v>1861.0</v>
      </c>
      <c r="B1862" s="8" t="s">
        <v>7973</v>
      </c>
      <c r="C1862" s="9" t="s">
        <v>7974</v>
      </c>
      <c r="D1862" s="10" t="str">
        <f>HYPERLINK("https://facebook.com/367089020688300_509872413076626", "367089020688300_509872413076626")</f>
        <v>367089020688300_509872413076626</v>
      </c>
      <c r="E1862" s="11">
        <v>127.0</v>
      </c>
      <c r="F1862" s="11">
        <v>4.0</v>
      </c>
      <c r="G1862" s="11">
        <v>138.0</v>
      </c>
      <c r="H1862" s="9" t="s">
        <v>26</v>
      </c>
      <c r="I1862" s="9" t="s">
        <v>7975</v>
      </c>
      <c r="J1862" s="9" t="s">
        <v>7976</v>
      </c>
      <c r="K1862" s="9" t="s">
        <v>7977</v>
      </c>
      <c r="L1862" s="9" t="s">
        <v>30</v>
      </c>
      <c r="M1862" s="9" t="s">
        <v>31</v>
      </c>
      <c r="N1862" s="9" t="s">
        <v>32</v>
      </c>
      <c r="O1862" s="12" t="s">
        <v>33</v>
      </c>
      <c r="P1862" s="12" t="s">
        <v>34</v>
      </c>
      <c r="Q1862" s="9"/>
      <c r="R1862" s="18"/>
      <c r="S1862" s="18"/>
      <c r="T1862" s="18"/>
      <c r="U1862" s="18"/>
      <c r="V1862" s="18"/>
      <c r="W1862" s="15"/>
      <c r="X1862" s="15"/>
    </row>
    <row r="1863">
      <c r="A1863" s="7">
        <v>1862.0</v>
      </c>
      <c r="B1863" s="8" t="s">
        <v>7978</v>
      </c>
      <c r="C1863" s="9" t="s">
        <v>7979</v>
      </c>
      <c r="D1863" s="10" t="str">
        <f>HYPERLINK("https://facebook.com/367089020688300_553003128763554", "367089020688300_553003128763554")</f>
        <v>367089020688300_553003128763554</v>
      </c>
      <c r="E1863" s="11">
        <v>32.0</v>
      </c>
      <c r="F1863" s="11">
        <v>0.0</v>
      </c>
      <c r="G1863" s="11">
        <v>10.0</v>
      </c>
      <c r="H1863" s="9" t="s">
        <v>26</v>
      </c>
      <c r="I1863" s="9" t="s">
        <v>7980</v>
      </c>
      <c r="J1863" s="9" t="s">
        <v>7981</v>
      </c>
      <c r="K1863" s="9" t="s">
        <v>7982</v>
      </c>
      <c r="L1863" s="9" t="s">
        <v>30</v>
      </c>
      <c r="M1863" s="9" t="s">
        <v>31</v>
      </c>
      <c r="N1863" s="9" t="s">
        <v>32</v>
      </c>
      <c r="O1863" s="12" t="s">
        <v>33</v>
      </c>
      <c r="P1863" s="12" t="s">
        <v>34</v>
      </c>
      <c r="Q1863" s="9"/>
      <c r="R1863" s="18"/>
      <c r="S1863" s="18"/>
      <c r="T1863" s="18"/>
      <c r="U1863" s="18"/>
      <c r="V1863" s="18"/>
      <c r="W1863" s="15"/>
      <c r="X1863" s="15"/>
    </row>
    <row r="1864">
      <c r="A1864" s="7">
        <v>1863.0</v>
      </c>
      <c r="B1864" s="8" t="s">
        <v>7983</v>
      </c>
      <c r="C1864" s="9" t="s">
        <v>7984</v>
      </c>
      <c r="D1864" s="10" t="str">
        <f>HYPERLINK("https://facebook.com/367089020688300_512418249488709", "367089020688300_512418249488709")</f>
        <v>367089020688300_512418249488709</v>
      </c>
      <c r="E1864" s="11">
        <v>223.0</v>
      </c>
      <c r="F1864" s="11">
        <v>5.0</v>
      </c>
      <c r="G1864" s="11">
        <v>167.0</v>
      </c>
      <c r="H1864" s="9" t="s">
        <v>26</v>
      </c>
      <c r="I1864" s="9" t="s">
        <v>7985</v>
      </c>
      <c r="J1864" s="9" t="s">
        <v>7986</v>
      </c>
      <c r="K1864" s="9" t="s">
        <v>6074</v>
      </c>
      <c r="L1864" s="9" t="s">
        <v>30</v>
      </c>
      <c r="M1864" s="9" t="s">
        <v>31</v>
      </c>
      <c r="N1864" s="9" t="s">
        <v>32</v>
      </c>
      <c r="O1864" s="12" t="s">
        <v>33</v>
      </c>
      <c r="P1864" s="12" t="s">
        <v>34</v>
      </c>
      <c r="Q1864" s="9"/>
      <c r="R1864" s="18"/>
      <c r="S1864" s="18"/>
      <c r="T1864" s="18"/>
      <c r="U1864" s="18"/>
      <c r="V1864" s="18"/>
      <c r="W1864" s="15"/>
      <c r="X1864" s="15"/>
    </row>
    <row r="1865">
      <c r="A1865" s="7">
        <v>1864.0</v>
      </c>
      <c r="B1865" s="8" t="s">
        <v>7987</v>
      </c>
      <c r="C1865" s="9" t="s">
        <v>7988</v>
      </c>
      <c r="D1865" s="10" t="str">
        <f>HYPERLINK("https://facebook.com/367089020688300_502252337171967", "367089020688300_502252337171967")</f>
        <v>367089020688300_502252337171967</v>
      </c>
      <c r="E1865" s="11">
        <v>143.0</v>
      </c>
      <c r="F1865" s="11">
        <v>6.0</v>
      </c>
      <c r="G1865" s="11">
        <v>207.0</v>
      </c>
      <c r="H1865" s="9" t="s">
        <v>26</v>
      </c>
      <c r="I1865" s="9" t="s">
        <v>7989</v>
      </c>
      <c r="J1865" s="9" t="s">
        <v>7990</v>
      </c>
      <c r="K1865" s="9" t="s">
        <v>7991</v>
      </c>
      <c r="L1865" s="9" t="s">
        <v>30</v>
      </c>
      <c r="M1865" s="9" t="s">
        <v>31</v>
      </c>
      <c r="N1865" s="9" t="s">
        <v>32</v>
      </c>
      <c r="O1865" s="12" t="s">
        <v>33</v>
      </c>
      <c r="P1865" s="12" t="s">
        <v>34</v>
      </c>
      <c r="Q1865" s="9"/>
      <c r="R1865" s="18"/>
      <c r="S1865" s="18"/>
      <c r="T1865" s="18"/>
      <c r="U1865" s="18"/>
      <c r="V1865" s="18"/>
      <c r="W1865" s="15"/>
      <c r="X1865" s="15"/>
    </row>
    <row r="1866">
      <c r="A1866" s="7">
        <v>1865.0</v>
      </c>
      <c r="B1866" s="8" t="s">
        <v>7992</v>
      </c>
      <c r="C1866" s="9" t="s">
        <v>7993</v>
      </c>
      <c r="D1866" s="10" t="str">
        <f>HYPERLINK("https://facebook.com/367089020688300_475798509817350", "367089020688300_475798509817350")</f>
        <v>367089020688300_475798509817350</v>
      </c>
      <c r="E1866" s="11">
        <v>88.0</v>
      </c>
      <c r="F1866" s="11">
        <v>3.0</v>
      </c>
      <c r="G1866" s="11">
        <v>93.0</v>
      </c>
      <c r="H1866" s="9" t="s">
        <v>26</v>
      </c>
      <c r="I1866" s="9" t="s">
        <v>7994</v>
      </c>
      <c r="J1866" s="9" t="s">
        <v>7995</v>
      </c>
      <c r="K1866" s="9" t="s">
        <v>7996</v>
      </c>
      <c r="L1866" s="9" t="s">
        <v>30</v>
      </c>
      <c r="M1866" s="9" t="s">
        <v>31</v>
      </c>
      <c r="N1866" s="9" t="s">
        <v>32</v>
      </c>
      <c r="O1866" s="12" t="s">
        <v>33</v>
      </c>
      <c r="P1866" s="12" t="s">
        <v>34</v>
      </c>
      <c r="Q1866" s="9"/>
      <c r="R1866" s="18"/>
      <c r="S1866" s="18"/>
      <c r="T1866" s="18"/>
      <c r="U1866" s="18"/>
      <c r="V1866" s="18"/>
      <c r="W1866" s="15"/>
      <c r="X1866" s="15"/>
    </row>
    <row r="1867">
      <c r="A1867" s="7">
        <v>1866.0</v>
      </c>
      <c r="B1867" s="8" t="s">
        <v>7997</v>
      </c>
      <c r="C1867" s="9" t="s">
        <v>7998</v>
      </c>
      <c r="D1867" s="10" t="str">
        <f>HYPERLINK("https://facebook.com/367089020688300_524447708285763", "367089020688300_524447708285763")</f>
        <v>367089020688300_524447708285763</v>
      </c>
      <c r="E1867" s="11">
        <v>164.0</v>
      </c>
      <c r="F1867" s="11">
        <v>7.0</v>
      </c>
      <c r="G1867" s="11">
        <v>73.0</v>
      </c>
      <c r="H1867" s="9" t="s">
        <v>26</v>
      </c>
      <c r="I1867" s="9" t="s">
        <v>7999</v>
      </c>
      <c r="J1867" s="16" t="s">
        <v>8000</v>
      </c>
      <c r="K1867" s="9"/>
      <c r="L1867" s="9" t="s">
        <v>30</v>
      </c>
      <c r="M1867" s="9" t="s">
        <v>31</v>
      </c>
      <c r="N1867" s="9" t="s">
        <v>32</v>
      </c>
      <c r="O1867" s="12" t="s">
        <v>33</v>
      </c>
      <c r="P1867" s="12" t="s">
        <v>34</v>
      </c>
      <c r="Q1867" s="9"/>
      <c r="R1867" s="18"/>
      <c r="S1867" s="18"/>
      <c r="T1867" s="18"/>
      <c r="U1867" s="18"/>
      <c r="V1867" s="18"/>
      <c r="W1867" s="15"/>
      <c r="X1867" s="15"/>
    </row>
    <row r="1868">
      <c r="A1868" s="7">
        <v>1867.0</v>
      </c>
      <c r="B1868" s="8" t="s">
        <v>8001</v>
      </c>
      <c r="C1868" s="9" t="s">
        <v>8002</v>
      </c>
      <c r="D1868" s="10" t="str">
        <f>HYPERLINK("https://facebook.com/367089020688300_550105062386694", "367089020688300_550105062386694")</f>
        <v>367089020688300_550105062386694</v>
      </c>
      <c r="E1868" s="11">
        <v>5.0</v>
      </c>
      <c r="F1868" s="11">
        <v>0.0</v>
      </c>
      <c r="G1868" s="11">
        <v>4.0</v>
      </c>
      <c r="H1868" s="9" t="s">
        <v>26</v>
      </c>
      <c r="I1868" s="9" t="s">
        <v>8003</v>
      </c>
      <c r="J1868" s="16" t="s">
        <v>8004</v>
      </c>
      <c r="K1868" s="9"/>
      <c r="L1868" s="9" t="s">
        <v>30</v>
      </c>
      <c r="M1868" s="9" t="s">
        <v>31</v>
      </c>
      <c r="N1868" s="9" t="s">
        <v>32</v>
      </c>
      <c r="O1868" s="12" t="s">
        <v>33</v>
      </c>
      <c r="P1868" s="12" t="s">
        <v>34</v>
      </c>
      <c r="Q1868" s="9"/>
      <c r="R1868" s="18"/>
      <c r="S1868" s="18"/>
      <c r="T1868" s="18"/>
      <c r="U1868" s="18"/>
      <c r="V1868" s="18"/>
      <c r="W1868" s="15"/>
      <c r="X1868" s="15"/>
    </row>
    <row r="1869">
      <c r="A1869" s="7">
        <v>1868.0</v>
      </c>
      <c r="B1869" s="8" t="s">
        <v>8005</v>
      </c>
      <c r="C1869" s="9" t="s">
        <v>8006</v>
      </c>
      <c r="D1869" s="10" t="str">
        <f>HYPERLINK("https://facebook.com/367089020688300_550770408986826", "367089020688300_550770408986826")</f>
        <v>367089020688300_550770408986826</v>
      </c>
      <c r="E1869" s="11">
        <v>376.0</v>
      </c>
      <c r="F1869" s="11">
        <v>3.0</v>
      </c>
      <c r="G1869" s="11">
        <v>457.0</v>
      </c>
      <c r="H1869" s="9" t="s">
        <v>26</v>
      </c>
      <c r="I1869" s="9" t="s">
        <v>8007</v>
      </c>
      <c r="J1869" s="9" t="s">
        <v>8008</v>
      </c>
      <c r="K1869" s="9" t="s">
        <v>8009</v>
      </c>
      <c r="L1869" s="9" t="s">
        <v>30</v>
      </c>
      <c r="M1869" s="9" t="s">
        <v>31</v>
      </c>
      <c r="N1869" s="9" t="s">
        <v>32</v>
      </c>
      <c r="O1869" s="12" t="s">
        <v>33</v>
      </c>
      <c r="P1869" s="12" t="s">
        <v>34</v>
      </c>
      <c r="Q1869" s="9"/>
      <c r="R1869" s="18"/>
      <c r="S1869" s="18"/>
      <c r="T1869" s="18"/>
      <c r="U1869" s="18"/>
      <c r="V1869" s="18"/>
      <c r="W1869" s="15"/>
      <c r="X1869" s="15"/>
    </row>
    <row r="1870">
      <c r="A1870" s="7">
        <v>1869.0</v>
      </c>
      <c r="B1870" s="8" t="s">
        <v>8010</v>
      </c>
      <c r="C1870" s="9" t="s">
        <v>8011</v>
      </c>
      <c r="D1870" s="10" t="str">
        <f>HYPERLINK("https://facebook.com/367089020688300_395837944480074", "367089020688300_395837944480074")</f>
        <v>367089020688300_395837944480074</v>
      </c>
      <c r="E1870" s="11">
        <v>87.0</v>
      </c>
      <c r="F1870" s="11">
        <v>6.0</v>
      </c>
      <c r="G1870" s="11">
        <v>109.0</v>
      </c>
      <c r="H1870" s="9" t="s">
        <v>26</v>
      </c>
      <c r="I1870" s="9" t="s">
        <v>8012</v>
      </c>
      <c r="J1870" s="9" t="s">
        <v>8013</v>
      </c>
      <c r="K1870" s="9" t="s">
        <v>8014</v>
      </c>
      <c r="L1870" s="9" t="s">
        <v>30</v>
      </c>
      <c r="M1870" s="9" t="s">
        <v>31</v>
      </c>
      <c r="N1870" s="9" t="s">
        <v>32</v>
      </c>
      <c r="O1870" s="12" t="s">
        <v>33</v>
      </c>
      <c r="P1870" s="12" t="s">
        <v>34</v>
      </c>
      <c r="Q1870" s="9"/>
      <c r="R1870" s="18"/>
      <c r="S1870" s="18"/>
      <c r="T1870" s="18"/>
      <c r="U1870" s="18"/>
      <c r="V1870" s="18"/>
      <c r="W1870" s="15"/>
      <c r="X1870" s="15"/>
    </row>
    <row r="1871">
      <c r="A1871" s="7">
        <v>1870.0</v>
      </c>
      <c r="B1871" s="8" t="s">
        <v>8015</v>
      </c>
      <c r="C1871" s="9" t="s">
        <v>8016</v>
      </c>
      <c r="D1871" s="10" t="str">
        <f>HYPERLINK("https://facebook.com/367089020688300_557836264946907", "367089020688300_557836264946907")</f>
        <v>367089020688300_557836264946907</v>
      </c>
      <c r="E1871" s="11">
        <v>24.0</v>
      </c>
      <c r="F1871" s="11">
        <v>0.0</v>
      </c>
      <c r="G1871" s="11">
        <v>39.0</v>
      </c>
      <c r="H1871" s="9" t="s">
        <v>26</v>
      </c>
      <c r="I1871" s="9" t="s">
        <v>8017</v>
      </c>
      <c r="J1871" s="9" t="s">
        <v>8018</v>
      </c>
      <c r="K1871" s="9" t="s">
        <v>8019</v>
      </c>
      <c r="L1871" s="9" t="s">
        <v>30</v>
      </c>
      <c r="M1871" s="9" t="s">
        <v>31</v>
      </c>
      <c r="N1871" s="9" t="s">
        <v>32</v>
      </c>
      <c r="O1871" s="12" t="s">
        <v>33</v>
      </c>
      <c r="P1871" s="12" t="s">
        <v>34</v>
      </c>
      <c r="Q1871" s="9"/>
      <c r="R1871" s="18"/>
      <c r="S1871" s="18"/>
      <c r="T1871" s="18"/>
      <c r="U1871" s="18"/>
      <c r="V1871" s="18"/>
      <c r="W1871" s="15"/>
      <c r="X1871" s="15"/>
    </row>
    <row r="1872">
      <c r="A1872" s="7">
        <v>1871.0</v>
      </c>
      <c r="B1872" s="8" t="s">
        <v>8020</v>
      </c>
      <c r="C1872" s="9" t="s">
        <v>8021</v>
      </c>
      <c r="D1872" s="10" t="str">
        <f>HYPERLINK("https://facebook.com/367089020688300_537331643664036", "367089020688300_537331643664036")</f>
        <v>367089020688300_537331643664036</v>
      </c>
      <c r="E1872" s="11">
        <v>5.0</v>
      </c>
      <c r="F1872" s="11">
        <v>0.0</v>
      </c>
      <c r="G1872" s="11">
        <v>9.0</v>
      </c>
      <c r="H1872" s="9" t="s">
        <v>26</v>
      </c>
      <c r="I1872" s="9" t="s">
        <v>8022</v>
      </c>
      <c r="J1872" s="9" t="s">
        <v>8023</v>
      </c>
      <c r="K1872" s="9" t="s">
        <v>219</v>
      </c>
      <c r="L1872" s="9" t="s">
        <v>30</v>
      </c>
      <c r="M1872" s="9" t="s">
        <v>31</v>
      </c>
      <c r="N1872" s="9" t="s">
        <v>32</v>
      </c>
      <c r="O1872" s="12" t="s">
        <v>33</v>
      </c>
      <c r="P1872" s="12" t="s">
        <v>34</v>
      </c>
      <c r="Q1872" s="9"/>
      <c r="R1872" s="18"/>
      <c r="S1872" s="18"/>
      <c r="T1872" s="18"/>
      <c r="U1872" s="18"/>
      <c r="V1872" s="18"/>
      <c r="W1872" s="15"/>
      <c r="X1872" s="15"/>
    </row>
    <row r="1873">
      <c r="A1873" s="7">
        <v>1872.0</v>
      </c>
      <c r="B1873" s="8" t="s">
        <v>8024</v>
      </c>
      <c r="C1873" s="9" t="s">
        <v>8025</v>
      </c>
      <c r="D1873" s="10" t="str">
        <f>HYPERLINK("https://facebook.com/367089020688300_508881319842402", "367089020688300_508881319842402")</f>
        <v>367089020688300_508881319842402</v>
      </c>
      <c r="E1873" s="11">
        <v>9.0</v>
      </c>
      <c r="F1873" s="11">
        <v>0.0</v>
      </c>
      <c r="G1873" s="11">
        <v>25.0</v>
      </c>
      <c r="H1873" s="9" t="s">
        <v>26</v>
      </c>
      <c r="I1873" s="9" t="s">
        <v>8026</v>
      </c>
      <c r="J1873" s="9" t="s">
        <v>8027</v>
      </c>
      <c r="K1873" s="9" t="s">
        <v>8028</v>
      </c>
      <c r="L1873" s="9" t="s">
        <v>30</v>
      </c>
      <c r="M1873" s="9" t="s">
        <v>31</v>
      </c>
      <c r="N1873" s="9" t="s">
        <v>32</v>
      </c>
      <c r="O1873" s="12" t="s">
        <v>33</v>
      </c>
      <c r="P1873" s="12" t="s">
        <v>34</v>
      </c>
      <c r="Q1873" s="9"/>
      <c r="R1873" s="18"/>
      <c r="S1873" s="18"/>
      <c r="T1873" s="18"/>
      <c r="U1873" s="18"/>
      <c r="V1873" s="18"/>
      <c r="W1873" s="15"/>
      <c r="X1873" s="15"/>
    </row>
    <row r="1874">
      <c r="A1874" s="7">
        <v>1873.0</v>
      </c>
      <c r="B1874" s="8" t="s">
        <v>8029</v>
      </c>
      <c r="C1874" s="9" t="s">
        <v>8030</v>
      </c>
      <c r="D1874" s="10" t="str">
        <f>HYPERLINK("https://facebook.com/367089020688300_544265416303992", "367089020688300_544265416303992")</f>
        <v>367089020688300_544265416303992</v>
      </c>
      <c r="E1874" s="11">
        <v>774.0</v>
      </c>
      <c r="F1874" s="11">
        <v>81.0</v>
      </c>
      <c r="G1874" s="11">
        <v>106.0</v>
      </c>
      <c r="H1874" s="9" t="s">
        <v>26</v>
      </c>
      <c r="I1874" s="9" t="s">
        <v>5753</v>
      </c>
      <c r="J1874" s="16" t="s">
        <v>5754</v>
      </c>
      <c r="K1874" s="9"/>
      <c r="L1874" s="9" t="s">
        <v>30</v>
      </c>
      <c r="M1874" s="9" t="s">
        <v>31</v>
      </c>
      <c r="N1874" s="9" t="s">
        <v>32</v>
      </c>
      <c r="O1874" s="12" t="s">
        <v>33</v>
      </c>
      <c r="P1874" s="12" t="s">
        <v>34</v>
      </c>
      <c r="Q1874" s="9"/>
      <c r="R1874" s="18"/>
      <c r="S1874" s="18"/>
      <c r="T1874" s="18"/>
      <c r="U1874" s="18"/>
      <c r="V1874" s="18"/>
      <c r="W1874" s="15"/>
      <c r="X1874" s="15"/>
    </row>
    <row r="1875">
      <c r="A1875" s="7">
        <v>1874.0</v>
      </c>
      <c r="B1875" s="8" t="s">
        <v>8031</v>
      </c>
      <c r="C1875" s="9" t="s">
        <v>8032</v>
      </c>
      <c r="D1875" s="10" t="str">
        <f>HYPERLINK("https://facebook.com/367089020688300_488681601862374", "367089020688300_488681601862374")</f>
        <v>367089020688300_488681601862374</v>
      </c>
      <c r="E1875" s="11">
        <v>530.0</v>
      </c>
      <c r="F1875" s="11">
        <v>43.0</v>
      </c>
      <c r="G1875" s="11">
        <v>385.0</v>
      </c>
      <c r="H1875" s="9" t="s">
        <v>26</v>
      </c>
      <c r="I1875" s="9" t="s">
        <v>8033</v>
      </c>
      <c r="J1875" s="9" t="s">
        <v>8034</v>
      </c>
      <c r="K1875" s="9" t="s">
        <v>8035</v>
      </c>
      <c r="L1875" s="9" t="s">
        <v>30</v>
      </c>
      <c r="M1875" s="9" t="s">
        <v>31</v>
      </c>
      <c r="N1875" s="9" t="s">
        <v>32</v>
      </c>
      <c r="O1875" s="12" t="s">
        <v>33</v>
      </c>
      <c r="P1875" s="12" t="s">
        <v>34</v>
      </c>
      <c r="Q1875" s="9"/>
      <c r="R1875" s="18"/>
      <c r="S1875" s="18"/>
      <c r="T1875" s="18"/>
      <c r="U1875" s="18"/>
      <c r="V1875" s="18"/>
      <c r="W1875" s="15"/>
      <c r="X1875" s="15"/>
    </row>
    <row r="1876">
      <c r="A1876" s="7">
        <v>1875.0</v>
      </c>
      <c r="B1876" s="8" t="s">
        <v>8036</v>
      </c>
      <c r="C1876" s="9" t="s">
        <v>8037</v>
      </c>
      <c r="D1876" s="10" t="str">
        <f>HYPERLINK("https://facebook.com/367089020688300_532553757475158", "367089020688300_532553757475158")</f>
        <v>367089020688300_532553757475158</v>
      </c>
      <c r="E1876" s="11">
        <v>5.0</v>
      </c>
      <c r="F1876" s="11">
        <v>0.0</v>
      </c>
      <c r="G1876" s="11">
        <v>7.0</v>
      </c>
      <c r="H1876" s="9" t="s">
        <v>26</v>
      </c>
      <c r="I1876" s="9" t="s">
        <v>8038</v>
      </c>
      <c r="J1876" s="9" t="s">
        <v>8039</v>
      </c>
      <c r="K1876" s="9" t="s">
        <v>8040</v>
      </c>
      <c r="L1876" s="9" t="s">
        <v>30</v>
      </c>
      <c r="M1876" s="9" t="s">
        <v>31</v>
      </c>
      <c r="N1876" s="9" t="s">
        <v>32</v>
      </c>
      <c r="O1876" s="12" t="s">
        <v>33</v>
      </c>
      <c r="P1876" s="12" t="s">
        <v>34</v>
      </c>
      <c r="Q1876" s="9"/>
      <c r="R1876" s="18"/>
      <c r="S1876" s="18"/>
      <c r="T1876" s="18"/>
      <c r="U1876" s="18"/>
      <c r="V1876" s="18"/>
      <c r="W1876" s="15"/>
      <c r="X1876" s="15"/>
    </row>
    <row r="1877">
      <c r="A1877" s="7">
        <v>1876.0</v>
      </c>
      <c r="B1877" s="8" t="s">
        <v>8041</v>
      </c>
      <c r="C1877" s="9" t="s">
        <v>8042</v>
      </c>
      <c r="D1877" s="10" t="str">
        <f>HYPERLINK("https://facebook.com/367089020688300_538336880230179", "367089020688300_538336880230179")</f>
        <v>367089020688300_538336880230179</v>
      </c>
      <c r="E1877" s="11">
        <v>43.0</v>
      </c>
      <c r="F1877" s="11">
        <v>0.0</v>
      </c>
      <c r="G1877" s="11">
        <v>36.0</v>
      </c>
      <c r="H1877" s="9" t="s">
        <v>26</v>
      </c>
      <c r="I1877" s="9" t="s">
        <v>3247</v>
      </c>
      <c r="J1877" s="16" t="s">
        <v>8043</v>
      </c>
      <c r="K1877" s="9"/>
      <c r="L1877" s="9" t="s">
        <v>30</v>
      </c>
      <c r="M1877" s="9" t="s">
        <v>31</v>
      </c>
      <c r="N1877" s="9" t="s">
        <v>32</v>
      </c>
      <c r="O1877" s="12" t="s">
        <v>33</v>
      </c>
      <c r="P1877" s="12" t="s">
        <v>34</v>
      </c>
      <c r="Q1877" s="9"/>
      <c r="R1877" s="18"/>
      <c r="S1877" s="18"/>
      <c r="T1877" s="18"/>
      <c r="U1877" s="18"/>
      <c r="V1877" s="18"/>
      <c r="W1877" s="15"/>
      <c r="X1877" s="15"/>
    </row>
    <row r="1878">
      <c r="A1878" s="7">
        <v>1877.0</v>
      </c>
      <c r="B1878" s="8" t="s">
        <v>8044</v>
      </c>
      <c r="C1878" s="9" t="s">
        <v>8045</v>
      </c>
      <c r="D1878" s="10" t="str">
        <f>HYPERLINK("https://facebook.com/367089020688300_455013421895859", "367089020688300_455013421895859")</f>
        <v>367089020688300_455013421895859</v>
      </c>
      <c r="E1878" s="11">
        <v>225.0</v>
      </c>
      <c r="F1878" s="11">
        <v>3.0</v>
      </c>
      <c r="G1878" s="11">
        <v>414.0</v>
      </c>
      <c r="H1878" s="9" t="s">
        <v>26</v>
      </c>
      <c r="I1878" s="9" t="s">
        <v>8046</v>
      </c>
      <c r="J1878" s="9" t="s">
        <v>8047</v>
      </c>
      <c r="K1878" s="9" t="s">
        <v>8048</v>
      </c>
      <c r="L1878" s="9" t="s">
        <v>30</v>
      </c>
      <c r="M1878" s="9" t="s">
        <v>31</v>
      </c>
      <c r="N1878" s="9" t="s">
        <v>32</v>
      </c>
      <c r="O1878" s="12" t="s">
        <v>33</v>
      </c>
      <c r="P1878" s="12" t="s">
        <v>34</v>
      </c>
      <c r="Q1878" s="9"/>
      <c r="R1878" s="18"/>
      <c r="S1878" s="18"/>
      <c r="T1878" s="18"/>
      <c r="U1878" s="18"/>
      <c r="V1878" s="18"/>
      <c r="W1878" s="15"/>
      <c r="X1878" s="15"/>
    </row>
    <row r="1879">
      <c r="A1879" s="7">
        <v>1878.0</v>
      </c>
      <c r="B1879" s="8" t="s">
        <v>8049</v>
      </c>
      <c r="C1879" s="9" t="s">
        <v>8050</v>
      </c>
      <c r="D1879" s="10" t="str">
        <f>HYPERLINK("https://facebook.com/367089020688300_460646241332577", "367089020688300_460646241332577")</f>
        <v>367089020688300_460646241332577</v>
      </c>
      <c r="E1879" s="11">
        <v>200.0</v>
      </c>
      <c r="F1879" s="11">
        <v>0.0</v>
      </c>
      <c r="G1879" s="11">
        <v>195.0</v>
      </c>
      <c r="H1879" s="9" t="s">
        <v>26</v>
      </c>
      <c r="I1879" s="9" t="s">
        <v>5968</v>
      </c>
      <c r="J1879" s="9" t="s">
        <v>8051</v>
      </c>
      <c r="K1879" s="9" t="s">
        <v>3540</v>
      </c>
      <c r="L1879" s="9" t="s">
        <v>30</v>
      </c>
      <c r="M1879" s="9" t="s">
        <v>31</v>
      </c>
      <c r="N1879" s="9" t="s">
        <v>32</v>
      </c>
      <c r="O1879" s="12" t="s">
        <v>33</v>
      </c>
      <c r="P1879" s="12" t="s">
        <v>34</v>
      </c>
      <c r="Q1879" s="9"/>
      <c r="R1879" s="18"/>
      <c r="S1879" s="18"/>
      <c r="T1879" s="18"/>
      <c r="U1879" s="18"/>
      <c r="V1879" s="18"/>
      <c r="W1879" s="15"/>
      <c r="X1879" s="15"/>
    </row>
    <row r="1880">
      <c r="A1880" s="7">
        <v>1879.0</v>
      </c>
      <c r="B1880" s="8" t="s">
        <v>8052</v>
      </c>
      <c r="C1880" s="9" t="s">
        <v>8053</v>
      </c>
      <c r="D1880" s="10" t="str">
        <f>HYPERLINK("https://facebook.com/367089020688300_426895094707692", "367089020688300_426895094707692")</f>
        <v>367089020688300_426895094707692</v>
      </c>
      <c r="E1880" s="11">
        <v>783.0</v>
      </c>
      <c r="F1880" s="11">
        <v>64.0</v>
      </c>
      <c r="G1880" s="11">
        <v>543.0</v>
      </c>
      <c r="H1880" s="9" t="s">
        <v>26</v>
      </c>
      <c r="I1880" s="9" t="s">
        <v>8054</v>
      </c>
      <c r="J1880" s="9" t="s">
        <v>8055</v>
      </c>
      <c r="K1880" s="9" t="s">
        <v>1409</v>
      </c>
      <c r="L1880" s="9" t="s">
        <v>30</v>
      </c>
      <c r="M1880" s="9" t="s">
        <v>31</v>
      </c>
      <c r="N1880" s="9" t="s">
        <v>32</v>
      </c>
      <c r="O1880" s="12" t="s">
        <v>33</v>
      </c>
      <c r="P1880" s="12" t="s">
        <v>34</v>
      </c>
      <c r="Q1880" s="9"/>
      <c r="R1880" s="18"/>
      <c r="S1880" s="18"/>
      <c r="T1880" s="18"/>
      <c r="U1880" s="18"/>
      <c r="V1880" s="18"/>
      <c r="W1880" s="15"/>
      <c r="X1880" s="15"/>
    </row>
    <row r="1881">
      <c r="A1881" s="7">
        <v>1880.0</v>
      </c>
      <c r="B1881" s="8" t="s">
        <v>8056</v>
      </c>
      <c r="C1881" s="9" t="s">
        <v>8057</v>
      </c>
      <c r="D1881" s="10" t="str">
        <f>HYPERLINK("https://facebook.com/367089020688300_562862587777608", "367089020688300_562862587777608")</f>
        <v>367089020688300_562862587777608</v>
      </c>
      <c r="E1881" s="11">
        <v>792.0</v>
      </c>
      <c r="F1881" s="11">
        <v>2.0</v>
      </c>
      <c r="G1881" s="11">
        <v>158.0</v>
      </c>
      <c r="H1881" s="9" t="s">
        <v>26</v>
      </c>
      <c r="I1881" s="9" t="s">
        <v>8058</v>
      </c>
      <c r="J1881" s="9" t="s">
        <v>8059</v>
      </c>
      <c r="K1881" s="9" t="s">
        <v>476</v>
      </c>
      <c r="L1881" s="9" t="s">
        <v>30</v>
      </c>
      <c r="M1881" s="9" t="s">
        <v>31</v>
      </c>
      <c r="N1881" s="9" t="s">
        <v>32</v>
      </c>
      <c r="O1881" s="12" t="s">
        <v>33</v>
      </c>
      <c r="P1881" s="12" t="s">
        <v>34</v>
      </c>
      <c r="Q1881" s="9"/>
      <c r="R1881" s="18"/>
      <c r="S1881" s="18"/>
      <c r="T1881" s="18"/>
      <c r="U1881" s="18"/>
      <c r="V1881" s="18"/>
      <c r="W1881" s="15"/>
      <c r="X1881" s="15"/>
    </row>
    <row r="1882">
      <c r="A1882" s="7">
        <v>1881.0</v>
      </c>
      <c r="B1882" s="8" t="s">
        <v>8060</v>
      </c>
      <c r="C1882" s="9" t="s">
        <v>8061</v>
      </c>
      <c r="D1882" s="10" t="str">
        <f>HYPERLINK("https://facebook.com/367089020688300_547966382600562", "367089020688300_547966382600562")</f>
        <v>367089020688300_547966382600562</v>
      </c>
      <c r="E1882" s="11">
        <v>31.0</v>
      </c>
      <c r="F1882" s="11">
        <v>0.0</v>
      </c>
      <c r="G1882" s="11">
        <v>20.0</v>
      </c>
      <c r="H1882" s="9" t="s">
        <v>26</v>
      </c>
      <c r="I1882" s="9" t="s">
        <v>8062</v>
      </c>
      <c r="J1882" s="16" t="s">
        <v>8063</v>
      </c>
      <c r="K1882" s="9"/>
      <c r="L1882" s="9" t="s">
        <v>30</v>
      </c>
      <c r="M1882" s="9" t="s">
        <v>31</v>
      </c>
      <c r="N1882" s="9" t="s">
        <v>32</v>
      </c>
      <c r="O1882" s="12" t="s">
        <v>33</v>
      </c>
      <c r="P1882" s="12" t="s">
        <v>34</v>
      </c>
      <c r="Q1882" s="9"/>
      <c r="R1882" s="18"/>
      <c r="S1882" s="18"/>
      <c r="T1882" s="18"/>
      <c r="U1882" s="18"/>
      <c r="V1882" s="18"/>
      <c r="W1882" s="15"/>
      <c r="X1882" s="15"/>
    </row>
    <row r="1883">
      <c r="A1883" s="7">
        <v>1882.0</v>
      </c>
      <c r="B1883" s="8" t="s">
        <v>8064</v>
      </c>
      <c r="C1883" s="9" t="s">
        <v>8065</v>
      </c>
      <c r="D1883" s="10" t="str">
        <f>HYPERLINK("https://facebook.com/367089020688300_544306796299854", "367089020688300_544306796299854")</f>
        <v>367089020688300_544306796299854</v>
      </c>
      <c r="E1883" s="11">
        <v>99.0</v>
      </c>
      <c r="F1883" s="11">
        <v>1.0</v>
      </c>
      <c r="G1883" s="11">
        <v>107.0</v>
      </c>
      <c r="H1883" s="9" t="s">
        <v>26</v>
      </c>
      <c r="I1883" s="9" t="s">
        <v>8066</v>
      </c>
      <c r="J1883" s="9" t="s">
        <v>8067</v>
      </c>
      <c r="K1883" s="9" t="s">
        <v>8068</v>
      </c>
      <c r="L1883" s="9" t="s">
        <v>30</v>
      </c>
      <c r="M1883" s="9" t="s">
        <v>31</v>
      </c>
      <c r="N1883" s="9" t="s">
        <v>32</v>
      </c>
      <c r="O1883" s="12" t="s">
        <v>33</v>
      </c>
      <c r="P1883" s="12" t="s">
        <v>34</v>
      </c>
      <c r="Q1883" s="9"/>
      <c r="R1883" s="18"/>
      <c r="S1883" s="18"/>
      <c r="T1883" s="18"/>
      <c r="U1883" s="18"/>
      <c r="V1883" s="18"/>
      <c r="W1883" s="15"/>
      <c r="X1883" s="15"/>
    </row>
    <row r="1884">
      <c r="A1884" s="7">
        <v>1883.0</v>
      </c>
      <c r="B1884" s="8" t="s">
        <v>8069</v>
      </c>
      <c r="C1884" s="9" t="s">
        <v>8070</v>
      </c>
      <c r="D1884" s="10" t="str">
        <f>HYPERLINK("https://facebook.com/367089020688300_464621624268372", "367089020688300_464621624268372")</f>
        <v>367089020688300_464621624268372</v>
      </c>
      <c r="E1884" s="11">
        <v>72.0</v>
      </c>
      <c r="F1884" s="11">
        <v>5.0</v>
      </c>
      <c r="G1884" s="11">
        <v>111.0</v>
      </c>
      <c r="H1884" s="9" t="s">
        <v>26</v>
      </c>
      <c r="I1884" s="9" t="s">
        <v>8071</v>
      </c>
      <c r="J1884" s="9" t="s">
        <v>8072</v>
      </c>
      <c r="K1884" s="9" t="s">
        <v>8073</v>
      </c>
      <c r="L1884" s="9" t="s">
        <v>30</v>
      </c>
      <c r="M1884" s="9" t="s">
        <v>31</v>
      </c>
      <c r="N1884" s="9" t="s">
        <v>32</v>
      </c>
      <c r="O1884" s="12" t="s">
        <v>33</v>
      </c>
      <c r="P1884" s="12" t="s">
        <v>34</v>
      </c>
      <c r="Q1884" s="9"/>
      <c r="R1884" s="18"/>
      <c r="S1884" s="18"/>
      <c r="T1884" s="18"/>
      <c r="U1884" s="18"/>
      <c r="V1884" s="18"/>
      <c r="W1884" s="15"/>
      <c r="X1884" s="15"/>
    </row>
    <row r="1885">
      <c r="A1885" s="7">
        <v>1884.0</v>
      </c>
      <c r="B1885" s="8" t="s">
        <v>8074</v>
      </c>
      <c r="C1885" s="9" t="s">
        <v>8075</v>
      </c>
      <c r="D1885" s="10" t="str">
        <f>HYPERLINK("https://facebook.com/367089020688300_500239210706613", "367089020688300_500239210706613")</f>
        <v>367089020688300_500239210706613</v>
      </c>
      <c r="E1885" s="11">
        <v>309.0</v>
      </c>
      <c r="F1885" s="11">
        <v>19.0</v>
      </c>
      <c r="G1885" s="11">
        <v>329.0</v>
      </c>
      <c r="H1885" s="9" t="s">
        <v>26</v>
      </c>
      <c r="I1885" s="9" t="s">
        <v>8076</v>
      </c>
      <c r="J1885" s="9" t="s">
        <v>8077</v>
      </c>
      <c r="K1885" s="9" t="s">
        <v>8078</v>
      </c>
      <c r="L1885" s="9" t="s">
        <v>30</v>
      </c>
      <c r="M1885" s="9" t="s">
        <v>31</v>
      </c>
      <c r="N1885" s="9" t="s">
        <v>32</v>
      </c>
      <c r="O1885" s="12" t="s">
        <v>33</v>
      </c>
      <c r="P1885" s="12" t="s">
        <v>34</v>
      </c>
      <c r="Q1885" s="9"/>
      <c r="R1885" s="18"/>
      <c r="S1885" s="18"/>
      <c r="T1885" s="18"/>
      <c r="U1885" s="18"/>
      <c r="V1885" s="18"/>
      <c r="W1885" s="15"/>
      <c r="X1885" s="15"/>
    </row>
    <row r="1886">
      <c r="A1886" s="7">
        <v>1885.0</v>
      </c>
      <c r="B1886" s="8" t="s">
        <v>8079</v>
      </c>
      <c r="C1886" s="9" t="s">
        <v>8080</v>
      </c>
      <c r="D1886" s="10" t="str">
        <f>HYPERLINK("https://facebook.com/367089020688300_555366928527174", "367089020688300_555366928527174")</f>
        <v>367089020688300_555366928527174</v>
      </c>
      <c r="E1886" s="11">
        <v>1101.0</v>
      </c>
      <c r="F1886" s="11">
        <v>51.0</v>
      </c>
      <c r="G1886" s="11">
        <v>621.0</v>
      </c>
      <c r="H1886" s="9" t="s">
        <v>26</v>
      </c>
      <c r="I1886" s="9" t="s">
        <v>8081</v>
      </c>
      <c r="J1886" s="9" t="s">
        <v>8082</v>
      </c>
      <c r="K1886" s="9" t="s">
        <v>3984</v>
      </c>
      <c r="L1886" s="9" t="s">
        <v>30</v>
      </c>
      <c r="M1886" s="9" t="s">
        <v>31</v>
      </c>
      <c r="N1886" s="9" t="s">
        <v>32</v>
      </c>
      <c r="O1886" s="12" t="s">
        <v>33</v>
      </c>
      <c r="P1886" s="12" t="s">
        <v>34</v>
      </c>
      <c r="Q1886" s="9"/>
      <c r="R1886" s="18"/>
      <c r="S1886" s="18"/>
      <c r="T1886" s="18"/>
      <c r="U1886" s="18"/>
      <c r="V1886" s="18"/>
      <c r="W1886" s="15"/>
      <c r="X1886" s="15"/>
    </row>
    <row r="1887">
      <c r="A1887" s="7">
        <v>1886.0</v>
      </c>
      <c r="B1887" s="8" t="s">
        <v>8083</v>
      </c>
      <c r="C1887" s="9" t="s">
        <v>8084</v>
      </c>
      <c r="D1887" s="10" t="str">
        <f>HYPERLINK("https://facebook.com/367089020688300_523006498429884", "367089020688300_523006498429884")</f>
        <v>367089020688300_523006498429884</v>
      </c>
      <c r="E1887" s="11">
        <v>25.0</v>
      </c>
      <c r="F1887" s="11">
        <v>0.0</v>
      </c>
      <c r="G1887" s="11">
        <v>25.0</v>
      </c>
      <c r="H1887" s="9" t="s">
        <v>26</v>
      </c>
      <c r="I1887" s="9" t="s">
        <v>8085</v>
      </c>
      <c r="J1887" s="9" t="s">
        <v>8086</v>
      </c>
      <c r="K1887" s="9" t="s">
        <v>8087</v>
      </c>
      <c r="L1887" s="9" t="s">
        <v>30</v>
      </c>
      <c r="M1887" s="9" t="s">
        <v>31</v>
      </c>
      <c r="N1887" s="9" t="s">
        <v>32</v>
      </c>
      <c r="O1887" s="12" t="s">
        <v>33</v>
      </c>
      <c r="P1887" s="12" t="s">
        <v>34</v>
      </c>
      <c r="Q1887" s="9"/>
      <c r="R1887" s="18"/>
      <c r="S1887" s="18"/>
      <c r="T1887" s="18"/>
      <c r="U1887" s="18"/>
      <c r="V1887" s="18"/>
      <c r="W1887" s="15"/>
      <c r="X1887" s="15"/>
    </row>
    <row r="1888">
      <c r="A1888" s="7">
        <v>1887.0</v>
      </c>
      <c r="B1888" s="8" t="s">
        <v>8088</v>
      </c>
      <c r="C1888" s="9" t="s">
        <v>8089</v>
      </c>
      <c r="D1888" s="10" t="str">
        <f>HYPERLINK("https://facebook.com/367089020688300_559717081425492", "367089020688300_559717081425492")</f>
        <v>367089020688300_559717081425492</v>
      </c>
      <c r="E1888" s="11">
        <v>39.0</v>
      </c>
      <c r="F1888" s="11">
        <v>1.0</v>
      </c>
      <c r="G1888" s="11">
        <v>62.0</v>
      </c>
      <c r="H1888" s="9" t="s">
        <v>26</v>
      </c>
      <c r="I1888" s="9" t="s">
        <v>8090</v>
      </c>
      <c r="J1888" s="16" t="s">
        <v>8091</v>
      </c>
      <c r="K1888" s="9"/>
      <c r="L1888" s="9" t="s">
        <v>30</v>
      </c>
      <c r="M1888" s="9" t="s">
        <v>31</v>
      </c>
      <c r="N1888" s="9" t="s">
        <v>32</v>
      </c>
      <c r="O1888" s="12" t="s">
        <v>33</v>
      </c>
      <c r="P1888" s="12" t="s">
        <v>34</v>
      </c>
      <c r="Q1888" s="9"/>
      <c r="R1888" s="18"/>
      <c r="S1888" s="18"/>
      <c r="T1888" s="18"/>
      <c r="U1888" s="18"/>
      <c r="V1888" s="18"/>
      <c r="W1888" s="15"/>
      <c r="X1888" s="15"/>
    </row>
    <row r="1889">
      <c r="A1889" s="7">
        <v>1888.0</v>
      </c>
      <c r="B1889" s="8" t="s">
        <v>8092</v>
      </c>
      <c r="C1889" s="9" t="s">
        <v>8093</v>
      </c>
      <c r="D1889" s="10" t="str">
        <f>HYPERLINK("https://facebook.com/367089020688300_386452732085262", "367089020688300_386452732085262")</f>
        <v>367089020688300_386452732085262</v>
      </c>
      <c r="E1889" s="11">
        <v>447.0</v>
      </c>
      <c r="F1889" s="11">
        <v>15.0</v>
      </c>
      <c r="G1889" s="11">
        <v>621.0</v>
      </c>
      <c r="H1889" s="9" t="s">
        <v>26</v>
      </c>
      <c r="I1889" s="9" t="s">
        <v>8094</v>
      </c>
      <c r="J1889" s="9" t="s">
        <v>8095</v>
      </c>
      <c r="K1889" s="9" t="s">
        <v>8096</v>
      </c>
      <c r="L1889" s="9" t="s">
        <v>30</v>
      </c>
      <c r="M1889" s="9" t="s">
        <v>31</v>
      </c>
      <c r="N1889" s="9" t="s">
        <v>32</v>
      </c>
      <c r="O1889" s="12" t="s">
        <v>33</v>
      </c>
      <c r="P1889" s="12" t="s">
        <v>34</v>
      </c>
      <c r="Q1889" s="9"/>
      <c r="R1889" s="18"/>
      <c r="S1889" s="18"/>
      <c r="T1889" s="18"/>
      <c r="U1889" s="18"/>
      <c r="V1889" s="18"/>
      <c r="W1889" s="15"/>
      <c r="X1889" s="15"/>
    </row>
    <row r="1890">
      <c r="A1890" s="7">
        <v>1889.0</v>
      </c>
      <c r="B1890" s="8" t="s">
        <v>8097</v>
      </c>
      <c r="C1890" s="9" t="s">
        <v>8098</v>
      </c>
      <c r="D1890" s="10" t="str">
        <f>HYPERLINK("https://facebook.com/367089020688300_534546240609243", "367089020688300_534546240609243")</f>
        <v>367089020688300_534546240609243</v>
      </c>
      <c r="E1890" s="11">
        <v>1013.0</v>
      </c>
      <c r="F1890" s="11">
        <v>13.0</v>
      </c>
      <c r="G1890" s="11">
        <v>598.0</v>
      </c>
      <c r="H1890" s="9" t="s">
        <v>26</v>
      </c>
      <c r="I1890" s="9" t="s">
        <v>8099</v>
      </c>
      <c r="J1890" s="16" t="s">
        <v>8100</v>
      </c>
      <c r="K1890" s="9"/>
      <c r="L1890" s="9" t="s">
        <v>30</v>
      </c>
      <c r="M1890" s="9" t="s">
        <v>31</v>
      </c>
      <c r="N1890" s="9" t="s">
        <v>32</v>
      </c>
      <c r="O1890" s="12" t="s">
        <v>33</v>
      </c>
      <c r="P1890" s="12" t="s">
        <v>34</v>
      </c>
      <c r="Q1890" s="9"/>
      <c r="R1890" s="18"/>
      <c r="S1890" s="18"/>
      <c r="T1890" s="18"/>
      <c r="U1890" s="18"/>
      <c r="V1890" s="18"/>
      <c r="W1890" s="15"/>
      <c r="X1890" s="15"/>
    </row>
    <row r="1891">
      <c r="A1891" s="7">
        <v>1890.0</v>
      </c>
      <c r="B1891" s="8" t="s">
        <v>8101</v>
      </c>
      <c r="C1891" s="9" t="s">
        <v>8102</v>
      </c>
      <c r="D1891" s="10" t="str">
        <f>HYPERLINK("https://facebook.com/367089020688300_477718299625371", "367089020688300_477718299625371")</f>
        <v>367089020688300_477718299625371</v>
      </c>
      <c r="E1891" s="11">
        <v>241.0</v>
      </c>
      <c r="F1891" s="11">
        <v>23.0</v>
      </c>
      <c r="G1891" s="11">
        <v>288.0</v>
      </c>
      <c r="H1891" s="9" t="s">
        <v>26</v>
      </c>
      <c r="I1891" s="9" t="s">
        <v>8103</v>
      </c>
      <c r="J1891" s="9" t="s">
        <v>8104</v>
      </c>
      <c r="K1891" s="9" t="s">
        <v>8105</v>
      </c>
      <c r="L1891" s="9" t="s">
        <v>30</v>
      </c>
      <c r="M1891" s="9" t="s">
        <v>31</v>
      </c>
      <c r="N1891" s="9" t="s">
        <v>32</v>
      </c>
      <c r="O1891" s="12" t="s">
        <v>33</v>
      </c>
      <c r="P1891" s="12" t="s">
        <v>34</v>
      </c>
      <c r="Q1891" s="9"/>
      <c r="R1891" s="18"/>
      <c r="S1891" s="18"/>
      <c r="T1891" s="18"/>
      <c r="U1891" s="18"/>
      <c r="V1891" s="18"/>
      <c r="W1891" s="15"/>
      <c r="X1891" s="15"/>
    </row>
    <row r="1892">
      <c r="A1892" s="7">
        <v>1891.0</v>
      </c>
      <c r="B1892" s="8" t="s">
        <v>8106</v>
      </c>
      <c r="C1892" s="9" t="s">
        <v>8107</v>
      </c>
      <c r="D1892" s="10" t="str">
        <f>HYPERLINK("https://facebook.com/367089020688300_394203397976862", "367089020688300_394203397976862")</f>
        <v>367089020688300_394203397976862</v>
      </c>
      <c r="E1892" s="11">
        <v>1848.0</v>
      </c>
      <c r="F1892" s="11">
        <v>16.0</v>
      </c>
      <c r="G1892" s="11">
        <v>890.0</v>
      </c>
      <c r="H1892" s="9" t="s">
        <v>26</v>
      </c>
      <c r="I1892" s="9" t="s">
        <v>8108</v>
      </c>
      <c r="J1892" s="9" t="s">
        <v>8109</v>
      </c>
      <c r="K1892" s="9" t="s">
        <v>8110</v>
      </c>
      <c r="L1892" s="9" t="s">
        <v>30</v>
      </c>
      <c r="M1892" s="9" t="s">
        <v>31</v>
      </c>
      <c r="N1892" s="9" t="s">
        <v>32</v>
      </c>
      <c r="O1892" s="12" t="s">
        <v>33</v>
      </c>
      <c r="P1892" s="12" t="s">
        <v>34</v>
      </c>
      <c r="Q1892" s="9"/>
      <c r="R1892" s="18"/>
      <c r="S1892" s="18"/>
      <c r="T1892" s="18"/>
      <c r="U1892" s="18"/>
      <c r="V1892" s="18"/>
      <c r="W1892" s="15"/>
      <c r="X1892" s="15"/>
    </row>
    <row r="1893">
      <c r="A1893" s="7">
        <v>1892.0</v>
      </c>
      <c r="B1893" s="8" t="s">
        <v>8111</v>
      </c>
      <c r="C1893" s="9" t="s">
        <v>8112</v>
      </c>
      <c r="D1893" s="10" t="str">
        <f>HYPERLINK("https://facebook.com/367089020688300_543560153041185", "367089020688300_543560153041185")</f>
        <v>367089020688300_543560153041185</v>
      </c>
      <c r="E1893" s="11">
        <v>649.0</v>
      </c>
      <c r="F1893" s="11">
        <v>25.0</v>
      </c>
      <c r="G1893" s="11">
        <v>373.0</v>
      </c>
      <c r="H1893" s="9" t="s">
        <v>26</v>
      </c>
      <c r="I1893" s="9" t="s">
        <v>8113</v>
      </c>
      <c r="J1893" s="16" t="s">
        <v>8114</v>
      </c>
      <c r="K1893" s="9"/>
      <c r="L1893" s="9" t="s">
        <v>30</v>
      </c>
      <c r="M1893" s="9" t="s">
        <v>31</v>
      </c>
      <c r="N1893" s="9" t="s">
        <v>32</v>
      </c>
      <c r="O1893" s="12" t="s">
        <v>33</v>
      </c>
      <c r="P1893" s="12" t="s">
        <v>34</v>
      </c>
      <c r="Q1893" s="9"/>
      <c r="R1893" s="18"/>
      <c r="S1893" s="18"/>
      <c r="T1893" s="18"/>
      <c r="U1893" s="18"/>
      <c r="V1893" s="18"/>
      <c r="W1893" s="15"/>
      <c r="X1893" s="15"/>
    </row>
    <row r="1894">
      <c r="A1894" s="7">
        <v>1893.0</v>
      </c>
      <c r="B1894" s="8" t="s">
        <v>8115</v>
      </c>
      <c r="C1894" s="9" t="s">
        <v>8116</v>
      </c>
      <c r="D1894" s="10" t="str">
        <f>HYPERLINK("https://facebook.com/367089020688300_503212170409317", "367089020688300_503212170409317")</f>
        <v>367089020688300_503212170409317</v>
      </c>
      <c r="E1894" s="11">
        <v>336.0</v>
      </c>
      <c r="F1894" s="11">
        <v>4.0</v>
      </c>
      <c r="G1894" s="11">
        <v>497.0</v>
      </c>
      <c r="H1894" s="9" t="s">
        <v>26</v>
      </c>
      <c r="I1894" s="9" t="s">
        <v>8117</v>
      </c>
      <c r="J1894" s="9" t="s">
        <v>8118</v>
      </c>
      <c r="K1894" s="9" t="s">
        <v>8119</v>
      </c>
      <c r="L1894" s="9" t="s">
        <v>30</v>
      </c>
      <c r="M1894" s="9" t="s">
        <v>31</v>
      </c>
      <c r="N1894" s="9" t="s">
        <v>32</v>
      </c>
      <c r="O1894" s="12" t="s">
        <v>33</v>
      </c>
      <c r="P1894" s="12" t="s">
        <v>34</v>
      </c>
      <c r="Q1894" s="9"/>
      <c r="R1894" s="18"/>
      <c r="S1894" s="18"/>
      <c r="T1894" s="18"/>
      <c r="U1894" s="18"/>
      <c r="V1894" s="18"/>
      <c r="W1894" s="15"/>
      <c r="X1894" s="15"/>
    </row>
    <row r="1895">
      <c r="A1895" s="7">
        <v>1894.0</v>
      </c>
      <c r="B1895" s="8" t="s">
        <v>8120</v>
      </c>
      <c r="C1895" s="9" t="s">
        <v>8121</v>
      </c>
      <c r="D1895" s="10" t="str">
        <f>HYPERLINK("https://facebook.com/367089020688300_487403505323517", "367089020688300_487403505323517")</f>
        <v>367089020688300_487403505323517</v>
      </c>
      <c r="E1895" s="11">
        <v>334.0</v>
      </c>
      <c r="F1895" s="11">
        <v>6.0</v>
      </c>
      <c r="G1895" s="11">
        <v>303.0</v>
      </c>
      <c r="H1895" s="9" t="s">
        <v>26</v>
      </c>
      <c r="I1895" s="9" t="s">
        <v>8122</v>
      </c>
      <c r="J1895" s="9" t="s">
        <v>8123</v>
      </c>
      <c r="K1895" s="9" t="s">
        <v>8124</v>
      </c>
      <c r="L1895" s="9" t="s">
        <v>30</v>
      </c>
      <c r="M1895" s="9" t="s">
        <v>31</v>
      </c>
      <c r="N1895" s="9" t="s">
        <v>32</v>
      </c>
      <c r="O1895" s="12" t="s">
        <v>33</v>
      </c>
      <c r="P1895" s="12" t="s">
        <v>34</v>
      </c>
      <c r="Q1895" s="9"/>
      <c r="R1895" s="18"/>
      <c r="S1895" s="18"/>
      <c r="T1895" s="18"/>
      <c r="U1895" s="18"/>
      <c r="V1895" s="18"/>
      <c r="W1895" s="15"/>
      <c r="X1895" s="15"/>
    </row>
    <row r="1896">
      <c r="A1896" s="7">
        <v>1895.0</v>
      </c>
      <c r="B1896" s="8" t="s">
        <v>8125</v>
      </c>
      <c r="C1896" s="9" t="s">
        <v>8126</v>
      </c>
      <c r="D1896" s="10" t="str">
        <f>HYPERLINK("https://facebook.com/367089020688300_550324632364737", "367089020688300_550324632364737")</f>
        <v>367089020688300_550324632364737</v>
      </c>
      <c r="E1896" s="11">
        <v>141.0</v>
      </c>
      <c r="F1896" s="11">
        <v>0.0</v>
      </c>
      <c r="G1896" s="11">
        <v>49.0</v>
      </c>
      <c r="H1896" s="9" t="s">
        <v>26</v>
      </c>
      <c r="I1896" s="9" t="s">
        <v>8127</v>
      </c>
      <c r="J1896" s="9" t="s">
        <v>8128</v>
      </c>
      <c r="K1896" s="9" t="s">
        <v>8129</v>
      </c>
      <c r="L1896" s="9" t="s">
        <v>30</v>
      </c>
      <c r="M1896" s="9" t="s">
        <v>31</v>
      </c>
      <c r="N1896" s="9" t="s">
        <v>32</v>
      </c>
      <c r="O1896" s="12" t="s">
        <v>33</v>
      </c>
      <c r="P1896" s="12" t="s">
        <v>34</v>
      </c>
      <c r="Q1896" s="9"/>
      <c r="R1896" s="18"/>
      <c r="S1896" s="18"/>
      <c r="T1896" s="18"/>
      <c r="U1896" s="18"/>
      <c r="V1896" s="18"/>
      <c r="W1896" s="15"/>
      <c r="X1896" s="15"/>
    </row>
    <row r="1897">
      <c r="A1897" s="7">
        <v>1896.0</v>
      </c>
      <c r="B1897" s="8" t="s">
        <v>8130</v>
      </c>
      <c r="C1897" s="9" t="s">
        <v>8131</v>
      </c>
      <c r="D1897" s="10" t="str">
        <f>HYPERLINK("https://facebook.com/367089020688300_502851900445344", "367089020688300_502851900445344")</f>
        <v>367089020688300_502851900445344</v>
      </c>
      <c r="E1897" s="11">
        <v>123.0</v>
      </c>
      <c r="F1897" s="11">
        <v>2.0</v>
      </c>
      <c r="G1897" s="11">
        <v>36.0</v>
      </c>
      <c r="H1897" s="9" t="s">
        <v>26</v>
      </c>
      <c r="I1897" s="9" t="s">
        <v>8132</v>
      </c>
      <c r="J1897" s="9" t="s">
        <v>8133</v>
      </c>
      <c r="K1897" s="9" t="s">
        <v>8134</v>
      </c>
      <c r="L1897" s="9" t="s">
        <v>30</v>
      </c>
      <c r="M1897" s="9" t="s">
        <v>31</v>
      </c>
      <c r="N1897" s="9" t="s">
        <v>32</v>
      </c>
      <c r="O1897" s="12" t="s">
        <v>33</v>
      </c>
      <c r="P1897" s="12" t="s">
        <v>34</v>
      </c>
      <c r="Q1897" s="9"/>
      <c r="R1897" s="18"/>
      <c r="S1897" s="18"/>
      <c r="T1897" s="18"/>
      <c r="U1897" s="18"/>
      <c r="V1897" s="18"/>
      <c r="W1897" s="15"/>
      <c r="X1897" s="15"/>
    </row>
    <row r="1898">
      <c r="A1898" s="7">
        <v>1897.0</v>
      </c>
      <c r="B1898" s="8" t="s">
        <v>8135</v>
      </c>
      <c r="C1898" s="9" t="s">
        <v>8136</v>
      </c>
      <c r="D1898" s="10" t="str">
        <f>HYPERLINK("https://facebook.com/367089020688300_562042211192979", "367089020688300_562042211192979")</f>
        <v>367089020688300_562042211192979</v>
      </c>
      <c r="E1898" s="11">
        <v>69.0</v>
      </c>
      <c r="F1898" s="11">
        <v>0.0</v>
      </c>
      <c r="G1898" s="11">
        <v>31.0</v>
      </c>
      <c r="H1898" s="9" t="s">
        <v>26</v>
      </c>
      <c r="I1898" s="9" t="s">
        <v>8137</v>
      </c>
      <c r="J1898" s="16" t="s">
        <v>8138</v>
      </c>
      <c r="K1898" s="9"/>
      <c r="L1898" s="9" t="s">
        <v>30</v>
      </c>
      <c r="M1898" s="9" t="s">
        <v>31</v>
      </c>
      <c r="N1898" s="9" t="s">
        <v>32</v>
      </c>
      <c r="O1898" s="12" t="s">
        <v>33</v>
      </c>
      <c r="P1898" s="12" t="s">
        <v>34</v>
      </c>
      <c r="Q1898" s="9"/>
      <c r="R1898" s="18"/>
      <c r="S1898" s="18"/>
      <c r="T1898" s="18"/>
      <c r="U1898" s="18"/>
      <c r="V1898" s="18"/>
      <c r="W1898" s="15"/>
      <c r="X1898" s="15"/>
    </row>
    <row r="1899">
      <c r="A1899" s="7">
        <v>1898.0</v>
      </c>
      <c r="B1899" s="8" t="s">
        <v>8139</v>
      </c>
      <c r="C1899" s="9" t="s">
        <v>8140</v>
      </c>
      <c r="D1899" s="10" t="str">
        <f>HYPERLINK("https://facebook.com/367089020688300_549156699148197", "367089020688300_549156699148197")</f>
        <v>367089020688300_549156699148197</v>
      </c>
      <c r="E1899" s="11">
        <v>51.0</v>
      </c>
      <c r="F1899" s="11">
        <v>0.0</v>
      </c>
      <c r="G1899" s="11">
        <v>33.0</v>
      </c>
      <c r="H1899" s="9" t="s">
        <v>26</v>
      </c>
      <c r="I1899" s="9" t="s">
        <v>8141</v>
      </c>
      <c r="J1899" s="16" t="s">
        <v>8142</v>
      </c>
      <c r="K1899" s="9"/>
      <c r="L1899" s="9" t="s">
        <v>30</v>
      </c>
      <c r="M1899" s="9" t="s">
        <v>31</v>
      </c>
      <c r="N1899" s="9" t="s">
        <v>32</v>
      </c>
      <c r="O1899" s="12" t="s">
        <v>33</v>
      </c>
      <c r="P1899" s="12" t="s">
        <v>34</v>
      </c>
      <c r="Q1899" s="9"/>
      <c r="R1899" s="18"/>
      <c r="S1899" s="18"/>
      <c r="T1899" s="18"/>
      <c r="U1899" s="18"/>
      <c r="V1899" s="18"/>
      <c r="W1899" s="15"/>
      <c r="X1899" s="15"/>
    </row>
    <row r="1900">
      <c r="A1900" s="7">
        <v>1899.0</v>
      </c>
      <c r="B1900" s="8" t="s">
        <v>8143</v>
      </c>
      <c r="C1900" s="9" t="s">
        <v>8144</v>
      </c>
      <c r="D1900" s="10" t="str">
        <f>HYPERLINK("https://facebook.com/367089020688300_541419276588606", "367089020688300_541419276588606")</f>
        <v>367089020688300_541419276588606</v>
      </c>
      <c r="E1900" s="11">
        <v>3.0</v>
      </c>
      <c r="F1900" s="11">
        <v>0.0</v>
      </c>
      <c r="G1900" s="11">
        <v>0.0</v>
      </c>
      <c r="H1900" s="9" t="s">
        <v>26</v>
      </c>
      <c r="I1900" s="9" t="s">
        <v>8145</v>
      </c>
      <c r="J1900" s="9" t="s">
        <v>8146</v>
      </c>
      <c r="K1900" s="9" t="s">
        <v>8147</v>
      </c>
      <c r="L1900" s="9" t="s">
        <v>30</v>
      </c>
      <c r="M1900" s="9" t="s">
        <v>31</v>
      </c>
      <c r="N1900" s="9" t="s">
        <v>32</v>
      </c>
      <c r="O1900" s="12" t="s">
        <v>33</v>
      </c>
      <c r="P1900" s="12" t="s">
        <v>34</v>
      </c>
      <c r="Q1900" s="9"/>
      <c r="R1900" s="18"/>
      <c r="S1900" s="18"/>
      <c r="T1900" s="18"/>
      <c r="U1900" s="18"/>
      <c r="V1900" s="18"/>
      <c r="W1900" s="15"/>
      <c r="X1900" s="15"/>
    </row>
    <row r="1901">
      <c r="A1901" s="7">
        <v>1900.0</v>
      </c>
      <c r="B1901" s="8" t="s">
        <v>8148</v>
      </c>
      <c r="C1901" s="9" t="s">
        <v>8149</v>
      </c>
      <c r="D1901" s="10" t="str">
        <f>HYPERLINK("https://facebook.com/367089020688300_548973702499830", "367089020688300_548973702499830")</f>
        <v>367089020688300_548973702499830</v>
      </c>
      <c r="E1901" s="11">
        <v>55.0</v>
      </c>
      <c r="F1901" s="11">
        <v>1.0</v>
      </c>
      <c r="G1901" s="11">
        <v>21.0</v>
      </c>
      <c r="H1901" s="9" t="s">
        <v>26</v>
      </c>
      <c r="I1901" s="9" t="s">
        <v>8150</v>
      </c>
      <c r="J1901" s="16" t="s">
        <v>8151</v>
      </c>
      <c r="K1901" s="9"/>
      <c r="L1901" s="9" t="s">
        <v>30</v>
      </c>
      <c r="M1901" s="9" t="s">
        <v>31</v>
      </c>
      <c r="N1901" s="9" t="s">
        <v>32</v>
      </c>
      <c r="O1901" s="12" t="s">
        <v>33</v>
      </c>
      <c r="P1901" s="12" t="s">
        <v>34</v>
      </c>
      <c r="Q1901" s="9"/>
      <c r="R1901" s="18"/>
      <c r="S1901" s="18"/>
      <c r="T1901" s="18"/>
      <c r="U1901" s="18"/>
      <c r="V1901" s="18"/>
      <c r="W1901" s="15"/>
      <c r="X1901" s="15"/>
    </row>
    <row r="1902">
      <c r="A1902" s="7">
        <v>1901.0</v>
      </c>
      <c r="B1902" s="8" t="s">
        <v>8152</v>
      </c>
      <c r="C1902" s="9" t="s">
        <v>8153</v>
      </c>
      <c r="D1902" s="10" t="str">
        <f>HYPERLINK("https://facebook.com/367089020688300_534618120602055", "367089020688300_534618120602055")</f>
        <v>367089020688300_534618120602055</v>
      </c>
      <c r="E1902" s="11">
        <v>173.0</v>
      </c>
      <c r="F1902" s="11">
        <v>4.0</v>
      </c>
      <c r="G1902" s="11">
        <v>176.0</v>
      </c>
      <c r="H1902" s="9" t="s">
        <v>26</v>
      </c>
      <c r="I1902" s="9" t="s">
        <v>8154</v>
      </c>
      <c r="J1902" s="16" t="s">
        <v>8155</v>
      </c>
      <c r="K1902" s="9"/>
      <c r="L1902" s="9" t="s">
        <v>30</v>
      </c>
      <c r="M1902" s="9" t="s">
        <v>31</v>
      </c>
      <c r="N1902" s="9" t="s">
        <v>32</v>
      </c>
      <c r="O1902" s="12" t="s">
        <v>33</v>
      </c>
      <c r="P1902" s="12" t="s">
        <v>34</v>
      </c>
      <c r="Q1902" s="9"/>
      <c r="R1902" s="18"/>
      <c r="S1902" s="18"/>
      <c r="T1902" s="18"/>
      <c r="U1902" s="18"/>
      <c r="V1902" s="18"/>
      <c r="W1902" s="15"/>
      <c r="X1902" s="15"/>
    </row>
    <row r="1903">
      <c r="A1903" s="7">
        <v>1902.0</v>
      </c>
      <c r="B1903" s="8" t="s">
        <v>8156</v>
      </c>
      <c r="C1903" s="9" t="s">
        <v>8157</v>
      </c>
      <c r="D1903" s="10" t="str">
        <f>HYPERLINK("https://facebook.com/367089020688300_555758631821337", "367089020688300_555758631821337")</f>
        <v>367089020688300_555758631821337</v>
      </c>
      <c r="E1903" s="11">
        <v>1584.0</v>
      </c>
      <c r="F1903" s="11">
        <v>28.0</v>
      </c>
      <c r="G1903" s="11">
        <v>593.0</v>
      </c>
      <c r="H1903" s="9" t="s">
        <v>26</v>
      </c>
      <c r="I1903" s="9" t="s">
        <v>8158</v>
      </c>
      <c r="J1903" s="16" t="s">
        <v>8159</v>
      </c>
      <c r="K1903" s="9"/>
      <c r="L1903" s="9" t="s">
        <v>30</v>
      </c>
      <c r="M1903" s="9" t="s">
        <v>31</v>
      </c>
      <c r="N1903" s="9" t="s">
        <v>32</v>
      </c>
      <c r="O1903" s="12" t="s">
        <v>33</v>
      </c>
      <c r="P1903" s="12" t="s">
        <v>34</v>
      </c>
      <c r="Q1903" s="9"/>
      <c r="R1903" s="18"/>
      <c r="S1903" s="18"/>
      <c r="T1903" s="18"/>
      <c r="U1903" s="18"/>
      <c r="V1903" s="18"/>
      <c r="W1903" s="15"/>
      <c r="X1903" s="15"/>
    </row>
    <row r="1904">
      <c r="A1904" s="7">
        <v>1903.0</v>
      </c>
      <c r="B1904" s="8" t="s">
        <v>8160</v>
      </c>
      <c r="C1904" s="9" t="s">
        <v>8161</v>
      </c>
      <c r="D1904" s="10" t="str">
        <f>HYPERLINK("https://facebook.com/367089020688300_549575412439659", "367089020688300_549575412439659")</f>
        <v>367089020688300_549575412439659</v>
      </c>
      <c r="E1904" s="11">
        <v>56.0</v>
      </c>
      <c r="F1904" s="11">
        <v>0.0</v>
      </c>
      <c r="G1904" s="11">
        <v>32.0</v>
      </c>
      <c r="H1904" s="9" t="s">
        <v>26</v>
      </c>
      <c r="I1904" s="9" t="s">
        <v>8162</v>
      </c>
      <c r="J1904" s="9" t="s">
        <v>8163</v>
      </c>
      <c r="K1904" s="9" t="s">
        <v>1690</v>
      </c>
      <c r="L1904" s="9" t="s">
        <v>30</v>
      </c>
      <c r="M1904" s="9" t="s">
        <v>31</v>
      </c>
      <c r="N1904" s="9" t="s">
        <v>32</v>
      </c>
      <c r="O1904" s="12" t="s">
        <v>33</v>
      </c>
      <c r="P1904" s="12" t="s">
        <v>34</v>
      </c>
      <c r="Q1904" s="9"/>
      <c r="R1904" s="18"/>
      <c r="S1904" s="18"/>
      <c r="T1904" s="18"/>
      <c r="U1904" s="18"/>
      <c r="V1904" s="18"/>
      <c r="W1904" s="15"/>
      <c r="X1904" s="15"/>
    </row>
    <row r="1905">
      <c r="A1905" s="7">
        <v>1904.0</v>
      </c>
      <c r="B1905" s="8" t="s">
        <v>8164</v>
      </c>
      <c r="C1905" s="9" t="s">
        <v>8165</v>
      </c>
      <c r="D1905" s="10" t="str">
        <f>HYPERLINK("https://facebook.com/367089020688300_522902221773645", "367089020688300_522902221773645")</f>
        <v>367089020688300_522902221773645</v>
      </c>
      <c r="E1905" s="11">
        <v>1112.0</v>
      </c>
      <c r="F1905" s="11">
        <v>20.0</v>
      </c>
      <c r="G1905" s="11">
        <v>267.0</v>
      </c>
      <c r="H1905" s="9" t="s">
        <v>26</v>
      </c>
      <c r="I1905" s="9" t="s">
        <v>8166</v>
      </c>
      <c r="J1905" s="16" t="s">
        <v>8167</v>
      </c>
      <c r="K1905" s="9"/>
      <c r="L1905" s="9" t="s">
        <v>30</v>
      </c>
      <c r="M1905" s="9" t="s">
        <v>31</v>
      </c>
      <c r="N1905" s="9" t="s">
        <v>32</v>
      </c>
      <c r="O1905" s="12" t="s">
        <v>33</v>
      </c>
      <c r="P1905" s="12" t="s">
        <v>34</v>
      </c>
      <c r="Q1905" s="9"/>
      <c r="R1905" s="18"/>
      <c r="S1905" s="18"/>
      <c r="T1905" s="18"/>
      <c r="U1905" s="18"/>
      <c r="V1905" s="18"/>
      <c r="W1905" s="15"/>
      <c r="X1905" s="15"/>
    </row>
    <row r="1906">
      <c r="A1906" s="7">
        <v>1905.0</v>
      </c>
      <c r="B1906" s="8" t="s">
        <v>8168</v>
      </c>
      <c r="C1906" s="9" t="s">
        <v>8169</v>
      </c>
      <c r="D1906" s="10" t="str">
        <f>HYPERLINK("https://facebook.com/367089020688300_552182678845599", "367089020688300_552182678845599")</f>
        <v>367089020688300_552182678845599</v>
      </c>
      <c r="E1906" s="11">
        <v>13.0</v>
      </c>
      <c r="F1906" s="11">
        <v>0.0</v>
      </c>
      <c r="G1906" s="11">
        <v>6.0</v>
      </c>
      <c r="H1906" s="9" t="s">
        <v>26</v>
      </c>
      <c r="I1906" s="9" t="s">
        <v>8170</v>
      </c>
      <c r="J1906" s="9" t="s">
        <v>8171</v>
      </c>
      <c r="K1906" s="9" t="s">
        <v>249</v>
      </c>
      <c r="L1906" s="9" t="s">
        <v>30</v>
      </c>
      <c r="M1906" s="9" t="s">
        <v>31</v>
      </c>
      <c r="N1906" s="9" t="s">
        <v>32</v>
      </c>
      <c r="O1906" s="12" t="s">
        <v>33</v>
      </c>
      <c r="P1906" s="12" t="s">
        <v>34</v>
      </c>
      <c r="Q1906" s="9"/>
      <c r="R1906" s="18"/>
      <c r="S1906" s="18"/>
      <c r="T1906" s="18"/>
      <c r="U1906" s="18"/>
      <c r="V1906" s="18"/>
      <c r="W1906" s="15"/>
      <c r="X1906" s="15"/>
    </row>
    <row r="1907">
      <c r="A1907" s="7">
        <v>1906.0</v>
      </c>
      <c r="B1907" s="8" t="s">
        <v>8172</v>
      </c>
      <c r="C1907" s="9" t="s">
        <v>8173</v>
      </c>
      <c r="D1907" s="10" t="str">
        <f>HYPERLINK("https://facebook.com/367089020688300_535686827161851", "367089020688300_535686827161851")</f>
        <v>367089020688300_535686827161851</v>
      </c>
      <c r="E1907" s="11">
        <v>12.0</v>
      </c>
      <c r="F1907" s="11">
        <v>0.0</v>
      </c>
      <c r="G1907" s="11">
        <v>6.0</v>
      </c>
      <c r="H1907" s="9" t="s">
        <v>26</v>
      </c>
      <c r="I1907" s="9" t="s">
        <v>8174</v>
      </c>
      <c r="J1907" s="16" t="s">
        <v>8175</v>
      </c>
      <c r="K1907" s="9"/>
      <c r="L1907" s="9" t="s">
        <v>30</v>
      </c>
      <c r="M1907" s="9" t="s">
        <v>31</v>
      </c>
      <c r="N1907" s="9" t="s">
        <v>32</v>
      </c>
      <c r="O1907" s="12" t="s">
        <v>33</v>
      </c>
      <c r="P1907" s="12" t="s">
        <v>34</v>
      </c>
      <c r="Q1907" s="9"/>
      <c r="R1907" s="18"/>
      <c r="S1907" s="18"/>
      <c r="T1907" s="18"/>
      <c r="U1907" s="18"/>
      <c r="V1907" s="18"/>
      <c r="W1907" s="15"/>
      <c r="X1907" s="15"/>
    </row>
    <row r="1908">
      <c r="A1908" s="7">
        <v>1907.0</v>
      </c>
      <c r="B1908" s="8" t="s">
        <v>8176</v>
      </c>
      <c r="C1908" s="9" t="s">
        <v>8177</v>
      </c>
      <c r="D1908" s="10" t="str">
        <f>HYPERLINK("https://facebook.com/367089020688300_539547616775772", "367089020688300_539547616775772")</f>
        <v>367089020688300_539547616775772</v>
      </c>
      <c r="E1908" s="11">
        <v>675.0</v>
      </c>
      <c r="F1908" s="11">
        <v>16.0</v>
      </c>
      <c r="G1908" s="11">
        <v>471.0</v>
      </c>
      <c r="H1908" s="9" t="s">
        <v>26</v>
      </c>
      <c r="I1908" s="9" t="s">
        <v>8178</v>
      </c>
      <c r="J1908" s="9" t="s">
        <v>8179</v>
      </c>
      <c r="K1908" s="9" t="s">
        <v>8180</v>
      </c>
      <c r="L1908" s="9" t="s">
        <v>30</v>
      </c>
      <c r="M1908" s="9" t="s">
        <v>31</v>
      </c>
      <c r="N1908" s="9" t="s">
        <v>32</v>
      </c>
      <c r="O1908" s="12" t="s">
        <v>33</v>
      </c>
      <c r="P1908" s="12" t="s">
        <v>34</v>
      </c>
      <c r="Q1908" s="9"/>
      <c r="R1908" s="18"/>
      <c r="S1908" s="18"/>
      <c r="T1908" s="18"/>
      <c r="U1908" s="18"/>
      <c r="V1908" s="18"/>
      <c r="W1908" s="15"/>
      <c r="X1908" s="15"/>
    </row>
    <row r="1909">
      <c r="A1909" s="7">
        <v>1908.0</v>
      </c>
      <c r="B1909" s="8" t="s">
        <v>8181</v>
      </c>
      <c r="C1909" s="9" t="s">
        <v>8182</v>
      </c>
      <c r="D1909" s="10" t="str">
        <f>HYPERLINK("https://facebook.com/367089020688300_558376754892858", "367089020688300_558376754892858")</f>
        <v>367089020688300_558376754892858</v>
      </c>
      <c r="E1909" s="11">
        <v>31.0</v>
      </c>
      <c r="F1909" s="11">
        <v>0.0</v>
      </c>
      <c r="G1909" s="11">
        <v>10.0</v>
      </c>
      <c r="H1909" s="9" t="s">
        <v>26</v>
      </c>
      <c r="I1909" s="9" t="s">
        <v>8183</v>
      </c>
      <c r="J1909" s="9" t="s">
        <v>8184</v>
      </c>
      <c r="K1909" s="9" t="s">
        <v>1264</v>
      </c>
      <c r="L1909" s="9" t="s">
        <v>30</v>
      </c>
      <c r="M1909" s="9" t="s">
        <v>31</v>
      </c>
      <c r="N1909" s="9" t="s">
        <v>32</v>
      </c>
      <c r="O1909" s="12" t="s">
        <v>33</v>
      </c>
      <c r="P1909" s="12" t="s">
        <v>34</v>
      </c>
      <c r="Q1909" s="9"/>
      <c r="R1909" s="18"/>
      <c r="S1909" s="18"/>
      <c r="T1909" s="18"/>
      <c r="U1909" s="18"/>
      <c r="V1909" s="18"/>
      <c r="W1909" s="15"/>
      <c r="X1909" s="15"/>
    </row>
    <row r="1910">
      <c r="A1910" s="7">
        <v>1909.0</v>
      </c>
      <c r="B1910" s="8" t="s">
        <v>8185</v>
      </c>
      <c r="C1910" s="9" t="s">
        <v>8186</v>
      </c>
      <c r="D1910" s="10" t="str">
        <f>HYPERLINK("https://facebook.com/367089020688300_557384424992091", "367089020688300_557384424992091")</f>
        <v>367089020688300_557384424992091</v>
      </c>
      <c r="E1910" s="11">
        <v>107.0</v>
      </c>
      <c r="F1910" s="11">
        <v>0.0</v>
      </c>
      <c r="G1910" s="11">
        <v>28.0</v>
      </c>
      <c r="H1910" s="9" t="s">
        <v>26</v>
      </c>
      <c r="I1910" s="9" t="s">
        <v>8187</v>
      </c>
      <c r="J1910" s="9" t="s">
        <v>8188</v>
      </c>
      <c r="K1910" s="9" t="s">
        <v>1345</v>
      </c>
      <c r="L1910" s="9" t="s">
        <v>30</v>
      </c>
      <c r="M1910" s="9" t="s">
        <v>31</v>
      </c>
      <c r="N1910" s="9" t="s">
        <v>32</v>
      </c>
      <c r="O1910" s="12" t="s">
        <v>33</v>
      </c>
      <c r="P1910" s="12" t="s">
        <v>34</v>
      </c>
      <c r="Q1910" s="9"/>
      <c r="R1910" s="18"/>
      <c r="S1910" s="18"/>
      <c r="T1910" s="18"/>
      <c r="U1910" s="18"/>
      <c r="V1910" s="18"/>
      <c r="W1910" s="15"/>
      <c r="X1910" s="15"/>
    </row>
    <row r="1911">
      <c r="A1911" s="7">
        <v>1910.0</v>
      </c>
      <c r="B1911" s="8" t="s">
        <v>8189</v>
      </c>
      <c r="C1911" s="9" t="s">
        <v>8190</v>
      </c>
      <c r="D1911" s="10" t="str">
        <f>HYPERLINK("https://facebook.com/367089020688300_548942112502989", "367089020688300_548942112502989")</f>
        <v>367089020688300_548942112502989</v>
      </c>
      <c r="E1911" s="11">
        <v>2641.0</v>
      </c>
      <c r="F1911" s="11">
        <v>89.0</v>
      </c>
      <c r="G1911" s="11">
        <v>152.0</v>
      </c>
      <c r="H1911" s="9" t="s">
        <v>26</v>
      </c>
      <c r="I1911" s="9" t="s">
        <v>1621</v>
      </c>
      <c r="J1911" s="9" t="s">
        <v>1622</v>
      </c>
      <c r="K1911" s="9" t="s">
        <v>8191</v>
      </c>
      <c r="L1911" s="9" t="s">
        <v>30</v>
      </c>
      <c r="M1911" s="9" t="s">
        <v>31</v>
      </c>
      <c r="N1911" s="9" t="s">
        <v>32</v>
      </c>
      <c r="O1911" s="12" t="s">
        <v>33</v>
      </c>
      <c r="P1911" s="12" t="s">
        <v>34</v>
      </c>
      <c r="Q1911" s="9"/>
      <c r="R1911" s="18"/>
      <c r="S1911" s="18"/>
      <c r="T1911" s="18"/>
      <c r="U1911" s="18"/>
      <c r="V1911" s="18"/>
      <c r="W1911" s="15"/>
      <c r="X1911" s="15"/>
    </row>
    <row r="1912">
      <c r="A1912" s="7">
        <v>1911.0</v>
      </c>
      <c r="B1912" s="8" t="s">
        <v>8192</v>
      </c>
      <c r="C1912" s="9" t="s">
        <v>8193</v>
      </c>
      <c r="D1912" s="10" t="str">
        <f>HYPERLINK("https://facebook.com/367089020688300_548135579250309", "367089020688300_548135579250309")</f>
        <v>367089020688300_548135579250309</v>
      </c>
      <c r="E1912" s="11">
        <v>14.0</v>
      </c>
      <c r="F1912" s="11">
        <v>1.0</v>
      </c>
      <c r="G1912" s="11">
        <v>2.0</v>
      </c>
      <c r="H1912" s="9" t="s">
        <v>26</v>
      </c>
      <c r="I1912" s="9" t="s">
        <v>8194</v>
      </c>
      <c r="J1912" s="16" t="s">
        <v>8195</v>
      </c>
      <c r="K1912" s="9"/>
      <c r="L1912" s="9" t="s">
        <v>30</v>
      </c>
      <c r="M1912" s="9" t="s">
        <v>31</v>
      </c>
      <c r="N1912" s="9" t="s">
        <v>32</v>
      </c>
      <c r="O1912" s="12" t="s">
        <v>33</v>
      </c>
      <c r="P1912" s="12" t="s">
        <v>34</v>
      </c>
      <c r="Q1912" s="9"/>
      <c r="R1912" s="18"/>
      <c r="S1912" s="18"/>
      <c r="T1912" s="18"/>
      <c r="U1912" s="18"/>
      <c r="V1912" s="18"/>
      <c r="W1912" s="15"/>
      <c r="X1912" s="15"/>
    </row>
    <row r="1913">
      <c r="A1913" s="7">
        <v>1912.0</v>
      </c>
      <c r="B1913" s="8" t="s">
        <v>8196</v>
      </c>
      <c r="C1913" s="9" t="s">
        <v>8197</v>
      </c>
      <c r="D1913" s="10" t="str">
        <f>HYPERLINK("https://facebook.com/367089020688300_545863166144217", "367089020688300_545863166144217")</f>
        <v>367089020688300_545863166144217</v>
      </c>
      <c r="E1913" s="11">
        <v>433.0</v>
      </c>
      <c r="F1913" s="11">
        <v>6.0</v>
      </c>
      <c r="G1913" s="11">
        <v>261.0</v>
      </c>
      <c r="H1913" s="9" t="s">
        <v>26</v>
      </c>
      <c r="I1913" s="9" t="s">
        <v>6607</v>
      </c>
      <c r="J1913" s="16" t="s">
        <v>8198</v>
      </c>
      <c r="K1913" s="9"/>
      <c r="L1913" s="9" t="s">
        <v>30</v>
      </c>
      <c r="M1913" s="9" t="s">
        <v>31</v>
      </c>
      <c r="N1913" s="9" t="s">
        <v>32</v>
      </c>
      <c r="O1913" s="12" t="s">
        <v>33</v>
      </c>
      <c r="P1913" s="12" t="s">
        <v>34</v>
      </c>
      <c r="Q1913" s="9"/>
      <c r="R1913" s="18"/>
      <c r="S1913" s="18"/>
      <c r="T1913" s="18"/>
      <c r="U1913" s="18"/>
      <c r="V1913" s="18"/>
      <c r="W1913" s="15"/>
      <c r="X1913" s="15"/>
    </row>
    <row r="1914">
      <c r="A1914" s="7">
        <v>1913.0</v>
      </c>
      <c r="B1914" s="8" t="s">
        <v>8199</v>
      </c>
      <c r="C1914" s="9" t="s">
        <v>8200</v>
      </c>
      <c r="D1914" s="10" t="str">
        <f>HYPERLINK("https://facebook.com/367089020688300_554202725310261", "367089020688300_554202725310261")</f>
        <v>367089020688300_554202725310261</v>
      </c>
      <c r="E1914" s="11">
        <v>149.0</v>
      </c>
      <c r="F1914" s="11">
        <v>1.0</v>
      </c>
      <c r="G1914" s="11">
        <v>349.0</v>
      </c>
      <c r="H1914" s="9" t="s">
        <v>26</v>
      </c>
      <c r="I1914" s="9" t="s">
        <v>8201</v>
      </c>
      <c r="J1914" s="9" t="s">
        <v>8202</v>
      </c>
      <c r="K1914" s="9" t="s">
        <v>8203</v>
      </c>
      <c r="L1914" s="9" t="s">
        <v>30</v>
      </c>
      <c r="M1914" s="9" t="s">
        <v>31</v>
      </c>
      <c r="N1914" s="9" t="s">
        <v>32</v>
      </c>
      <c r="O1914" s="12" t="s">
        <v>33</v>
      </c>
      <c r="P1914" s="12" t="s">
        <v>34</v>
      </c>
      <c r="Q1914" s="9"/>
      <c r="R1914" s="18"/>
      <c r="S1914" s="18"/>
      <c r="T1914" s="18"/>
      <c r="U1914" s="18"/>
      <c r="V1914" s="18"/>
      <c r="W1914" s="15"/>
      <c r="X1914" s="15"/>
    </row>
    <row r="1915">
      <c r="A1915" s="7">
        <v>1914.0</v>
      </c>
      <c r="B1915" s="8" t="s">
        <v>8204</v>
      </c>
      <c r="C1915" s="9" t="s">
        <v>8205</v>
      </c>
      <c r="D1915" s="10" t="str">
        <f>HYPERLINK("https://facebook.com/367089020688300_538614573535743", "367089020688300_538614573535743")</f>
        <v>367089020688300_538614573535743</v>
      </c>
      <c r="E1915" s="11">
        <v>392.0</v>
      </c>
      <c r="F1915" s="11">
        <v>6.0</v>
      </c>
      <c r="G1915" s="11">
        <v>506.0</v>
      </c>
      <c r="H1915" s="9" t="s">
        <v>26</v>
      </c>
      <c r="I1915" s="9" t="s">
        <v>8206</v>
      </c>
      <c r="J1915" s="16" t="s">
        <v>8207</v>
      </c>
      <c r="K1915" s="9"/>
      <c r="L1915" s="9" t="s">
        <v>30</v>
      </c>
      <c r="M1915" s="9" t="s">
        <v>31</v>
      </c>
      <c r="N1915" s="9" t="s">
        <v>32</v>
      </c>
      <c r="O1915" s="12" t="s">
        <v>33</v>
      </c>
      <c r="P1915" s="12" t="s">
        <v>34</v>
      </c>
      <c r="Q1915" s="9"/>
      <c r="R1915" s="18"/>
      <c r="S1915" s="18"/>
      <c r="T1915" s="18"/>
      <c r="U1915" s="18"/>
      <c r="V1915" s="18"/>
      <c r="W1915" s="15"/>
      <c r="X1915" s="15"/>
    </row>
    <row r="1916">
      <c r="A1916" s="7">
        <v>1915.0</v>
      </c>
      <c r="B1916" s="8" t="s">
        <v>8208</v>
      </c>
      <c r="C1916" s="9" t="s">
        <v>8209</v>
      </c>
      <c r="D1916" s="10" t="str">
        <f>HYPERLINK("https://facebook.com/367089020688300_554777891919411", "367089020688300_554777891919411")</f>
        <v>367089020688300_554777891919411</v>
      </c>
      <c r="E1916" s="11">
        <v>69.0</v>
      </c>
      <c r="F1916" s="11">
        <v>0.0</v>
      </c>
      <c r="G1916" s="11">
        <v>57.0</v>
      </c>
      <c r="H1916" s="9" t="s">
        <v>26</v>
      </c>
      <c r="I1916" s="9" t="s">
        <v>8210</v>
      </c>
      <c r="J1916" s="9" t="s">
        <v>8211</v>
      </c>
      <c r="K1916" s="9" t="s">
        <v>8212</v>
      </c>
      <c r="L1916" s="9" t="s">
        <v>30</v>
      </c>
      <c r="M1916" s="9" t="s">
        <v>31</v>
      </c>
      <c r="N1916" s="9" t="s">
        <v>32</v>
      </c>
      <c r="O1916" s="12" t="s">
        <v>33</v>
      </c>
      <c r="P1916" s="12" t="s">
        <v>34</v>
      </c>
      <c r="Q1916" s="9"/>
      <c r="R1916" s="18"/>
      <c r="S1916" s="18"/>
      <c r="T1916" s="18"/>
      <c r="U1916" s="18"/>
      <c r="V1916" s="18"/>
      <c r="W1916" s="15"/>
      <c r="X1916" s="15"/>
    </row>
    <row r="1917">
      <c r="A1917" s="7">
        <v>1916.0</v>
      </c>
      <c r="B1917" s="8" t="s">
        <v>8213</v>
      </c>
      <c r="C1917" s="9" t="s">
        <v>8214</v>
      </c>
      <c r="D1917" s="10" t="str">
        <f>HYPERLINK("https://facebook.com/367089020688300_553548602042340", "367089020688300_553548602042340")</f>
        <v>367089020688300_553548602042340</v>
      </c>
      <c r="E1917" s="11">
        <v>70.0</v>
      </c>
      <c r="F1917" s="11">
        <v>2.0</v>
      </c>
      <c r="G1917" s="11">
        <v>60.0</v>
      </c>
      <c r="H1917" s="9" t="s">
        <v>26</v>
      </c>
      <c r="I1917" s="9" t="s">
        <v>8215</v>
      </c>
      <c r="J1917" s="16" t="s">
        <v>8216</v>
      </c>
      <c r="K1917" s="9"/>
      <c r="L1917" s="9" t="s">
        <v>30</v>
      </c>
      <c r="M1917" s="9" t="s">
        <v>31</v>
      </c>
      <c r="N1917" s="9" t="s">
        <v>32</v>
      </c>
      <c r="O1917" s="12" t="s">
        <v>33</v>
      </c>
      <c r="P1917" s="12" t="s">
        <v>34</v>
      </c>
      <c r="Q1917" s="9"/>
      <c r="R1917" s="18"/>
      <c r="S1917" s="18"/>
      <c r="T1917" s="18"/>
      <c r="U1917" s="18"/>
      <c r="V1917" s="18"/>
      <c r="W1917" s="15"/>
      <c r="X1917" s="15"/>
    </row>
    <row r="1918">
      <c r="A1918" s="7">
        <v>1917.0</v>
      </c>
      <c r="B1918" s="8" t="s">
        <v>8217</v>
      </c>
      <c r="C1918" s="9" t="s">
        <v>8218</v>
      </c>
      <c r="D1918" s="10" t="str">
        <f>HYPERLINK("https://facebook.com/367089020688300_563336854396848", "367089020688300_563336854396848")</f>
        <v>367089020688300_563336854396848</v>
      </c>
      <c r="E1918" s="11">
        <v>95.0</v>
      </c>
      <c r="F1918" s="11">
        <v>1.0</v>
      </c>
      <c r="G1918" s="11">
        <v>52.0</v>
      </c>
      <c r="H1918" s="9" t="s">
        <v>26</v>
      </c>
      <c r="I1918" s="9" t="s">
        <v>5551</v>
      </c>
      <c r="J1918" s="16" t="s">
        <v>8219</v>
      </c>
      <c r="K1918" s="9"/>
      <c r="L1918" s="9" t="s">
        <v>30</v>
      </c>
      <c r="M1918" s="9" t="s">
        <v>31</v>
      </c>
      <c r="N1918" s="9" t="s">
        <v>32</v>
      </c>
      <c r="O1918" s="12" t="s">
        <v>33</v>
      </c>
      <c r="P1918" s="12" t="s">
        <v>34</v>
      </c>
      <c r="Q1918" s="9"/>
      <c r="R1918" s="18"/>
      <c r="S1918" s="18"/>
      <c r="T1918" s="18"/>
      <c r="U1918" s="18"/>
      <c r="V1918" s="18"/>
      <c r="W1918" s="15"/>
      <c r="X1918" s="15"/>
    </row>
    <row r="1919">
      <c r="A1919" s="7">
        <v>1918.0</v>
      </c>
      <c r="B1919" s="8" t="s">
        <v>8220</v>
      </c>
      <c r="C1919" s="9" t="s">
        <v>8221</v>
      </c>
      <c r="D1919" s="10" t="str">
        <f>HYPERLINK("https://facebook.com/367089020688300_508862279844306", "367089020688300_508862279844306")</f>
        <v>367089020688300_508862279844306</v>
      </c>
      <c r="E1919" s="11">
        <v>76.0</v>
      </c>
      <c r="F1919" s="11">
        <v>0.0</v>
      </c>
      <c r="G1919" s="11">
        <v>34.0</v>
      </c>
      <c r="H1919" s="9" t="s">
        <v>26</v>
      </c>
      <c r="I1919" s="9" t="s">
        <v>8222</v>
      </c>
      <c r="J1919" s="9" t="s">
        <v>8223</v>
      </c>
      <c r="K1919" s="9" t="s">
        <v>2271</v>
      </c>
      <c r="L1919" s="9" t="s">
        <v>30</v>
      </c>
      <c r="M1919" s="9" t="s">
        <v>31</v>
      </c>
      <c r="N1919" s="9" t="s">
        <v>32</v>
      </c>
      <c r="O1919" s="12" t="s">
        <v>33</v>
      </c>
      <c r="P1919" s="12" t="s">
        <v>34</v>
      </c>
      <c r="Q1919" s="9"/>
      <c r="R1919" s="18"/>
      <c r="S1919" s="18"/>
      <c r="T1919" s="18"/>
      <c r="U1919" s="18"/>
      <c r="V1919" s="18"/>
      <c r="W1919" s="15"/>
      <c r="X1919" s="15"/>
    </row>
    <row r="1920">
      <c r="A1920" s="7">
        <v>1919.0</v>
      </c>
      <c r="B1920" s="8" t="s">
        <v>8224</v>
      </c>
      <c r="C1920" s="9" t="s">
        <v>8225</v>
      </c>
      <c r="D1920" s="10" t="str">
        <f>HYPERLINK("https://facebook.com/367089020688300_536127210451146", "367089020688300_536127210451146")</f>
        <v>367089020688300_536127210451146</v>
      </c>
      <c r="E1920" s="11">
        <v>38.0</v>
      </c>
      <c r="F1920" s="11">
        <v>0.0</v>
      </c>
      <c r="G1920" s="11">
        <v>10.0</v>
      </c>
      <c r="H1920" s="9" t="s">
        <v>26</v>
      </c>
      <c r="I1920" s="9" t="s">
        <v>8226</v>
      </c>
      <c r="J1920" s="16" t="s">
        <v>8227</v>
      </c>
      <c r="K1920" s="9"/>
      <c r="L1920" s="9" t="s">
        <v>30</v>
      </c>
      <c r="M1920" s="9" t="s">
        <v>31</v>
      </c>
      <c r="N1920" s="9" t="s">
        <v>32</v>
      </c>
      <c r="O1920" s="12" t="s">
        <v>33</v>
      </c>
      <c r="P1920" s="12" t="s">
        <v>34</v>
      </c>
      <c r="Q1920" s="9"/>
      <c r="R1920" s="18"/>
      <c r="S1920" s="18"/>
      <c r="T1920" s="18"/>
      <c r="U1920" s="18"/>
      <c r="V1920" s="18"/>
      <c r="W1920" s="15"/>
      <c r="X1920" s="15"/>
    </row>
    <row r="1921">
      <c r="A1921" s="7">
        <v>1920.0</v>
      </c>
      <c r="B1921" s="8" t="s">
        <v>8228</v>
      </c>
      <c r="C1921" s="9" t="s">
        <v>8229</v>
      </c>
      <c r="D1921" s="10" t="str">
        <f>HYPERLINK("https://facebook.com/367089020688300_552579908805876", "367089020688300_552579908805876")</f>
        <v>367089020688300_552579908805876</v>
      </c>
      <c r="E1921" s="11">
        <v>12.0</v>
      </c>
      <c r="F1921" s="11">
        <v>0.0</v>
      </c>
      <c r="G1921" s="11">
        <v>5.0</v>
      </c>
      <c r="H1921" s="9" t="s">
        <v>26</v>
      </c>
      <c r="I1921" s="9" t="s">
        <v>8230</v>
      </c>
      <c r="J1921" s="16" t="s">
        <v>8231</v>
      </c>
      <c r="K1921" s="9"/>
      <c r="L1921" s="9" t="s">
        <v>30</v>
      </c>
      <c r="M1921" s="9" t="s">
        <v>31</v>
      </c>
      <c r="N1921" s="9" t="s">
        <v>32</v>
      </c>
      <c r="O1921" s="12" t="s">
        <v>33</v>
      </c>
      <c r="P1921" s="12" t="s">
        <v>34</v>
      </c>
      <c r="Q1921" s="9"/>
      <c r="R1921" s="18"/>
      <c r="S1921" s="18"/>
      <c r="T1921" s="18"/>
      <c r="U1921" s="18"/>
      <c r="V1921" s="18"/>
      <c r="W1921" s="15"/>
      <c r="X1921" s="15"/>
    </row>
    <row r="1922">
      <c r="A1922" s="7">
        <v>1921.0</v>
      </c>
      <c r="B1922" s="8" t="s">
        <v>8232</v>
      </c>
      <c r="C1922" s="9" t="s">
        <v>8233</v>
      </c>
      <c r="D1922" s="10" t="str">
        <f>HYPERLINK("https://facebook.com/367089020688300_553010555429478", "367089020688300_553010555429478")</f>
        <v>367089020688300_553010555429478</v>
      </c>
      <c r="E1922" s="11">
        <v>8.0</v>
      </c>
      <c r="F1922" s="11">
        <v>0.0</v>
      </c>
      <c r="G1922" s="11">
        <v>1.0</v>
      </c>
      <c r="H1922" s="9" t="s">
        <v>26</v>
      </c>
      <c r="I1922" s="9" t="s">
        <v>8234</v>
      </c>
      <c r="J1922" s="9" t="s">
        <v>8235</v>
      </c>
      <c r="K1922" s="9" t="s">
        <v>8236</v>
      </c>
      <c r="L1922" s="9" t="s">
        <v>30</v>
      </c>
      <c r="M1922" s="9" t="s">
        <v>31</v>
      </c>
      <c r="N1922" s="9" t="s">
        <v>32</v>
      </c>
      <c r="O1922" s="12" t="s">
        <v>33</v>
      </c>
      <c r="P1922" s="12" t="s">
        <v>34</v>
      </c>
      <c r="Q1922" s="9"/>
      <c r="R1922" s="18"/>
      <c r="S1922" s="18"/>
      <c r="T1922" s="18"/>
      <c r="U1922" s="18"/>
      <c r="V1922" s="18"/>
      <c r="W1922" s="15"/>
      <c r="X1922" s="15"/>
    </row>
    <row r="1923">
      <c r="A1923" s="7">
        <v>1922.0</v>
      </c>
      <c r="B1923" s="8" t="s">
        <v>8237</v>
      </c>
      <c r="C1923" s="9" t="s">
        <v>8238</v>
      </c>
      <c r="D1923" s="10" t="str">
        <f>HYPERLINK("https://facebook.com/367089020688300_531776320886235", "367089020688300_531776320886235")</f>
        <v>367089020688300_531776320886235</v>
      </c>
      <c r="E1923" s="11">
        <v>162.0</v>
      </c>
      <c r="F1923" s="11">
        <v>7.0</v>
      </c>
      <c r="G1923" s="11">
        <v>322.0</v>
      </c>
      <c r="H1923" s="9" t="s">
        <v>26</v>
      </c>
      <c r="I1923" s="9" t="s">
        <v>8239</v>
      </c>
      <c r="J1923" s="9" t="s">
        <v>8240</v>
      </c>
      <c r="K1923" s="9" t="s">
        <v>249</v>
      </c>
      <c r="L1923" s="9" t="s">
        <v>30</v>
      </c>
      <c r="M1923" s="9" t="s">
        <v>31</v>
      </c>
      <c r="N1923" s="9" t="s">
        <v>32</v>
      </c>
      <c r="O1923" s="12" t="s">
        <v>33</v>
      </c>
      <c r="P1923" s="12" t="s">
        <v>34</v>
      </c>
      <c r="Q1923" s="9"/>
      <c r="R1923" s="18"/>
      <c r="S1923" s="18"/>
      <c r="T1923" s="18"/>
      <c r="U1923" s="18"/>
      <c r="V1923" s="18"/>
      <c r="W1923" s="15"/>
      <c r="X1923" s="15"/>
    </row>
    <row r="1924">
      <c r="A1924" s="7">
        <v>1923.0</v>
      </c>
      <c r="B1924" s="8" t="s">
        <v>8241</v>
      </c>
      <c r="C1924" s="9" t="s">
        <v>8242</v>
      </c>
      <c r="D1924" s="10" t="str">
        <f>HYPERLINK("https://facebook.com/367089020688300_516002475796953", "367089020688300_516002475796953")</f>
        <v>367089020688300_516002475796953</v>
      </c>
      <c r="E1924" s="11">
        <v>14.0</v>
      </c>
      <c r="F1924" s="11">
        <v>1.0</v>
      </c>
      <c r="G1924" s="11">
        <v>25.0</v>
      </c>
      <c r="H1924" s="9" t="s">
        <v>26</v>
      </c>
      <c r="I1924" s="9" t="s">
        <v>8243</v>
      </c>
      <c r="J1924" s="9" t="s">
        <v>8244</v>
      </c>
      <c r="K1924" s="9" t="s">
        <v>8245</v>
      </c>
      <c r="L1924" s="9" t="s">
        <v>30</v>
      </c>
      <c r="M1924" s="9" t="s">
        <v>31</v>
      </c>
      <c r="N1924" s="9" t="s">
        <v>32</v>
      </c>
      <c r="O1924" s="12" t="s">
        <v>33</v>
      </c>
      <c r="P1924" s="12" t="s">
        <v>34</v>
      </c>
      <c r="Q1924" s="9"/>
      <c r="R1924" s="18"/>
      <c r="S1924" s="18"/>
      <c r="T1924" s="18"/>
      <c r="U1924" s="18"/>
      <c r="V1924" s="18"/>
      <c r="W1924" s="15"/>
      <c r="X1924" s="15"/>
    </row>
    <row r="1925">
      <c r="A1925" s="7">
        <v>1924.0</v>
      </c>
      <c r="B1925" s="8" t="s">
        <v>8246</v>
      </c>
      <c r="C1925" s="9" t="s">
        <v>8247</v>
      </c>
      <c r="D1925" s="10" t="str">
        <f>HYPERLINK("https://facebook.com/367089020688300_535383077192226", "367089020688300_535383077192226")</f>
        <v>367089020688300_535383077192226</v>
      </c>
      <c r="E1925" s="11">
        <v>64.0</v>
      </c>
      <c r="F1925" s="11">
        <v>0.0</v>
      </c>
      <c r="G1925" s="11">
        <v>81.0</v>
      </c>
      <c r="H1925" s="9" t="s">
        <v>26</v>
      </c>
      <c r="I1925" s="9" t="s">
        <v>8248</v>
      </c>
      <c r="J1925" s="9" t="s">
        <v>8249</v>
      </c>
      <c r="K1925" s="9" t="s">
        <v>8250</v>
      </c>
      <c r="L1925" s="9" t="s">
        <v>30</v>
      </c>
      <c r="M1925" s="9" t="s">
        <v>31</v>
      </c>
      <c r="N1925" s="9" t="s">
        <v>32</v>
      </c>
      <c r="O1925" s="12" t="s">
        <v>33</v>
      </c>
      <c r="P1925" s="12" t="s">
        <v>34</v>
      </c>
      <c r="Q1925" s="9"/>
      <c r="R1925" s="18"/>
      <c r="S1925" s="18"/>
      <c r="T1925" s="18"/>
      <c r="U1925" s="18"/>
      <c r="V1925" s="18"/>
      <c r="W1925" s="15"/>
      <c r="X1925" s="15"/>
    </row>
    <row r="1926">
      <c r="A1926" s="7">
        <v>1925.0</v>
      </c>
      <c r="B1926" s="8" t="s">
        <v>8251</v>
      </c>
      <c r="C1926" s="9" t="s">
        <v>8252</v>
      </c>
      <c r="D1926" s="10" t="str">
        <f>HYPERLINK("https://facebook.com/367089020688300_548131242584076", "367089020688300_548131242584076")</f>
        <v>367089020688300_548131242584076</v>
      </c>
      <c r="E1926" s="11">
        <v>1035.0</v>
      </c>
      <c r="F1926" s="11">
        <v>12.0</v>
      </c>
      <c r="G1926" s="11">
        <v>1118.0</v>
      </c>
      <c r="H1926" s="9" t="s">
        <v>26</v>
      </c>
      <c r="I1926" s="9" t="s">
        <v>8253</v>
      </c>
      <c r="J1926" s="9" t="s">
        <v>8254</v>
      </c>
      <c r="K1926" s="9" t="s">
        <v>8255</v>
      </c>
      <c r="L1926" s="9" t="s">
        <v>30</v>
      </c>
      <c r="M1926" s="9" t="s">
        <v>31</v>
      </c>
      <c r="N1926" s="9" t="s">
        <v>32</v>
      </c>
      <c r="O1926" s="12" t="s">
        <v>33</v>
      </c>
      <c r="P1926" s="12" t="s">
        <v>34</v>
      </c>
      <c r="Q1926" s="9"/>
      <c r="R1926" s="18"/>
      <c r="S1926" s="18"/>
      <c r="T1926" s="18"/>
      <c r="U1926" s="18"/>
      <c r="V1926" s="18"/>
      <c r="W1926" s="15"/>
      <c r="X1926" s="15"/>
    </row>
    <row r="1927">
      <c r="A1927" s="7">
        <v>1926.0</v>
      </c>
      <c r="B1927" s="8" t="s">
        <v>8256</v>
      </c>
      <c r="C1927" s="9" t="s">
        <v>8257</v>
      </c>
      <c r="D1927" s="10" t="str">
        <f>HYPERLINK("https://facebook.com/367089020688300_404789256918276", "367089020688300_404789256918276")</f>
        <v>367089020688300_404789256918276</v>
      </c>
      <c r="E1927" s="11">
        <v>167.0</v>
      </c>
      <c r="F1927" s="11">
        <v>2.0</v>
      </c>
      <c r="G1927" s="11">
        <v>139.0</v>
      </c>
      <c r="H1927" s="9" t="s">
        <v>26</v>
      </c>
      <c r="I1927" s="9" t="s">
        <v>8258</v>
      </c>
      <c r="J1927" s="16" t="s">
        <v>8259</v>
      </c>
      <c r="K1927" s="9"/>
      <c r="L1927" s="9" t="s">
        <v>30</v>
      </c>
      <c r="M1927" s="9" t="s">
        <v>31</v>
      </c>
      <c r="N1927" s="9" t="s">
        <v>32</v>
      </c>
      <c r="O1927" s="12" t="s">
        <v>33</v>
      </c>
      <c r="P1927" s="12" t="s">
        <v>34</v>
      </c>
      <c r="Q1927" s="9"/>
      <c r="R1927" s="18"/>
      <c r="S1927" s="18"/>
      <c r="T1927" s="18"/>
      <c r="U1927" s="18"/>
      <c r="V1927" s="18"/>
      <c r="W1927" s="15"/>
      <c r="X1927" s="15"/>
    </row>
    <row r="1928">
      <c r="A1928" s="7">
        <v>1927.0</v>
      </c>
      <c r="B1928" s="8" t="s">
        <v>8260</v>
      </c>
      <c r="C1928" s="9" t="s">
        <v>8261</v>
      </c>
      <c r="D1928" s="10" t="str">
        <f>HYPERLINK("https://facebook.com/367089020688300_478472072883327", "367089020688300_478472072883327")</f>
        <v>367089020688300_478472072883327</v>
      </c>
      <c r="E1928" s="11">
        <v>108.0</v>
      </c>
      <c r="F1928" s="11">
        <v>2.0</v>
      </c>
      <c r="G1928" s="11">
        <v>127.0</v>
      </c>
      <c r="H1928" s="9" t="s">
        <v>26</v>
      </c>
      <c r="I1928" s="9" t="s">
        <v>8262</v>
      </c>
      <c r="J1928" s="9" t="s">
        <v>8263</v>
      </c>
      <c r="K1928" s="9" t="s">
        <v>8264</v>
      </c>
      <c r="L1928" s="9" t="s">
        <v>30</v>
      </c>
      <c r="M1928" s="9" t="s">
        <v>31</v>
      </c>
      <c r="N1928" s="9" t="s">
        <v>32</v>
      </c>
      <c r="O1928" s="12" t="s">
        <v>33</v>
      </c>
      <c r="P1928" s="12" t="s">
        <v>34</v>
      </c>
      <c r="Q1928" s="9"/>
      <c r="R1928" s="18"/>
      <c r="S1928" s="18"/>
      <c r="T1928" s="18"/>
      <c r="U1928" s="18"/>
      <c r="V1928" s="18"/>
      <c r="W1928" s="15"/>
      <c r="X1928" s="15"/>
    </row>
    <row r="1929">
      <c r="A1929" s="7">
        <v>1928.0</v>
      </c>
      <c r="B1929" s="8" t="s">
        <v>8265</v>
      </c>
      <c r="C1929" s="9" t="s">
        <v>8266</v>
      </c>
      <c r="D1929" s="10" t="str">
        <f>HYPERLINK("https://facebook.com/367089020688300_523334708397063", "367089020688300_523334708397063")</f>
        <v>367089020688300_523334708397063</v>
      </c>
      <c r="E1929" s="11">
        <v>425.0</v>
      </c>
      <c r="F1929" s="11">
        <v>19.0</v>
      </c>
      <c r="G1929" s="11">
        <v>701.0</v>
      </c>
      <c r="H1929" s="9" t="s">
        <v>26</v>
      </c>
      <c r="I1929" s="9" t="s">
        <v>5539</v>
      </c>
      <c r="J1929" s="16" t="s">
        <v>5540</v>
      </c>
      <c r="K1929" s="9"/>
      <c r="L1929" s="9" t="s">
        <v>30</v>
      </c>
      <c r="M1929" s="9" t="s">
        <v>31</v>
      </c>
      <c r="N1929" s="9" t="s">
        <v>32</v>
      </c>
      <c r="O1929" s="12" t="s">
        <v>33</v>
      </c>
      <c r="P1929" s="12" t="s">
        <v>34</v>
      </c>
      <c r="Q1929" s="9"/>
      <c r="R1929" s="18"/>
      <c r="S1929" s="18"/>
      <c r="T1929" s="18"/>
      <c r="U1929" s="18"/>
      <c r="V1929" s="18"/>
      <c r="W1929" s="15"/>
      <c r="X1929" s="15"/>
    </row>
    <row r="1930">
      <c r="A1930" s="7">
        <v>1929.0</v>
      </c>
      <c r="B1930" s="8" t="s">
        <v>8267</v>
      </c>
      <c r="C1930" s="9" t="s">
        <v>8268</v>
      </c>
      <c r="D1930" s="10" t="str">
        <f>HYPERLINK("https://facebook.com/367089020688300_521244581939409", "367089020688300_521244581939409")</f>
        <v>367089020688300_521244581939409</v>
      </c>
      <c r="E1930" s="11">
        <v>358.0</v>
      </c>
      <c r="F1930" s="11">
        <v>5.0</v>
      </c>
      <c r="G1930" s="11">
        <v>165.0</v>
      </c>
      <c r="H1930" s="9" t="s">
        <v>26</v>
      </c>
      <c r="I1930" s="9" t="s">
        <v>1496</v>
      </c>
      <c r="J1930" s="16" t="s">
        <v>8269</v>
      </c>
      <c r="K1930" s="9"/>
      <c r="L1930" s="9" t="s">
        <v>30</v>
      </c>
      <c r="M1930" s="9" t="s">
        <v>31</v>
      </c>
      <c r="N1930" s="9" t="s">
        <v>32</v>
      </c>
      <c r="O1930" s="12" t="s">
        <v>33</v>
      </c>
      <c r="P1930" s="12" t="s">
        <v>34</v>
      </c>
      <c r="Q1930" s="9"/>
      <c r="R1930" s="18"/>
      <c r="S1930" s="18"/>
      <c r="T1930" s="18"/>
      <c r="U1930" s="18"/>
      <c r="V1930" s="18"/>
      <c r="W1930" s="15"/>
      <c r="X1930" s="15"/>
    </row>
    <row r="1931">
      <c r="A1931" s="7">
        <v>1930.0</v>
      </c>
      <c r="B1931" s="8" t="s">
        <v>8270</v>
      </c>
      <c r="C1931" s="9" t="s">
        <v>8271</v>
      </c>
      <c r="D1931" s="10" t="str">
        <f>HYPERLINK("https://facebook.com/367089020688300_549478049116062", "367089020688300_549478049116062")</f>
        <v>367089020688300_549478049116062</v>
      </c>
      <c r="E1931" s="11">
        <v>12.0</v>
      </c>
      <c r="F1931" s="11">
        <v>0.0</v>
      </c>
      <c r="G1931" s="11">
        <v>14.0</v>
      </c>
      <c r="H1931" s="9" t="s">
        <v>26</v>
      </c>
      <c r="I1931" s="9" t="s">
        <v>8272</v>
      </c>
      <c r="J1931" s="16" t="s">
        <v>8273</v>
      </c>
      <c r="K1931" s="9"/>
      <c r="L1931" s="9" t="s">
        <v>30</v>
      </c>
      <c r="M1931" s="9" t="s">
        <v>31</v>
      </c>
      <c r="N1931" s="9" t="s">
        <v>32</v>
      </c>
      <c r="O1931" s="12" t="s">
        <v>33</v>
      </c>
      <c r="P1931" s="12" t="s">
        <v>34</v>
      </c>
      <c r="Q1931" s="9"/>
      <c r="R1931" s="18"/>
      <c r="S1931" s="18"/>
      <c r="T1931" s="18"/>
      <c r="U1931" s="18"/>
      <c r="V1931" s="18"/>
      <c r="W1931" s="15"/>
      <c r="X1931" s="15"/>
    </row>
    <row r="1932">
      <c r="A1932" s="7">
        <v>1931.0</v>
      </c>
      <c r="B1932" s="8" t="s">
        <v>8274</v>
      </c>
      <c r="C1932" s="9" t="s">
        <v>8275</v>
      </c>
      <c r="D1932" s="10" t="str">
        <f>HYPERLINK("https://facebook.com/367089020688300_506180726779128", "367089020688300_506180726779128")</f>
        <v>367089020688300_506180726779128</v>
      </c>
      <c r="E1932" s="11">
        <v>183.0</v>
      </c>
      <c r="F1932" s="11">
        <v>13.0</v>
      </c>
      <c r="G1932" s="11">
        <v>322.0</v>
      </c>
      <c r="H1932" s="9" t="s">
        <v>26</v>
      </c>
      <c r="I1932" s="9" t="s">
        <v>8276</v>
      </c>
      <c r="J1932" s="9" t="s">
        <v>8277</v>
      </c>
      <c r="K1932" s="9" t="s">
        <v>8278</v>
      </c>
      <c r="L1932" s="9" t="s">
        <v>30</v>
      </c>
      <c r="M1932" s="9" t="s">
        <v>31</v>
      </c>
      <c r="N1932" s="9" t="s">
        <v>32</v>
      </c>
      <c r="O1932" s="12" t="s">
        <v>33</v>
      </c>
      <c r="P1932" s="12" t="s">
        <v>34</v>
      </c>
      <c r="Q1932" s="9"/>
      <c r="R1932" s="18"/>
      <c r="S1932" s="18"/>
      <c r="T1932" s="18"/>
      <c r="U1932" s="18"/>
      <c r="V1932" s="18"/>
      <c r="W1932" s="15"/>
      <c r="X1932" s="15"/>
    </row>
    <row r="1933">
      <c r="A1933" s="7">
        <v>1932.0</v>
      </c>
      <c r="B1933" s="8" t="s">
        <v>8279</v>
      </c>
      <c r="C1933" s="9" t="s">
        <v>8280</v>
      </c>
      <c r="D1933" s="10" t="str">
        <f>HYPERLINK("https://facebook.com/367089020688300_488977408499460", "367089020688300_488977408499460")</f>
        <v>367089020688300_488977408499460</v>
      </c>
      <c r="E1933" s="11">
        <v>1007.0</v>
      </c>
      <c r="F1933" s="11">
        <v>18.0</v>
      </c>
      <c r="G1933" s="11">
        <v>657.0</v>
      </c>
      <c r="H1933" s="9" t="s">
        <v>26</v>
      </c>
      <c r="I1933" s="9" t="s">
        <v>8281</v>
      </c>
      <c r="J1933" s="16" t="s">
        <v>8282</v>
      </c>
      <c r="K1933" s="9"/>
      <c r="L1933" s="9" t="s">
        <v>30</v>
      </c>
      <c r="M1933" s="9" t="s">
        <v>31</v>
      </c>
      <c r="N1933" s="9" t="s">
        <v>32</v>
      </c>
      <c r="O1933" s="12" t="s">
        <v>33</v>
      </c>
      <c r="P1933" s="12" t="s">
        <v>34</v>
      </c>
      <c r="Q1933" s="9"/>
      <c r="R1933" s="18"/>
      <c r="S1933" s="18"/>
      <c r="T1933" s="18"/>
      <c r="U1933" s="18"/>
      <c r="V1933" s="18"/>
      <c r="W1933" s="15"/>
      <c r="X1933" s="15"/>
    </row>
    <row r="1934">
      <c r="A1934" s="7">
        <v>1933.0</v>
      </c>
      <c r="B1934" s="8" t="s">
        <v>8283</v>
      </c>
      <c r="C1934" s="9" t="s">
        <v>8284</v>
      </c>
      <c r="D1934" s="10" t="str">
        <f>HYPERLINK("https://facebook.com/367089020688300_536340597096474", "367089020688300_536340597096474")</f>
        <v>367089020688300_536340597096474</v>
      </c>
      <c r="E1934" s="11">
        <v>63.0</v>
      </c>
      <c r="F1934" s="11">
        <v>1.0</v>
      </c>
      <c r="G1934" s="11">
        <v>41.0</v>
      </c>
      <c r="H1934" s="9" t="s">
        <v>26</v>
      </c>
      <c r="I1934" s="9" t="s">
        <v>8285</v>
      </c>
      <c r="J1934" s="9" t="s">
        <v>8286</v>
      </c>
      <c r="K1934" s="9" t="s">
        <v>219</v>
      </c>
      <c r="L1934" s="9" t="s">
        <v>30</v>
      </c>
      <c r="M1934" s="9" t="s">
        <v>31</v>
      </c>
      <c r="N1934" s="9" t="s">
        <v>32</v>
      </c>
      <c r="O1934" s="12" t="s">
        <v>33</v>
      </c>
      <c r="P1934" s="12" t="s">
        <v>34</v>
      </c>
      <c r="Q1934" s="9"/>
      <c r="R1934" s="18"/>
      <c r="S1934" s="18"/>
      <c r="T1934" s="18"/>
      <c r="U1934" s="18"/>
      <c r="V1934" s="18"/>
      <c r="W1934" s="15"/>
      <c r="X1934" s="15"/>
    </row>
    <row r="1935">
      <c r="A1935" s="7">
        <v>1934.0</v>
      </c>
      <c r="B1935" s="8" t="s">
        <v>8287</v>
      </c>
      <c r="C1935" s="9" t="s">
        <v>8288</v>
      </c>
      <c r="D1935" s="10" t="str">
        <f>HYPERLINK("https://facebook.com/367089020688300_547811752616025", "367089020688300_547811752616025")</f>
        <v>367089020688300_547811752616025</v>
      </c>
      <c r="E1935" s="11">
        <v>433.0</v>
      </c>
      <c r="F1935" s="11">
        <v>1.0</v>
      </c>
      <c r="G1935" s="11">
        <v>90.0</v>
      </c>
      <c r="H1935" s="9" t="s">
        <v>26</v>
      </c>
      <c r="I1935" s="9" t="s">
        <v>2593</v>
      </c>
      <c r="J1935" s="16" t="s">
        <v>2594</v>
      </c>
      <c r="K1935" s="9"/>
      <c r="L1935" s="9" t="s">
        <v>30</v>
      </c>
      <c r="M1935" s="9" t="s">
        <v>31</v>
      </c>
      <c r="N1935" s="9" t="s">
        <v>32</v>
      </c>
      <c r="O1935" s="12" t="s">
        <v>33</v>
      </c>
      <c r="P1935" s="12" t="s">
        <v>34</v>
      </c>
      <c r="Q1935" s="9"/>
      <c r="R1935" s="18"/>
      <c r="S1935" s="18"/>
      <c r="T1935" s="18"/>
      <c r="U1935" s="18"/>
      <c r="V1935" s="18"/>
      <c r="W1935" s="15"/>
      <c r="X1935" s="15"/>
    </row>
    <row r="1936">
      <c r="A1936" s="7">
        <v>1935.0</v>
      </c>
      <c r="B1936" s="8" t="s">
        <v>8289</v>
      </c>
      <c r="C1936" s="9" t="s">
        <v>8290</v>
      </c>
      <c r="D1936" s="10" t="str">
        <f>HYPERLINK("https://facebook.com/367089020688300_539885846741949", "367089020688300_539885846741949")</f>
        <v>367089020688300_539885846741949</v>
      </c>
      <c r="E1936" s="11">
        <v>9.0</v>
      </c>
      <c r="F1936" s="11">
        <v>0.0</v>
      </c>
      <c r="G1936" s="11">
        <v>33.0</v>
      </c>
      <c r="H1936" s="9" t="s">
        <v>26</v>
      </c>
      <c r="I1936" s="9" t="s">
        <v>8291</v>
      </c>
      <c r="J1936" s="16" t="s">
        <v>8292</v>
      </c>
      <c r="K1936" s="9"/>
      <c r="L1936" s="9" t="s">
        <v>30</v>
      </c>
      <c r="M1936" s="9" t="s">
        <v>31</v>
      </c>
      <c r="N1936" s="9" t="s">
        <v>32</v>
      </c>
      <c r="O1936" s="12" t="s">
        <v>33</v>
      </c>
      <c r="P1936" s="12" t="s">
        <v>34</v>
      </c>
      <c r="Q1936" s="9"/>
      <c r="R1936" s="18"/>
      <c r="S1936" s="18"/>
      <c r="T1936" s="18"/>
      <c r="U1936" s="18"/>
      <c r="V1936" s="18"/>
      <c r="W1936" s="15"/>
      <c r="X1936" s="15"/>
    </row>
    <row r="1937">
      <c r="A1937" s="7">
        <v>1936.0</v>
      </c>
      <c r="B1937" s="8" t="s">
        <v>8293</v>
      </c>
      <c r="C1937" s="9" t="s">
        <v>8294</v>
      </c>
      <c r="D1937" s="10" t="str">
        <f>HYPERLINK("https://facebook.com/367089020688300_504048916992309", "367089020688300_504048916992309")</f>
        <v>367089020688300_504048916992309</v>
      </c>
      <c r="E1937" s="11">
        <v>472.0</v>
      </c>
      <c r="F1937" s="11">
        <v>14.0</v>
      </c>
      <c r="G1937" s="11">
        <v>408.0</v>
      </c>
      <c r="H1937" s="9" t="s">
        <v>26</v>
      </c>
      <c r="I1937" s="9" t="s">
        <v>7813</v>
      </c>
      <c r="J1937" s="9" t="s">
        <v>8295</v>
      </c>
      <c r="K1937" s="9" t="s">
        <v>4315</v>
      </c>
      <c r="L1937" s="9" t="s">
        <v>30</v>
      </c>
      <c r="M1937" s="9" t="s">
        <v>31</v>
      </c>
      <c r="N1937" s="9" t="s">
        <v>32</v>
      </c>
      <c r="O1937" s="12" t="s">
        <v>33</v>
      </c>
      <c r="P1937" s="12" t="s">
        <v>34</v>
      </c>
      <c r="Q1937" s="9"/>
      <c r="R1937" s="18"/>
      <c r="S1937" s="18"/>
      <c r="T1937" s="18"/>
      <c r="U1937" s="18"/>
      <c r="V1937" s="18"/>
      <c r="W1937" s="15"/>
      <c r="X1937" s="15"/>
    </row>
    <row r="1938">
      <c r="A1938" s="7">
        <v>1937.0</v>
      </c>
      <c r="B1938" s="8" t="s">
        <v>8296</v>
      </c>
      <c r="C1938" s="9" t="s">
        <v>8297</v>
      </c>
      <c r="D1938" s="10" t="str">
        <f>HYPERLINK("https://facebook.com/367089020688300_511632812900586", "367089020688300_511632812900586")</f>
        <v>367089020688300_511632812900586</v>
      </c>
      <c r="E1938" s="11">
        <v>831.0</v>
      </c>
      <c r="F1938" s="11">
        <v>11.0</v>
      </c>
      <c r="G1938" s="11">
        <v>1048.0</v>
      </c>
      <c r="H1938" s="9" t="s">
        <v>26</v>
      </c>
      <c r="I1938" s="9" t="s">
        <v>8298</v>
      </c>
      <c r="J1938" s="9" t="s">
        <v>8299</v>
      </c>
      <c r="K1938" s="9" t="s">
        <v>8300</v>
      </c>
      <c r="L1938" s="9" t="s">
        <v>30</v>
      </c>
      <c r="M1938" s="9" t="s">
        <v>31</v>
      </c>
      <c r="N1938" s="9" t="s">
        <v>32</v>
      </c>
      <c r="O1938" s="12" t="s">
        <v>33</v>
      </c>
      <c r="P1938" s="12" t="s">
        <v>34</v>
      </c>
      <c r="Q1938" s="9"/>
      <c r="R1938" s="18"/>
      <c r="S1938" s="18"/>
      <c r="T1938" s="18"/>
      <c r="U1938" s="18"/>
      <c r="V1938" s="18"/>
      <c r="W1938" s="15"/>
      <c r="X1938" s="15"/>
    </row>
    <row r="1939">
      <c r="A1939" s="7">
        <v>1938.0</v>
      </c>
      <c r="B1939" s="8" t="s">
        <v>8301</v>
      </c>
      <c r="C1939" s="9" t="s">
        <v>8302</v>
      </c>
      <c r="D1939" s="10" t="str">
        <f>HYPERLINK("https://facebook.com/367089020688300_421614255235776", "367089020688300_421614255235776")</f>
        <v>367089020688300_421614255235776</v>
      </c>
      <c r="E1939" s="11">
        <v>100.0</v>
      </c>
      <c r="F1939" s="11">
        <v>0.0</v>
      </c>
      <c r="G1939" s="11">
        <v>90.0</v>
      </c>
      <c r="H1939" s="9" t="s">
        <v>26</v>
      </c>
      <c r="I1939" s="9" t="s">
        <v>8303</v>
      </c>
      <c r="J1939" s="9" t="s">
        <v>8304</v>
      </c>
      <c r="K1939" s="9" t="s">
        <v>8305</v>
      </c>
      <c r="L1939" s="9" t="s">
        <v>30</v>
      </c>
      <c r="M1939" s="9" t="s">
        <v>31</v>
      </c>
      <c r="N1939" s="9" t="s">
        <v>32</v>
      </c>
      <c r="O1939" s="12" t="s">
        <v>33</v>
      </c>
      <c r="P1939" s="12" t="s">
        <v>34</v>
      </c>
      <c r="Q1939" s="9"/>
      <c r="R1939" s="18"/>
      <c r="S1939" s="18"/>
      <c r="T1939" s="18"/>
      <c r="U1939" s="18"/>
      <c r="V1939" s="18"/>
      <c r="W1939" s="15"/>
      <c r="X1939" s="15"/>
    </row>
    <row r="1940">
      <c r="A1940" s="7">
        <v>1939.0</v>
      </c>
      <c r="B1940" s="8" t="s">
        <v>8306</v>
      </c>
      <c r="C1940" s="9" t="s">
        <v>8307</v>
      </c>
      <c r="D1940" s="10" t="str">
        <f>HYPERLINK("https://facebook.com/367089020688300_517987662265101", "367089020688300_517987662265101")</f>
        <v>367089020688300_517987662265101</v>
      </c>
      <c r="E1940" s="11">
        <v>415.0</v>
      </c>
      <c r="F1940" s="11">
        <v>11.0</v>
      </c>
      <c r="G1940" s="11">
        <v>245.0</v>
      </c>
      <c r="H1940" s="9" t="s">
        <v>26</v>
      </c>
      <c r="I1940" s="9" t="s">
        <v>8308</v>
      </c>
      <c r="J1940" s="9" t="s">
        <v>8309</v>
      </c>
      <c r="K1940" s="9" t="s">
        <v>363</v>
      </c>
      <c r="L1940" s="9" t="s">
        <v>30</v>
      </c>
      <c r="M1940" s="9" t="s">
        <v>31</v>
      </c>
      <c r="N1940" s="9" t="s">
        <v>32</v>
      </c>
      <c r="O1940" s="12" t="s">
        <v>33</v>
      </c>
      <c r="P1940" s="12" t="s">
        <v>34</v>
      </c>
      <c r="Q1940" s="9"/>
      <c r="R1940" s="18"/>
      <c r="S1940" s="18"/>
      <c r="T1940" s="18"/>
      <c r="U1940" s="18"/>
      <c r="V1940" s="18"/>
      <c r="W1940" s="15"/>
      <c r="X1940" s="15"/>
    </row>
    <row r="1941">
      <c r="A1941" s="7">
        <v>1940.0</v>
      </c>
      <c r="B1941" s="8" t="s">
        <v>8310</v>
      </c>
      <c r="C1941" s="9" t="s">
        <v>8311</v>
      </c>
      <c r="D1941" s="10" t="str">
        <f>HYPERLINK("https://facebook.com/367089020688300_563135694416964", "367089020688300_563135694416964")</f>
        <v>367089020688300_563135694416964</v>
      </c>
      <c r="E1941" s="11">
        <v>78.0</v>
      </c>
      <c r="F1941" s="11">
        <v>0.0</v>
      </c>
      <c r="G1941" s="11">
        <v>81.0</v>
      </c>
      <c r="H1941" s="9" t="s">
        <v>26</v>
      </c>
      <c r="I1941" s="9" t="s">
        <v>5925</v>
      </c>
      <c r="J1941" s="9" t="s">
        <v>8312</v>
      </c>
      <c r="K1941" s="9" t="s">
        <v>8313</v>
      </c>
      <c r="L1941" s="9" t="s">
        <v>30</v>
      </c>
      <c r="M1941" s="9" t="s">
        <v>31</v>
      </c>
      <c r="N1941" s="9" t="s">
        <v>32</v>
      </c>
      <c r="O1941" s="12" t="s">
        <v>33</v>
      </c>
      <c r="P1941" s="12" t="s">
        <v>34</v>
      </c>
      <c r="Q1941" s="9"/>
      <c r="R1941" s="18"/>
      <c r="S1941" s="18"/>
      <c r="T1941" s="18"/>
      <c r="U1941" s="18"/>
      <c r="V1941" s="18"/>
      <c r="W1941" s="15"/>
      <c r="X1941" s="15"/>
    </row>
    <row r="1942">
      <c r="A1942" s="7">
        <v>1941.0</v>
      </c>
      <c r="B1942" s="8" t="s">
        <v>8314</v>
      </c>
      <c r="C1942" s="9" t="s">
        <v>8315</v>
      </c>
      <c r="D1942" s="10" t="str">
        <f>HYPERLINK("https://facebook.com/367089020688300_517832295613971", "367089020688300_517832295613971")</f>
        <v>367089020688300_517832295613971</v>
      </c>
      <c r="E1942" s="11">
        <v>7.0</v>
      </c>
      <c r="F1942" s="11">
        <v>0.0</v>
      </c>
      <c r="G1942" s="11">
        <v>15.0</v>
      </c>
      <c r="H1942" s="9" t="s">
        <v>26</v>
      </c>
      <c r="I1942" s="9" t="s">
        <v>8316</v>
      </c>
      <c r="J1942" s="9" t="s">
        <v>8317</v>
      </c>
      <c r="K1942" s="9" t="s">
        <v>249</v>
      </c>
      <c r="L1942" s="9" t="s">
        <v>30</v>
      </c>
      <c r="M1942" s="9" t="s">
        <v>31</v>
      </c>
      <c r="N1942" s="9" t="s">
        <v>32</v>
      </c>
      <c r="O1942" s="12" t="s">
        <v>33</v>
      </c>
      <c r="P1942" s="12" t="s">
        <v>34</v>
      </c>
      <c r="Q1942" s="9"/>
      <c r="R1942" s="18"/>
      <c r="S1942" s="18"/>
      <c r="T1942" s="18"/>
      <c r="U1942" s="18"/>
      <c r="V1942" s="18"/>
      <c r="W1942" s="15"/>
      <c r="X1942" s="15"/>
    </row>
    <row r="1943">
      <c r="A1943" s="7">
        <v>1942.0</v>
      </c>
      <c r="B1943" s="8" t="s">
        <v>8318</v>
      </c>
      <c r="C1943" s="9" t="s">
        <v>8319</v>
      </c>
      <c r="D1943" s="10" t="str">
        <f>HYPERLINK("https://facebook.com/367089020688300_534669730596894", "367089020688300_534669730596894")</f>
        <v>367089020688300_534669730596894</v>
      </c>
      <c r="E1943" s="11">
        <v>12.0</v>
      </c>
      <c r="F1943" s="11">
        <v>0.0</v>
      </c>
      <c r="G1943" s="11">
        <v>41.0</v>
      </c>
      <c r="H1943" s="9" t="s">
        <v>26</v>
      </c>
      <c r="I1943" s="9" t="s">
        <v>8320</v>
      </c>
      <c r="J1943" s="9" t="s">
        <v>8321</v>
      </c>
      <c r="K1943" s="9" t="s">
        <v>1575</v>
      </c>
      <c r="L1943" s="9" t="s">
        <v>30</v>
      </c>
      <c r="M1943" s="9" t="s">
        <v>31</v>
      </c>
      <c r="N1943" s="9" t="s">
        <v>32</v>
      </c>
      <c r="O1943" s="12" t="s">
        <v>33</v>
      </c>
      <c r="P1943" s="12" t="s">
        <v>34</v>
      </c>
      <c r="Q1943" s="9"/>
      <c r="R1943" s="18"/>
      <c r="S1943" s="18"/>
      <c r="T1943" s="18"/>
      <c r="U1943" s="18"/>
      <c r="V1943" s="18"/>
      <c r="W1943" s="15"/>
      <c r="X1943" s="15"/>
    </row>
    <row r="1944">
      <c r="A1944" s="7">
        <v>1943.0</v>
      </c>
      <c r="B1944" s="8" t="s">
        <v>8322</v>
      </c>
      <c r="C1944" s="9" t="s">
        <v>8323</v>
      </c>
      <c r="D1944" s="10" t="str">
        <f>HYPERLINK("https://facebook.com/367089020688300_479069469490254", "367089020688300_479069469490254")</f>
        <v>367089020688300_479069469490254</v>
      </c>
      <c r="E1944" s="11">
        <v>72.0</v>
      </c>
      <c r="F1944" s="11">
        <v>0.0</v>
      </c>
      <c r="G1944" s="11">
        <v>31.0</v>
      </c>
      <c r="H1944" s="9" t="s">
        <v>26</v>
      </c>
      <c r="I1944" s="9" t="s">
        <v>8324</v>
      </c>
      <c r="J1944" s="9" t="s">
        <v>8325</v>
      </c>
      <c r="K1944" s="9" t="s">
        <v>8326</v>
      </c>
      <c r="L1944" s="9" t="s">
        <v>30</v>
      </c>
      <c r="M1944" s="9" t="s">
        <v>31</v>
      </c>
      <c r="N1944" s="9" t="s">
        <v>32</v>
      </c>
      <c r="O1944" s="12" t="s">
        <v>33</v>
      </c>
      <c r="P1944" s="12" t="s">
        <v>34</v>
      </c>
      <c r="Q1944" s="9"/>
      <c r="R1944" s="18"/>
      <c r="S1944" s="18"/>
      <c r="T1944" s="18"/>
      <c r="U1944" s="18"/>
      <c r="V1944" s="18"/>
      <c r="W1944" s="15"/>
      <c r="X1944" s="15"/>
    </row>
    <row r="1945">
      <c r="A1945" s="7">
        <v>1944.0</v>
      </c>
      <c r="B1945" s="8" t="s">
        <v>8327</v>
      </c>
      <c r="C1945" s="9" t="s">
        <v>8328</v>
      </c>
      <c r="D1945" s="10" t="str">
        <f>HYPERLINK("https://facebook.com/367089020688300_546071166123417", "367089020688300_546071166123417")</f>
        <v>367089020688300_546071166123417</v>
      </c>
      <c r="E1945" s="11">
        <v>10.0</v>
      </c>
      <c r="F1945" s="11">
        <v>0.0</v>
      </c>
      <c r="G1945" s="11">
        <v>22.0</v>
      </c>
      <c r="H1945" s="9" t="s">
        <v>26</v>
      </c>
      <c r="I1945" s="9" t="s">
        <v>8329</v>
      </c>
      <c r="J1945" s="9" t="s">
        <v>8330</v>
      </c>
      <c r="K1945" s="9" t="s">
        <v>8331</v>
      </c>
      <c r="L1945" s="9" t="s">
        <v>30</v>
      </c>
      <c r="M1945" s="9" t="s">
        <v>31</v>
      </c>
      <c r="N1945" s="9" t="s">
        <v>32</v>
      </c>
      <c r="O1945" s="12" t="s">
        <v>33</v>
      </c>
      <c r="P1945" s="12" t="s">
        <v>34</v>
      </c>
      <c r="Q1945" s="9"/>
      <c r="R1945" s="18"/>
      <c r="S1945" s="18"/>
      <c r="T1945" s="18"/>
      <c r="U1945" s="18"/>
      <c r="V1945" s="18"/>
      <c r="W1945" s="15"/>
      <c r="X1945" s="15"/>
    </row>
    <row r="1946">
      <c r="A1946" s="7">
        <v>1945.0</v>
      </c>
      <c r="B1946" s="8" t="s">
        <v>8332</v>
      </c>
      <c r="C1946" s="9" t="s">
        <v>8333</v>
      </c>
      <c r="D1946" s="10" t="str">
        <f>HYPERLINK("https://facebook.com/367089020688300_541677826562751", "367089020688300_541677826562751")</f>
        <v>367089020688300_541677826562751</v>
      </c>
      <c r="E1946" s="11">
        <v>48.0</v>
      </c>
      <c r="F1946" s="11">
        <v>0.0</v>
      </c>
      <c r="G1946" s="11">
        <v>48.0</v>
      </c>
      <c r="H1946" s="9" t="s">
        <v>26</v>
      </c>
      <c r="I1946" s="9" t="s">
        <v>8334</v>
      </c>
      <c r="J1946" s="16" t="s">
        <v>8335</v>
      </c>
      <c r="K1946" s="9"/>
      <c r="L1946" s="9" t="s">
        <v>30</v>
      </c>
      <c r="M1946" s="9" t="s">
        <v>31</v>
      </c>
      <c r="N1946" s="9" t="s">
        <v>32</v>
      </c>
      <c r="O1946" s="12" t="s">
        <v>33</v>
      </c>
      <c r="P1946" s="12" t="s">
        <v>34</v>
      </c>
      <c r="Q1946" s="9"/>
      <c r="R1946" s="18"/>
      <c r="S1946" s="18"/>
      <c r="T1946" s="18"/>
      <c r="U1946" s="18"/>
      <c r="V1946" s="18"/>
      <c r="W1946" s="15"/>
      <c r="X1946" s="15"/>
    </row>
    <row r="1947">
      <c r="A1947" s="7">
        <v>1946.0</v>
      </c>
      <c r="B1947" s="8" t="s">
        <v>8336</v>
      </c>
      <c r="C1947" s="9" t="s">
        <v>8337</v>
      </c>
      <c r="D1947" s="10" t="str">
        <f>HYPERLINK("https://facebook.com/367089020688300_513801322683735", "367089020688300_513801322683735")</f>
        <v>367089020688300_513801322683735</v>
      </c>
      <c r="E1947" s="11">
        <v>406.0</v>
      </c>
      <c r="F1947" s="11">
        <v>11.0</v>
      </c>
      <c r="G1947" s="11">
        <v>535.0</v>
      </c>
      <c r="H1947" s="9" t="s">
        <v>26</v>
      </c>
      <c r="I1947" s="9" t="s">
        <v>8338</v>
      </c>
      <c r="J1947" s="9" t="s">
        <v>8339</v>
      </c>
      <c r="K1947" s="9" t="s">
        <v>8340</v>
      </c>
      <c r="L1947" s="9" t="s">
        <v>30</v>
      </c>
      <c r="M1947" s="9" t="s">
        <v>31</v>
      </c>
      <c r="N1947" s="9" t="s">
        <v>32</v>
      </c>
      <c r="O1947" s="12" t="s">
        <v>33</v>
      </c>
      <c r="P1947" s="12" t="s">
        <v>34</v>
      </c>
      <c r="Q1947" s="9"/>
      <c r="R1947" s="18"/>
      <c r="S1947" s="18"/>
      <c r="T1947" s="18"/>
      <c r="U1947" s="18"/>
      <c r="V1947" s="18"/>
      <c r="W1947" s="15"/>
      <c r="X1947" s="15"/>
    </row>
    <row r="1948">
      <c r="A1948" s="7">
        <v>1947.0</v>
      </c>
      <c r="B1948" s="8" t="s">
        <v>8341</v>
      </c>
      <c r="C1948" s="9" t="s">
        <v>8342</v>
      </c>
      <c r="D1948" s="10" t="str">
        <f>HYPERLINK("https://facebook.com/367089020688300_545228792874321", "367089020688300_545228792874321")</f>
        <v>367089020688300_545228792874321</v>
      </c>
      <c r="E1948" s="11">
        <v>166.0</v>
      </c>
      <c r="F1948" s="11">
        <v>6.0</v>
      </c>
      <c r="G1948" s="11">
        <v>94.0</v>
      </c>
      <c r="H1948" s="9" t="s">
        <v>26</v>
      </c>
      <c r="I1948" s="9" t="s">
        <v>8343</v>
      </c>
      <c r="J1948" s="16" t="s">
        <v>8344</v>
      </c>
      <c r="K1948" s="9"/>
      <c r="L1948" s="9" t="s">
        <v>30</v>
      </c>
      <c r="M1948" s="9" t="s">
        <v>31</v>
      </c>
      <c r="N1948" s="9" t="s">
        <v>32</v>
      </c>
      <c r="O1948" s="12" t="s">
        <v>33</v>
      </c>
      <c r="P1948" s="12" t="s">
        <v>34</v>
      </c>
      <c r="Q1948" s="9"/>
      <c r="R1948" s="18"/>
      <c r="S1948" s="18"/>
      <c r="T1948" s="18"/>
      <c r="U1948" s="18"/>
      <c r="V1948" s="18"/>
      <c r="W1948" s="15"/>
      <c r="X1948" s="15"/>
    </row>
    <row r="1949">
      <c r="A1949" s="7">
        <v>1948.0</v>
      </c>
      <c r="B1949" s="8" t="s">
        <v>8345</v>
      </c>
      <c r="C1949" s="9" t="s">
        <v>8346</v>
      </c>
      <c r="D1949" s="10" t="str">
        <f>HYPERLINK("https://facebook.com/367089020688300_538864110177456", "367089020688300_538864110177456")</f>
        <v>367089020688300_538864110177456</v>
      </c>
      <c r="E1949" s="11">
        <v>466.0</v>
      </c>
      <c r="F1949" s="11">
        <v>14.0</v>
      </c>
      <c r="G1949" s="11">
        <v>357.0</v>
      </c>
      <c r="H1949" s="9" t="s">
        <v>26</v>
      </c>
      <c r="I1949" s="9" t="s">
        <v>8347</v>
      </c>
      <c r="J1949" s="9" t="s">
        <v>8348</v>
      </c>
      <c r="K1949" s="9" t="s">
        <v>8349</v>
      </c>
      <c r="L1949" s="9" t="s">
        <v>30</v>
      </c>
      <c r="M1949" s="9" t="s">
        <v>31</v>
      </c>
      <c r="N1949" s="9" t="s">
        <v>32</v>
      </c>
      <c r="O1949" s="12" t="s">
        <v>33</v>
      </c>
      <c r="P1949" s="12" t="s">
        <v>34</v>
      </c>
      <c r="Q1949" s="9"/>
      <c r="R1949" s="18"/>
      <c r="S1949" s="18"/>
      <c r="T1949" s="18"/>
      <c r="U1949" s="18"/>
      <c r="V1949" s="18"/>
      <c r="W1949" s="15"/>
      <c r="X1949" s="15"/>
    </row>
    <row r="1950">
      <c r="A1950" s="7">
        <v>1949.0</v>
      </c>
      <c r="B1950" s="8" t="s">
        <v>8350</v>
      </c>
      <c r="C1950" s="9" t="s">
        <v>8351</v>
      </c>
      <c r="D1950" s="10" t="str">
        <f>HYPERLINK("https://facebook.com/367089020688300_406059730124562", "367089020688300_406059730124562")</f>
        <v>367089020688300_406059730124562</v>
      </c>
      <c r="E1950" s="11">
        <v>655.0</v>
      </c>
      <c r="F1950" s="11">
        <v>16.0</v>
      </c>
      <c r="G1950" s="11">
        <v>1101.0</v>
      </c>
      <c r="H1950" s="9" t="s">
        <v>26</v>
      </c>
      <c r="I1950" s="9" t="s">
        <v>1733</v>
      </c>
      <c r="J1950" s="9" t="s">
        <v>8352</v>
      </c>
      <c r="K1950" s="9" t="s">
        <v>8353</v>
      </c>
      <c r="L1950" s="9" t="s">
        <v>30</v>
      </c>
      <c r="M1950" s="9" t="s">
        <v>31</v>
      </c>
      <c r="N1950" s="9" t="s">
        <v>32</v>
      </c>
      <c r="O1950" s="12" t="s">
        <v>33</v>
      </c>
      <c r="P1950" s="12" t="s">
        <v>34</v>
      </c>
      <c r="Q1950" s="9"/>
      <c r="R1950" s="18"/>
      <c r="S1950" s="18"/>
      <c r="T1950" s="18"/>
      <c r="U1950" s="18"/>
      <c r="V1950" s="18"/>
      <c r="W1950" s="15"/>
      <c r="X1950" s="15"/>
    </row>
    <row r="1951">
      <c r="A1951" s="7">
        <v>1950.0</v>
      </c>
      <c r="B1951" s="8" t="s">
        <v>8354</v>
      </c>
      <c r="C1951" s="9" t="s">
        <v>8355</v>
      </c>
      <c r="D1951" s="10" t="str">
        <f>HYPERLINK("https://facebook.com/367089020688300_510900676307133", "367089020688300_510900676307133")</f>
        <v>367089020688300_510900676307133</v>
      </c>
      <c r="E1951" s="11">
        <v>177.0</v>
      </c>
      <c r="F1951" s="11">
        <v>4.0</v>
      </c>
      <c r="G1951" s="11">
        <v>227.0</v>
      </c>
      <c r="H1951" s="9" t="s">
        <v>26</v>
      </c>
      <c r="I1951" s="9" t="s">
        <v>8356</v>
      </c>
      <c r="J1951" s="16" t="s">
        <v>8357</v>
      </c>
      <c r="K1951" s="9"/>
      <c r="L1951" s="9" t="s">
        <v>30</v>
      </c>
      <c r="M1951" s="9" t="s">
        <v>31</v>
      </c>
      <c r="N1951" s="9" t="s">
        <v>32</v>
      </c>
      <c r="O1951" s="12" t="s">
        <v>33</v>
      </c>
      <c r="P1951" s="12" t="s">
        <v>34</v>
      </c>
      <c r="Q1951" s="9"/>
      <c r="R1951" s="18"/>
      <c r="S1951" s="18"/>
      <c r="T1951" s="18"/>
      <c r="U1951" s="18"/>
      <c r="V1951" s="18"/>
      <c r="W1951" s="15"/>
      <c r="X1951" s="15"/>
    </row>
    <row r="1952">
      <c r="A1952" s="7">
        <v>1951.0</v>
      </c>
      <c r="B1952" s="8" t="s">
        <v>8358</v>
      </c>
      <c r="C1952" s="9" t="s">
        <v>8359</v>
      </c>
      <c r="D1952" s="10" t="str">
        <f>HYPERLINK("https://facebook.com/367089020688300_561588894571644", "367089020688300_561588894571644")</f>
        <v>367089020688300_561588894571644</v>
      </c>
      <c r="E1952" s="11">
        <v>116.0</v>
      </c>
      <c r="F1952" s="11">
        <v>0.0</v>
      </c>
      <c r="G1952" s="11">
        <v>121.0</v>
      </c>
      <c r="H1952" s="9" t="s">
        <v>26</v>
      </c>
      <c r="I1952" s="9" t="s">
        <v>518</v>
      </c>
      <c r="J1952" s="16" t="s">
        <v>8360</v>
      </c>
      <c r="K1952" s="9"/>
      <c r="L1952" s="9" t="s">
        <v>30</v>
      </c>
      <c r="M1952" s="9" t="s">
        <v>31</v>
      </c>
      <c r="N1952" s="9" t="s">
        <v>32</v>
      </c>
      <c r="O1952" s="12" t="s">
        <v>33</v>
      </c>
      <c r="P1952" s="12" t="s">
        <v>34</v>
      </c>
      <c r="Q1952" s="9"/>
      <c r="R1952" s="18"/>
      <c r="S1952" s="18"/>
      <c r="T1952" s="18"/>
      <c r="U1952" s="18"/>
      <c r="V1952" s="18"/>
      <c r="W1952" s="15"/>
      <c r="X1952" s="15"/>
    </row>
    <row r="1953">
      <c r="A1953" s="7">
        <v>1952.0</v>
      </c>
      <c r="B1953" s="8" t="s">
        <v>8361</v>
      </c>
      <c r="C1953" s="9" t="s">
        <v>8362</v>
      </c>
      <c r="D1953" s="10" t="str">
        <f>HYPERLINK("https://facebook.com/367089020688300_461260227937845", "367089020688300_461260227937845")</f>
        <v>367089020688300_461260227937845</v>
      </c>
      <c r="E1953" s="11">
        <v>116.0</v>
      </c>
      <c r="F1953" s="11">
        <v>2.0</v>
      </c>
      <c r="G1953" s="11">
        <v>145.0</v>
      </c>
      <c r="H1953" s="9" t="s">
        <v>26</v>
      </c>
      <c r="I1953" s="9" t="s">
        <v>8363</v>
      </c>
      <c r="J1953" s="9" t="s">
        <v>8364</v>
      </c>
      <c r="K1953" s="9" t="s">
        <v>249</v>
      </c>
      <c r="L1953" s="9" t="s">
        <v>30</v>
      </c>
      <c r="M1953" s="9" t="s">
        <v>31</v>
      </c>
      <c r="N1953" s="9" t="s">
        <v>32</v>
      </c>
      <c r="O1953" s="12" t="s">
        <v>33</v>
      </c>
      <c r="P1953" s="12" t="s">
        <v>34</v>
      </c>
      <c r="Q1953" s="9"/>
      <c r="R1953" s="18"/>
      <c r="S1953" s="18"/>
      <c r="T1953" s="18"/>
      <c r="U1953" s="18"/>
      <c r="V1953" s="18"/>
      <c r="W1953" s="15"/>
      <c r="X1953" s="15"/>
    </row>
    <row r="1954">
      <c r="A1954" s="7">
        <v>1953.0</v>
      </c>
      <c r="B1954" s="8" t="s">
        <v>8365</v>
      </c>
      <c r="C1954" s="9" t="s">
        <v>8366</v>
      </c>
      <c r="D1954" s="10" t="str">
        <f>HYPERLINK("https://facebook.com/367089020688300_547191099344757", "367089020688300_547191099344757")</f>
        <v>367089020688300_547191099344757</v>
      </c>
      <c r="E1954" s="11">
        <v>96.0</v>
      </c>
      <c r="F1954" s="11">
        <v>2.0</v>
      </c>
      <c r="G1954" s="11">
        <v>56.0</v>
      </c>
      <c r="H1954" s="9" t="s">
        <v>26</v>
      </c>
      <c r="I1954" s="9" t="s">
        <v>6636</v>
      </c>
      <c r="J1954" s="16" t="s">
        <v>8367</v>
      </c>
      <c r="K1954" s="9"/>
      <c r="L1954" s="9" t="s">
        <v>30</v>
      </c>
      <c r="M1954" s="9" t="s">
        <v>31</v>
      </c>
      <c r="N1954" s="9" t="s">
        <v>32</v>
      </c>
      <c r="O1954" s="12" t="s">
        <v>33</v>
      </c>
      <c r="P1954" s="12" t="s">
        <v>34</v>
      </c>
      <c r="Q1954" s="9"/>
      <c r="R1954" s="18"/>
      <c r="S1954" s="18"/>
      <c r="T1954" s="18"/>
      <c r="U1954" s="18"/>
      <c r="V1954" s="18"/>
      <c r="W1954" s="15"/>
      <c r="X1954" s="15"/>
    </row>
    <row r="1955">
      <c r="A1955" s="7">
        <v>1954.0</v>
      </c>
      <c r="B1955" s="8" t="s">
        <v>8368</v>
      </c>
      <c r="C1955" s="9" t="s">
        <v>8369</v>
      </c>
      <c r="D1955" s="10" t="str">
        <f>HYPERLINK("https://facebook.com/367089020688300_513645789365955", "367089020688300_513645789365955")</f>
        <v>367089020688300_513645789365955</v>
      </c>
      <c r="E1955" s="11">
        <v>249.0</v>
      </c>
      <c r="F1955" s="11">
        <v>1.0</v>
      </c>
      <c r="G1955" s="11">
        <v>86.0</v>
      </c>
      <c r="H1955" s="9" t="s">
        <v>26</v>
      </c>
      <c r="I1955" s="9" t="s">
        <v>8370</v>
      </c>
      <c r="J1955" s="9" t="s">
        <v>8371</v>
      </c>
      <c r="K1955" s="9" t="s">
        <v>8372</v>
      </c>
      <c r="L1955" s="9" t="s">
        <v>30</v>
      </c>
      <c r="M1955" s="9" t="s">
        <v>31</v>
      </c>
      <c r="N1955" s="9" t="s">
        <v>32</v>
      </c>
      <c r="O1955" s="12" t="s">
        <v>33</v>
      </c>
      <c r="P1955" s="12" t="s">
        <v>34</v>
      </c>
      <c r="Q1955" s="9"/>
      <c r="R1955" s="18"/>
      <c r="S1955" s="18"/>
      <c r="T1955" s="18"/>
      <c r="U1955" s="18"/>
      <c r="V1955" s="18"/>
      <c r="W1955" s="15"/>
      <c r="X1955" s="15"/>
    </row>
    <row r="1956">
      <c r="A1956" s="7">
        <v>1955.0</v>
      </c>
      <c r="B1956" s="8" t="s">
        <v>8373</v>
      </c>
      <c r="C1956" s="9" t="s">
        <v>8374</v>
      </c>
      <c r="D1956" s="10" t="str">
        <f>HYPERLINK("https://facebook.com/367089020688300_550704002326800", "367089020688300_550704002326800")</f>
        <v>367089020688300_550704002326800</v>
      </c>
      <c r="E1956" s="11">
        <v>25.0</v>
      </c>
      <c r="F1956" s="11">
        <v>0.0</v>
      </c>
      <c r="G1956" s="11">
        <v>18.0</v>
      </c>
      <c r="H1956" s="9" t="s">
        <v>26</v>
      </c>
      <c r="I1956" s="9" t="s">
        <v>3948</v>
      </c>
      <c r="J1956" s="9" t="s">
        <v>8375</v>
      </c>
      <c r="K1956" s="9" t="s">
        <v>249</v>
      </c>
      <c r="L1956" s="9" t="s">
        <v>30</v>
      </c>
      <c r="M1956" s="9" t="s">
        <v>31</v>
      </c>
      <c r="N1956" s="9" t="s">
        <v>32</v>
      </c>
      <c r="O1956" s="12" t="s">
        <v>33</v>
      </c>
      <c r="P1956" s="12" t="s">
        <v>34</v>
      </c>
      <c r="Q1956" s="9"/>
      <c r="R1956" s="18"/>
      <c r="S1956" s="18"/>
      <c r="T1956" s="18"/>
      <c r="U1956" s="18"/>
      <c r="V1956" s="18"/>
      <c r="W1956" s="15"/>
      <c r="X1956" s="15"/>
    </row>
    <row r="1957">
      <c r="A1957" s="7">
        <v>1956.0</v>
      </c>
      <c r="B1957" s="8" t="s">
        <v>8376</v>
      </c>
      <c r="C1957" s="9" t="s">
        <v>8377</v>
      </c>
      <c r="D1957" s="10" t="str">
        <f>HYPERLINK("https://facebook.com/367089020688300_535598613837339", "367089020688300_535598613837339")</f>
        <v>367089020688300_535598613837339</v>
      </c>
      <c r="E1957" s="11">
        <v>1269.0</v>
      </c>
      <c r="F1957" s="11">
        <v>29.0</v>
      </c>
      <c r="G1957" s="11">
        <v>801.0</v>
      </c>
      <c r="H1957" s="9" t="s">
        <v>26</v>
      </c>
      <c r="I1957" s="9" t="s">
        <v>8378</v>
      </c>
      <c r="J1957" s="16" t="s">
        <v>8379</v>
      </c>
      <c r="K1957" s="9"/>
      <c r="L1957" s="9" t="s">
        <v>30</v>
      </c>
      <c r="M1957" s="9" t="s">
        <v>31</v>
      </c>
      <c r="N1957" s="9" t="s">
        <v>32</v>
      </c>
      <c r="O1957" s="12" t="s">
        <v>33</v>
      </c>
      <c r="P1957" s="12" t="s">
        <v>34</v>
      </c>
      <c r="Q1957" s="9"/>
      <c r="R1957" s="18"/>
      <c r="S1957" s="18"/>
      <c r="T1957" s="18"/>
      <c r="U1957" s="18"/>
      <c r="V1957" s="18"/>
      <c r="W1957" s="15"/>
      <c r="X1957" s="15"/>
    </row>
    <row r="1958">
      <c r="A1958" s="7">
        <v>1957.0</v>
      </c>
      <c r="B1958" s="8" t="s">
        <v>8380</v>
      </c>
      <c r="C1958" s="9" t="s">
        <v>8381</v>
      </c>
      <c r="D1958" s="10" t="str">
        <f>HYPERLINK("https://facebook.com/367089020688300_556690608394806", "367089020688300_556690608394806")</f>
        <v>367089020688300_556690608394806</v>
      </c>
      <c r="E1958" s="11">
        <v>751.0</v>
      </c>
      <c r="F1958" s="11">
        <v>40.0</v>
      </c>
      <c r="G1958" s="11">
        <v>810.0</v>
      </c>
      <c r="H1958" s="9" t="s">
        <v>26</v>
      </c>
      <c r="I1958" s="9" t="s">
        <v>8382</v>
      </c>
      <c r="J1958" s="9" t="s">
        <v>8383</v>
      </c>
      <c r="K1958" s="9" t="s">
        <v>8384</v>
      </c>
      <c r="L1958" s="9" t="s">
        <v>30</v>
      </c>
      <c r="M1958" s="9" t="s">
        <v>31</v>
      </c>
      <c r="N1958" s="9" t="s">
        <v>32</v>
      </c>
      <c r="O1958" s="12" t="s">
        <v>33</v>
      </c>
      <c r="P1958" s="12" t="s">
        <v>34</v>
      </c>
      <c r="Q1958" s="9"/>
      <c r="R1958" s="18"/>
      <c r="S1958" s="18"/>
      <c r="T1958" s="18"/>
      <c r="U1958" s="18"/>
      <c r="V1958" s="18"/>
      <c r="W1958" s="15"/>
      <c r="X1958" s="15"/>
    </row>
    <row r="1959">
      <c r="A1959" s="7">
        <v>1958.0</v>
      </c>
      <c r="B1959" s="8" t="s">
        <v>8385</v>
      </c>
      <c r="C1959" s="9" t="s">
        <v>8386</v>
      </c>
      <c r="D1959" s="10" t="str">
        <f>HYPERLINK("https://facebook.com/367089020688300_492710914792776", "367089020688300_492710914792776")</f>
        <v>367089020688300_492710914792776</v>
      </c>
      <c r="E1959" s="11">
        <v>79.0</v>
      </c>
      <c r="F1959" s="11">
        <v>1.0</v>
      </c>
      <c r="G1959" s="11">
        <v>49.0</v>
      </c>
      <c r="H1959" s="9" t="s">
        <v>26</v>
      </c>
      <c r="I1959" s="9" t="s">
        <v>8387</v>
      </c>
      <c r="J1959" s="16" t="s">
        <v>8388</v>
      </c>
      <c r="K1959" s="9"/>
      <c r="L1959" s="9" t="s">
        <v>30</v>
      </c>
      <c r="M1959" s="9" t="s">
        <v>31</v>
      </c>
      <c r="N1959" s="9" t="s">
        <v>32</v>
      </c>
      <c r="O1959" s="12" t="s">
        <v>33</v>
      </c>
      <c r="P1959" s="12" t="s">
        <v>34</v>
      </c>
      <c r="Q1959" s="9"/>
      <c r="R1959" s="18"/>
      <c r="S1959" s="18"/>
      <c r="T1959" s="18"/>
      <c r="U1959" s="18"/>
      <c r="V1959" s="18"/>
      <c r="W1959" s="15"/>
      <c r="X1959" s="15"/>
    </row>
    <row r="1960">
      <c r="A1960" s="7">
        <v>1959.0</v>
      </c>
      <c r="B1960" s="8" t="s">
        <v>8389</v>
      </c>
      <c r="C1960" s="9" t="s">
        <v>8390</v>
      </c>
      <c r="D1960" s="10" t="str">
        <f>HYPERLINK("https://facebook.com/367089020688300_508795479850986", "367089020688300_508795479850986")</f>
        <v>367089020688300_508795479850986</v>
      </c>
      <c r="E1960" s="11">
        <v>196.0</v>
      </c>
      <c r="F1960" s="11">
        <v>10.0</v>
      </c>
      <c r="G1960" s="11">
        <v>414.0</v>
      </c>
      <c r="H1960" s="9" t="s">
        <v>26</v>
      </c>
      <c r="I1960" s="9" t="s">
        <v>8391</v>
      </c>
      <c r="J1960" s="9" t="s">
        <v>8392</v>
      </c>
      <c r="K1960" s="9" t="s">
        <v>8393</v>
      </c>
      <c r="L1960" s="9" t="s">
        <v>30</v>
      </c>
      <c r="M1960" s="9" t="s">
        <v>31</v>
      </c>
      <c r="N1960" s="9" t="s">
        <v>32</v>
      </c>
      <c r="O1960" s="12" t="s">
        <v>33</v>
      </c>
      <c r="P1960" s="12" t="s">
        <v>34</v>
      </c>
      <c r="Q1960" s="9"/>
      <c r="R1960" s="18"/>
      <c r="S1960" s="18"/>
      <c r="T1960" s="18"/>
      <c r="U1960" s="18"/>
      <c r="V1960" s="18"/>
      <c r="W1960" s="15"/>
      <c r="X1960" s="15"/>
    </row>
    <row r="1961">
      <c r="A1961" s="7">
        <v>1960.0</v>
      </c>
      <c r="B1961" s="8" t="s">
        <v>8394</v>
      </c>
      <c r="C1961" s="9" t="s">
        <v>8395</v>
      </c>
      <c r="D1961" s="10" t="str">
        <f>HYPERLINK("https://facebook.com/367089020688300_546333926097141", "367089020688300_546333926097141")</f>
        <v>367089020688300_546333926097141</v>
      </c>
      <c r="E1961" s="11">
        <v>537.0</v>
      </c>
      <c r="F1961" s="11">
        <v>32.0</v>
      </c>
      <c r="G1961" s="11">
        <v>582.0</v>
      </c>
      <c r="H1961" s="9" t="s">
        <v>26</v>
      </c>
      <c r="I1961" s="9" t="s">
        <v>8396</v>
      </c>
      <c r="J1961" s="9" t="s">
        <v>8397</v>
      </c>
      <c r="K1961" s="9" t="s">
        <v>8398</v>
      </c>
      <c r="L1961" s="9" t="s">
        <v>30</v>
      </c>
      <c r="M1961" s="9" t="s">
        <v>31</v>
      </c>
      <c r="N1961" s="9" t="s">
        <v>32</v>
      </c>
      <c r="O1961" s="12" t="s">
        <v>33</v>
      </c>
      <c r="P1961" s="12" t="s">
        <v>34</v>
      </c>
      <c r="Q1961" s="9"/>
      <c r="R1961" s="18"/>
      <c r="S1961" s="18"/>
      <c r="T1961" s="18"/>
      <c r="U1961" s="18"/>
      <c r="V1961" s="18"/>
      <c r="W1961" s="15"/>
      <c r="X1961" s="15"/>
    </row>
    <row r="1962">
      <c r="A1962" s="7">
        <v>1961.0</v>
      </c>
      <c r="B1962" s="8" t="s">
        <v>8399</v>
      </c>
      <c r="C1962" s="9" t="s">
        <v>8400</v>
      </c>
      <c r="D1962" s="10" t="str">
        <f>HYPERLINK("https://facebook.com/367089020688300_518674195529781", "367089020688300_518674195529781")</f>
        <v>367089020688300_518674195529781</v>
      </c>
      <c r="E1962" s="11">
        <v>56.0</v>
      </c>
      <c r="F1962" s="11">
        <v>0.0</v>
      </c>
      <c r="G1962" s="11">
        <v>42.0</v>
      </c>
      <c r="H1962" s="9" t="s">
        <v>26</v>
      </c>
      <c r="I1962" s="9" t="s">
        <v>8401</v>
      </c>
      <c r="J1962" s="16" t="s">
        <v>8402</v>
      </c>
      <c r="K1962" s="9"/>
      <c r="L1962" s="9" t="s">
        <v>30</v>
      </c>
      <c r="M1962" s="9" t="s">
        <v>31</v>
      </c>
      <c r="N1962" s="9" t="s">
        <v>32</v>
      </c>
      <c r="O1962" s="12" t="s">
        <v>33</v>
      </c>
      <c r="P1962" s="12" t="s">
        <v>34</v>
      </c>
      <c r="Q1962" s="9"/>
      <c r="R1962" s="18"/>
      <c r="S1962" s="18"/>
      <c r="T1962" s="18"/>
      <c r="U1962" s="18"/>
      <c r="V1962" s="18"/>
      <c r="W1962" s="15"/>
      <c r="X1962" s="15"/>
    </row>
    <row r="1963">
      <c r="A1963" s="7">
        <v>1962.0</v>
      </c>
      <c r="B1963" s="8" t="s">
        <v>8403</v>
      </c>
      <c r="C1963" s="9" t="s">
        <v>8404</v>
      </c>
      <c r="D1963" s="10" t="str">
        <f>HYPERLINK("https://facebook.com/367089020688300_563751427688724", "367089020688300_563751427688724")</f>
        <v>367089020688300_563751427688724</v>
      </c>
      <c r="E1963" s="11">
        <v>9.0</v>
      </c>
      <c r="F1963" s="11">
        <v>0.0</v>
      </c>
      <c r="G1963" s="11">
        <v>1.0</v>
      </c>
      <c r="H1963" s="9" t="s">
        <v>26</v>
      </c>
      <c r="I1963" s="9" t="s">
        <v>8405</v>
      </c>
      <c r="J1963" s="9" t="s">
        <v>8406</v>
      </c>
      <c r="K1963" s="9" t="s">
        <v>8407</v>
      </c>
      <c r="L1963" s="9" t="s">
        <v>30</v>
      </c>
      <c r="M1963" s="9" t="s">
        <v>31</v>
      </c>
      <c r="N1963" s="9" t="s">
        <v>32</v>
      </c>
      <c r="O1963" s="12" t="s">
        <v>33</v>
      </c>
      <c r="P1963" s="12" t="s">
        <v>34</v>
      </c>
      <c r="Q1963" s="9"/>
      <c r="R1963" s="18"/>
      <c r="S1963" s="18"/>
      <c r="T1963" s="18"/>
      <c r="U1963" s="18"/>
      <c r="V1963" s="18"/>
      <c r="W1963" s="15"/>
      <c r="X1963" s="15"/>
    </row>
    <row r="1964">
      <c r="A1964" s="7">
        <v>1963.0</v>
      </c>
      <c r="B1964" s="8" t="s">
        <v>8408</v>
      </c>
      <c r="C1964" s="9" t="s">
        <v>8409</v>
      </c>
      <c r="D1964" s="10" t="str">
        <f>HYPERLINK("https://facebook.com/367089020688300_554960748567792", "367089020688300_554960748567792")</f>
        <v>367089020688300_554960748567792</v>
      </c>
      <c r="E1964" s="11">
        <v>547.0</v>
      </c>
      <c r="F1964" s="11">
        <v>112.0</v>
      </c>
      <c r="G1964" s="11">
        <v>92.0</v>
      </c>
      <c r="H1964" s="9" t="s">
        <v>26</v>
      </c>
      <c r="I1964" s="9" t="s">
        <v>8410</v>
      </c>
      <c r="J1964" s="9" t="s">
        <v>8411</v>
      </c>
      <c r="K1964" s="9" t="s">
        <v>8412</v>
      </c>
      <c r="L1964" s="9" t="s">
        <v>30</v>
      </c>
      <c r="M1964" s="9" t="s">
        <v>31</v>
      </c>
      <c r="N1964" s="9" t="s">
        <v>32</v>
      </c>
      <c r="O1964" s="12" t="s">
        <v>33</v>
      </c>
      <c r="P1964" s="12" t="s">
        <v>34</v>
      </c>
      <c r="Q1964" s="9"/>
      <c r="R1964" s="18"/>
      <c r="S1964" s="18"/>
      <c r="T1964" s="18"/>
      <c r="U1964" s="18"/>
      <c r="V1964" s="18"/>
      <c r="W1964" s="15"/>
      <c r="X1964" s="15"/>
    </row>
    <row r="1965">
      <c r="A1965" s="7">
        <v>1964.0</v>
      </c>
      <c r="B1965" s="8" t="s">
        <v>8413</v>
      </c>
      <c r="C1965" s="9" t="s">
        <v>8414</v>
      </c>
      <c r="D1965" s="10" t="str">
        <f>HYPERLINK("https://facebook.com/367089020688300_545909312806269", "367089020688300_545909312806269")</f>
        <v>367089020688300_545909312806269</v>
      </c>
      <c r="E1965" s="11">
        <v>16.0</v>
      </c>
      <c r="F1965" s="11">
        <v>1.0</v>
      </c>
      <c r="G1965" s="11">
        <v>26.0</v>
      </c>
      <c r="H1965" s="9" t="s">
        <v>26</v>
      </c>
      <c r="I1965" s="9" t="s">
        <v>8415</v>
      </c>
      <c r="J1965" s="16" t="s">
        <v>8416</v>
      </c>
      <c r="K1965" s="9"/>
      <c r="L1965" s="9" t="s">
        <v>30</v>
      </c>
      <c r="M1965" s="9" t="s">
        <v>31</v>
      </c>
      <c r="N1965" s="9" t="s">
        <v>32</v>
      </c>
      <c r="O1965" s="12" t="s">
        <v>33</v>
      </c>
      <c r="P1965" s="12" t="s">
        <v>34</v>
      </c>
      <c r="Q1965" s="9"/>
      <c r="R1965" s="18"/>
      <c r="S1965" s="18"/>
      <c r="T1965" s="18"/>
      <c r="U1965" s="18"/>
      <c r="V1965" s="18"/>
      <c r="W1965" s="15"/>
      <c r="X1965" s="15"/>
    </row>
    <row r="1966">
      <c r="A1966" s="7">
        <v>1965.0</v>
      </c>
      <c r="B1966" s="8" t="s">
        <v>8417</v>
      </c>
      <c r="C1966" s="9" t="s">
        <v>8418</v>
      </c>
      <c r="D1966" s="10" t="str">
        <f>HYPERLINK("https://facebook.com/367089020688300_553452185385315", "367089020688300_553452185385315")</f>
        <v>367089020688300_553452185385315</v>
      </c>
      <c r="E1966" s="11">
        <v>140.0</v>
      </c>
      <c r="F1966" s="11">
        <v>4.0</v>
      </c>
      <c r="G1966" s="11">
        <v>174.0</v>
      </c>
      <c r="H1966" s="9" t="s">
        <v>26</v>
      </c>
      <c r="I1966" s="9" t="s">
        <v>8419</v>
      </c>
      <c r="J1966" s="16" t="s">
        <v>8420</v>
      </c>
      <c r="K1966" s="9"/>
      <c r="L1966" s="9" t="s">
        <v>30</v>
      </c>
      <c r="M1966" s="9" t="s">
        <v>31</v>
      </c>
      <c r="N1966" s="9" t="s">
        <v>32</v>
      </c>
      <c r="O1966" s="12" t="s">
        <v>33</v>
      </c>
      <c r="P1966" s="12" t="s">
        <v>34</v>
      </c>
      <c r="Q1966" s="9"/>
      <c r="R1966" s="18"/>
      <c r="S1966" s="18"/>
      <c r="T1966" s="18"/>
      <c r="U1966" s="18"/>
      <c r="V1966" s="18"/>
      <c r="W1966" s="15"/>
      <c r="X1966" s="15"/>
    </row>
    <row r="1967">
      <c r="A1967" s="7">
        <v>1966.0</v>
      </c>
      <c r="B1967" s="8" t="s">
        <v>8421</v>
      </c>
      <c r="C1967" s="9" t="s">
        <v>8422</v>
      </c>
      <c r="D1967" s="10" t="str">
        <f>HYPERLINK("https://facebook.com/367089020688300_552591468804720", "367089020688300_552591468804720")</f>
        <v>367089020688300_552591468804720</v>
      </c>
      <c r="E1967" s="11">
        <v>61.0</v>
      </c>
      <c r="F1967" s="11">
        <v>1.0</v>
      </c>
      <c r="G1967" s="11">
        <v>105.0</v>
      </c>
      <c r="H1967" s="9" t="s">
        <v>26</v>
      </c>
      <c r="I1967" s="9" t="s">
        <v>5177</v>
      </c>
      <c r="J1967" s="9" t="s">
        <v>5178</v>
      </c>
      <c r="K1967" s="9" t="s">
        <v>219</v>
      </c>
      <c r="L1967" s="9" t="s">
        <v>30</v>
      </c>
      <c r="M1967" s="9" t="s">
        <v>31</v>
      </c>
      <c r="N1967" s="9" t="s">
        <v>32</v>
      </c>
      <c r="O1967" s="12" t="s">
        <v>33</v>
      </c>
      <c r="P1967" s="12" t="s">
        <v>34</v>
      </c>
      <c r="Q1967" s="9"/>
      <c r="R1967" s="18"/>
      <c r="S1967" s="18"/>
      <c r="T1967" s="18"/>
      <c r="U1967" s="18"/>
      <c r="V1967" s="18"/>
      <c r="W1967" s="15"/>
      <c r="X1967" s="15"/>
    </row>
    <row r="1968">
      <c r="A1968" s="7">
        <v>1967.0</v>
      </c>
      <c r="B1968" s="8" t="s">
        <v>8423</v>
      </c>
      <c r="C1968" s="9" t="s">
        <v>8424</v>
      </c>
      <c r="D1968" s="10" t="str">
        <f>HYPERLINK("https://facebook.com/367089020688300_515350705862130", "367089020688300_515350705862130")</f>
        <v>367089020688300_515350705862130</v>
      </c>
      <c r="E1968" s="11">
        <v>14.0</v>
      </c>
      <c r="F1968" s="11">
        <v>0.0</v>
      </c>
      <c r="G1968" s="11">
        <v>24.0</v>
      </c>
      <c r="H1968" s="9" t="s">
        <v>26</v>
      </c>
      <c r="I1968" s="9" t="s">
        <v>8425</v>
      </c>
      <c r="J1968" s="9" t="s">
        <v>8426</v>
      </c>
      <c r="K1968" s="9" t="s">
        <v>8427</v>
      </c>
      <c r="L1968" s="9" t="s">
        <v>30</v>
      </c>
      <c r="M1968" s="9" t="s">
        <v>31</v>
      </c>
      <c r="N1968" s="9" t="s">
        <v>32</v>
      </c>
      <c r="O1968" s="12" t="s">
        <v>33</v>
      </c>
      <c r="P1968" s="12" t="s">
        <v>34</v>
      </c>
      <c r="Q1968" s="9"/>
      <c r="R1968" s="18"/>
      <c r="S1968" s="18"/>
      <c r="T1968" s="18"/>
      <c r="U1968" s="18"/>
      <c r="V1968" s="18"/>
      <c r="W1968" s="15"/>
      <c r="X1968" s="15"/>
    </row>
    <row r="1969">
      <c r="A1969" s="7">
        <v>1968.0</v>
      </c>
      <c r="B1969" s="8" t="s">
        <v>8428</v>
      </c>
      <c r="C1969" s="9" t="s">
        <v>8429</v>
      </c>
      <c r="D1969" s="10" t="str">
        <f>HYPERLINK("https://facebook.com/367089020688300_537107450353122", "367089020688300_537107450353122")</f>
        <v>367089020688300_537107450353122</v>
      </c>
      <c r="E1969" s="11">
        <v>18.0</v>
      </c>
      <c r="F1969" s="11">
        <v>0.0</v>
      </c>
      <c r="G1969" s="11">
        <v>34.0</v>
      </c>
      <c r="H1969" s="9" t="s">
        <v>26</v>
      </c>
      <c r="I1969" s="9" t="s">
        <v>8430</v>
      </c>
      <c r="J1969" s="16" t="s">
        <v>8431</v>
      </c>
      <c r="K1969" s="9"/>
      <c r="L1969" s="9" t="s">
        <v>30</v>
      </c>
      <c r="M1969" s="9" t="s">
        <v>31</v>
      </c>
      <c r="N1969" s="9" t="s">
        <v>32</v>
      </c>
      <c r="O1969" s="12" t="s">
        <v>33</v>
      </c>
      <c r="P1969" s="12" t="s">
        <v>34</v>
      </c>
      <c r="Q1969" s="9"/>
      <c r="R1969" s="18"/>
      <c r="S1969" s="18"/>
      <c r="T1969" s="18"/>
      <c r="U1969" s="18"/>
      <c r="V1969" s="18"/>
      <c r="W1969" s="15"/>
      <c r="X1969" s="15"/>
    </row>
    <row r="1970">
      <c r="A1970" s="7">
        <v>1969.0</v>
      </c>
      <c r="B1970" s="8" t="s">
        <v>8432</v>
      </c>
      <c r="C1970" s="9" t="s">
        <v>8433</v>
      </c>
      <c r="D1970" s="10" t="str">
        <f>HYPERLINK("https://facebook.com/367089020688300_449488239115044", "367089020688300_449488239115044")</f>
        <v>367089020688300_449488239115044</v>
      </c>
      <c r="E1970" s="11">
        <v>27.0</v>
      </c>
      <c r="F1970" s="11">
        <v>0.0</v>
      </c>
      <c r="G1970" s="11">
        <v>19.0</v>
      </c>
      <c r="H1970" s="9" t="s">
        <v>26</v>
      </c>
      <c r="I1970" s="9" t="s">
        <v>8434</v>
      </c>
      <c r="J1970" s="9" t="s">
        <v>8435</v>
      </c>
      <c r="K1970" s="9" t="s">
        <v>476</v>
      </c>
      <c r="L1970" s="9" t="s">
        <v>30</v>
      </c>
      <c r="M1970" s="9" t="s">
        <v>31</v>
      </c>
      <c r="N1970" s="9" t="s">
        <v>32</v>
      </c>
      <c r="O1970" s="12" t="s">
        <v>33</v>
      </c>
      <c r="P1970" s="12" t="s">
        <v>34</v>
      </c>
      <c r="Q1970" s="9"/>
      <c r="R1970" s="18"/>
      <c r="S1970" s="18"/>
      <c r="T1970" s="18"/>
      <c r="U1970" s="18"/>
      <c r="V1970" s="18"/>
      <c r="W1970" s="15"/>
      <c r="X1970" s="15"/>
    </row>
    <row r="1971">
      <c r="A1971" s="7">
        <v>1970.0</v>
      </c>
      <c r="B1971" s="8" t="s">
        <v>8436</v>
      </c>
      <c r="C1971" s="9" t="s">
        <v>8437</v>
      </c>
      <c r="D1971" s="10" t="str">
        <f>HYPERLINK("https://facebook.com/367089020688300_555109101886290", "367089020688300_555109101886290")</f>
        <v>367089020688300_555109101886290</v>
      </c>
      <c r="E1971" s="11">
        <v>51.0</v>
      </c>
      <c r="F1971" s="11">
        <v>0.0</v>
      </c>
      <c r="G1971" s="11">
        <v>31.0</v>
      </c>
      <c r="H1971" s="9" t="s">
        <v>26</v>
      </c>
      <c r="I1971" s="9" t="s">
        <v>8438</v>
      </c>
      <c r="J1971" s="16" t="s">
        <v>8439</v>
      </c>
      <c r="K1971" s="9"/>
      <c r="L1971" s="9" t="s">
        <v>30</v>
      </c>
      <c r="M1971" s="9" t="s">
        <v>31</v>
      </c>
      <c r="N1971" s="9" t="s">
        <v>32</v>
      </c>
      <c r="O1971" s="12" t="s">
        <v>33</v>
      </c>
      <c r="P1971" s="12" t="s">
        <v>34</v>
      </c>
      <c r="Q1971" s="9"/>
      <c r="R1971" s="18"/>
      <c r="S1971" s="18"/>
      <c r="T1971" s="18"/>
      <c r="U1971" s="18"/>
      <c r="V1971" s="18"/>
      <c r="W1971" s="15"/>
      <c r="X1971" s="15"/>
    </row>
    <row r="1972">
      <c r="A1972" s="7">
        <v>1971.0</v>
      </c>
      <c r="B1972" s="8" t="s">
        <v>8440</v>
      </c>
      <c r="C1972" s="9" t="s">
        <v>8441</v>
      </c>
      <c r="D1972" s="10" t="str">
        <f>HYPERLINK("https://facebook.com/367089020688300_532786797451854", "367089020688300_532786797451854")</f>
        <v>367089020688300_532786797451854</v>
      </c>
      <c r="E1972" s="11">
        <v>516.0</v>
      </c>
      <c r="F1972" s="11">
        <v>4.0</v>
      </c>
      <c r="G1972" s="11">
        <v>307.0</v>
      </c>
      <c r="H1972" s="9" t="s">
        <v>26</v>
      </c>
      <c r="I1972" s="9" t="s">
        <v>3150</v>
      </c>
      <c r="J1972" s="16" t="s">
        <v>3151</v>
      </c>
      <c r="K1972" s="9"/>
      <c r="L1972" s="9" t="s">
        <v>30</v>
      </c>
      <c r="M1972" s="9" t="s">
        <v>31</v>
      </c>
      <c r="N1972" s="9" t="s">
        <v>32</v>
      </c>
      <c r="O1972" s="12" t="s">
        <v>33</v>
      </c>
      <c r="P1972" s="12" t="s">
        <v>34</v>
      </c>
      <c r="Q1972" s="9"/>
      <c r="R1972" s="18"/>
      <c r="S1972" s="18"/>
      <c r="T1972" s="18"/>
      <c r="U1972" s="18"/>
      <c r="V1972" s="18"/>
      <c r="W1972" s="15"/>
      <c r="X1972" s="15"/>
    </row>
    <row r="1973">
      <c r="A1973" s="7">
        <v>1972.0</v>
      </c>
      <c r="B1973" s="8" t="s">
        <v>8442</v>
      </c>
      <c r="C1973" s="9" t="s">
        <v>8443</v>
      </c>
      <c r="D1973" s="10" t="str">
        <f>HYPERLINK("https://facebook.com/367089020688300_544954436235090", "367089020688300_544954436235090")</f>
        <v>367089020688300_544954436235090</v>
      </c>
      <c r="E1973" s="11">
        <v>94.0</v>
      </c>
      <c r="F1973" s="11">
        <v>2.0</v>
      </c>
      <c r="G1973" s="11">
        <v>42.0</v>
      </c>
      <c r="H1973" s="9" t="s">
        <v>26</v>
      </c>
      <c r="I1973" s="9" t="s">
        <v>8444</v>
      </c>
      <c r="J1973" s="9" t="s">
        <v>8445</v>
      </c>
      <c r="K1973" s="9" t="s">
        <v>8446</v>
      </c>
      <c r="L1973" s="9" t="s">
        <v>30</v>
      </c>
      <c r="M1973" s="9" t="s">
        <v>31</v>
      </c>
      <c r="N1973" s="9" t="s">
        <v>32</v>
      </c>
      <c r="O1973" s="12" t="s">
        <v>33</v>
      </c>
      <c r="P1973" s="12" t="s">
        <v>34</v>
      </c>
      <c r="Q1973" s="9"/>
      <c r="R1973" s="18"/>
      <c r="S1973" s="18"/>
      <c r="T1973" s="18"/>
      <c r="U1973" s="18"/>
      <c r="V1973" s="18"/>
      <c r="W1973" s="15"/>
      <c r="X1973" s="15"/>
    </row>
    <row r="1974">
      <c r="A1974" s="7">
        <v>1973.0</v>
      </c>
      <c r="B1974" s="8" t="s">
        <v>8447</v>
      </c>
      <c r="C1974" s="9" t="s">
        <v>8448</v>
      </c>
      <c r="D1974" s="10" t="str">
        <f>HYPERLINK("https://facebook.com/367089020688300_490954784968389", "367089020688300_490954784968389")</f>
        <v>367089020688300_490954784968389</v>
      </c>
      <c r="E1974" s="11">
        <v>617.0</v>
      </c>
      <c r="F1974" s="11">
        <v>33.0</v>
      </c>
      <c r="G1974" s="11">
        <v>411.0</v>
      </c>
      <c r="H1974" s="9" t="s">
        <v>26</v>
      </c>
      <c r="I1974" s="9" t="s">
        <v>8449</v>
      </c>
      <c r="J1974" s="9" t="s">
        <v>8450</v>
      </c>
      <c r="K1974" s="9" t="s">
        <v>8451</v>
      </c>
      <c r="L1974" s="9" t="s">
        <v>30</v>
      </c>
      <c r="M1974" s="9" t="s">
        <v>31</v>
      </c>
      <c r="N1974" s="9" t="s">
        <v>32</v>
      </c>
      <c r="O1974" s="12" t="s">
        <v>33</v>
      </c>
      <c r="P1974" s="12" t="s">
        <v>34</v>
      </c>
      <c r="Q1974" s="9"/>
      <c r="R1974" s="18"/>
      <c r="S1974" s="18"/>
      <c r="T1974" s="18"/>
      <c r="U1974" s="18"/>
      <c r="V1974" s="18"/>
      <c r="W1974" s="15"/>
      <c r="X1974" s="15"/>
    </row>
    <row r="1975">
      <c r="A1975" s="7">
        <v>1974.0</v>
      </c>
      <c r="B1975" s="8" t="s">
        <v>8452</v>
      </c>
      <c r="C1975" s="9" t="s">
        <v>8453</v>
      </c>
      <c r="D1975" s="10" t="str">
        <f>HYPERLINK("https://facebook.com/367089020688300_540982026632331", "367089020688300_540982026632331")</f>
        <v>367089020688300_540982026632331</v>
      </c>
      <c r="E1975" s="11">
        <v>16.0</v>
      </c>
      <c r="F1975" s="11">
        <v>0.0</v>
      </c>
      <c r="G1975" s="11">
        <v>6.0</v>
      </c>
      <c r="H1975" s="9" t="s">
        <v>26</v>
      </c>
      <c r="I1975" s="9" t="s">
        <v>8454</v>
      </c>
      <c r="J1975" s="9" t="s">
        <v>8455</v>
      </c>
      <c r="K1975" s="9" t="s">
        <v>5447</v>
      </c>
      <c r="L1975" s="9" t="s">
        <v>30</v>
      </c>
      <c r="M1975" s="9" t="s">
        <v>31</v>
      </c>
      <c r="N1975" s="9" t="s">
        <v>32</v>
      </c>
      <c r="O1975" s="12" t="s">
        <v>33</v>
      </c>
      <c r="P1975" s="12" t="s">
        <v>34</v>
      </c>
      <c r="Q1975" s="9"/>
      <c r="R1975" s="18"/>
      <c r="S1975" s="18"/>
      <c r="T1975" s="18"/>
      <c r="U1975" s="18"/>
      <c r="V1975" s="18"/>
      <c r="W1975" s="15"/>
      <c r="X1975" s="15"/>
    </row>
    <row r="1976">
      <c r="A1976" s="7">
        <v>1975.0</v>
      </c>
      <c r="B1976" s="8" t="s">
        <v>8456</v>
      </c>
      <c r="C1976" s="9" t="s">
        <v>8457</v>
      </c>
      <c r="D1976" s="10" t="str">
        <f>HYPERLINK("https://facebook.com/367089020688300_465293717534496", "367089020688300_465293717534496")</f>
        <v>367089020688300_465293717534496</v>
      </c>
      <c r="E1976" s="11">
        <v>48.0</v>
      </c>
      <c r="F1976" s="11">
        <v>0.0</v>
      </c>
      <c r="G1976" s="11">
        <v>25.0</v>
      </c>
      <c r="H1976" s="9" t="s">
        <v>26</v>
      </c>
      <c r="I1976" s="9" t="s">
        <v>8458</v>
      </c>
      <c r="J1976" s="9" t="s">
        <v>8459</v>
      </c>
      <c r="K1976" s="9" t="s">
        <v>8460</v>
      </c>
      <c r="L1976" s="9" t="s">
        <v>30</v>
      </c>
      <c r="M1976" s="9" t="s">
        <v>31</v>
      </c>
      <c r="N1976" s="9" t="s">
        <v>32</v>
      </c>
      <c r="O1976" s="12" t="s">
        <v>33</v>
      </c>
      <c r="P1976" s="12" t="s">
        <v>34</v>
      </c>
      <c r="Q1976" s="9"/>
      <c r="R1976" s="18"/>
      <c r="S1976" s="18"/>
      <c r="T1976" s="18"/>
      <c r="U1976" s="18"/>
      <c r="V1976" s="18"/>
      <c r="W1976" s="15"/>
      <c r="X1976" s="15"/>
    </row>
    <row r="1977">
      <c r="A1977" s="7">
        <v>1976.0</v>
      </c>
      <c r="B1977" s="8" t="s">
        <v>8461</v>
      </c>
      <c r="C1977" s="9" t="s">
        <v>8462</v>
      </c>
      <c r="D1977" s="10" t="str">
        <f>HYPERLINK("https://facebook.com/367089020688300_524789498251584", "367089020688300_524789498251584")</f>
        <v>367089020688300_524789498251584</v>
      </c>
      <c r="E1977" s="11">
        <v>53.0</v>
      </c>
      <c r="F1977" s="11">
        <v>1.0</v>
      </c>
      <c r="G1977" s="11">
        <v>93.0</v>
      </c>
      <c r="H1977" s="9" t="s">
        <v>26</v>
      </c>
      <c r="I1977" s="9" t="s">
        <v>6869</v>
      </c>
      <c r="J1977" s="9" t="s">
        <v>6870</v>
      </c>
      <c r="K1977" s="9" t="s">
        <v>219</v>
      </c>
      <c r="L1977" s="9" t="s">
        <v>30</v>
      </c>
      <c r="M1977" s="9" t="s">
        <v>31</v>
      </c>
      <c r="N1977" s="9" t="s">
        <v>32</v>
      </c>
      <c r="O1977" s="12" t="s">
        <v>33</v>
      </c>
      <c r="P1977" s="12" t="s">
        <v>34</v>
      </c>
      <c r="Q1977" s="9"/>
      <c r="R1977" s="18"/>
      <c r="S1977" s="18"/>
      <c r="T1977" s="18"/>
      <c r="U1977" s="18"/>
      <c r="V1977" s="18"/>
      <c r="W1977" s="15"/>
      <c r="X1977" s="15"/>
    </row>
    <row r="1978">
      <c r="A1978" s="7">
        <v>1977.0</v>
      </c>
      <c r="B1978" s="8" t="s">
        <v>8463</v>
      </c>
      <c r="C1978" s="9" t="s">
        <v>8464</v>
      </c>
      <c r="D1978" s="10" t="str">
        <f>HYPERLINK("https://facebook.com/367089020688300_548750615855472", "367089020688300_548750615855472")</f>
        <v>367089020688300_548750615855472</v>
      </c>
      <c r="E1978" s="11">
        <v>12.0</v>
      </c>
      <c r="F1978" s="11">
        <v>0.0</v>
      </c>
      <c r="G1978" s="11">
        <v>4.0</v>
      </c>
      <c r="H1978" s="9" t="s">
        <v>26</v>
      </c>
      <c r="I1978" s="9" t="s">
        <v>8465</v>
      </c>
      <c r="J1978" s="16" t="s">
        <v>8466</v>
      </c>
      <c r="K1978" s="9"/>
      <c r="L1978" s="9" t="s">
        <v>30</v>
      </c>
      <c r="M1978" s="9" t="s">
        <v>31</v>
      </c>
      <c r="N1978" s="9" t="s">
        <v>32</v>
      </c>
      <c r="O1978" s="12" t="s">
        <v>33</v>
      </c>
      <c r="P1978" s="12" t="s">
        <v>34</v>
      </c>
      <c r="Q1978" s="9"/>
      <c r="R1978" s="18"/>
      <c r="S1978" s="18"/>
      <c r="T1978" s="18"/>
      <c r="U1978" s="18"/>
      <c r="V1978" s="18"/>
      <c r="W1978" s="15"/>
      <c r="X1978" s="15"/>
    </row>
    <row r="1979">
      <c r="A1979" s="7">
        <v>1978.0</v>
      </c>
      <c r="B1979" s="8" t="s">
        <v>8467</v>
      </c>
      <c r="C1979" s="9" t="s">
        <v>8468</v>
      </c>
      <c r="D1979" s="10" t="str">
        <f>HYPERLINK("https://facebook.com/367089020688300_505312856865915", "367089020688300_505312856865915")</f>
        <v>367089020688300_505312856865915</v>
      </c>
      <c r="E1979" s="11">
        <v>16.0</v>
      </c>
      <c r="F1979" s="11">
        <v>0.0</v>
      </c>
      <c r="G1979" s="11">
        <v>18.0</v>
      </c>
      <c r="H1979" s="9" t="s">
        <v>26</v>
      </c>
      <c r="I1979" s="9" t="s">
        <v>8469</v>
      </c>
      <c r="J1979" s="16" t="s">
        <v>8470</v>
      </c>
      <c r="K1979" s="9"/>
      <c r="L1979" s="9" t="s">
        <v>30</v>
      </c>
      <c r="M1979" s="9" t="s">
        <v>31</v>
      </c>
      <c r="N1979" s="9" t="s">
        <v>32</v>
      </c>
      <c r="O1979" s="12" t="s">
        <v>33</v>
      </c>
      <c r="P1979" s="12" t="s">
        <v>34</v>
      </c>
      <c r="Q1979" s="9"/>
      <c r="R1979" s="18"/>
      <c r="S1979" s="18"/>
      <c r="T1979" s="18"/>
      <c r="U1979" s="18"/>
      <c r="V1979" s="18"/>
      <c r="W1979" s="15"/>
      <c r="X1979" s="15"/>
    </row>
    <row r="1980">
      <c r="A1980" s="7">
        <v>1979.0</v>
      </c>
      <c r="B1980" s="8" t="s">
        <v>8471</v>
      </c>
      <c r="C1980" s="9" t="s">
        <v>8472</v>
      </c>
      <c r="D1980" s="10" t="str">
        <f>HYPERLINK("https://facebook.com/367089020688300_544927639571103", "367089020688300_544927639571103")</f>
        <v>367089020688300_544927639571103</v>
      </c>
      <c r="E1980" s="11">
        <v>522.0</v>
      </c>
      <c r="F1980" s="11">
        <v>20.0</v>
      </c>
      <c r="G1980" s="11">
        <v>543.0</v>
      </c>
      <c r="H1980" s="9" t="s">
        <v>26</v>
      </c>
      <c r="I1980" s="9" t="s">
        <v>6607</v>
      </c>
      <c r="J1980" s="9" t="s">
        <v>8473</v>
      </c>
      <c r="K1980" s="9" t="s">
        <v>7557</v>
      </c>
      <c r="L1980" s="9" t="s">
        <v>30</v>
      </c>
      <c r="M1980" s="9" t="s">
        <v>31</v>
      </c>
      <c r="N1980" s="9" t="s">
        <v>32</v>
      </c>
      <c r="O1980" s="12" t="s">
        <v>33</v>
      </c>
      <c r="P1980" s="12" t="s">
        <v>34</v>
      </c>
      <c r="Q1980" s="9"/>
      <c r="R1980" s="18"/>
      <c r="S1980" s="18"/>
      <c r="T1980" s="18"/>
      <c r="U1980" s="18"/>
      <c r="V1980" s="18"/>
      <c r="W1980" s="15"/>
      <c r="X1980" s="15"/>
    </row>
    <row r="1981">
      <c r="A1981" s="7">
        <v>1980.0</v>
      </c>
      <c r="B1981" s="8" t="s">
        <v>8474</v>
      </c>
      <c r="C1981" s="9" t="s">
        <v>8475</v>
      </c>
      <c r="D1981" s="10" t="str">
        <f>HYPERLINK("https://facebook.com/367089020688300_469572403773294", "367089020688300_469572403773294")</f>
        <v>367089020688300_469572403773294</v>
      </c>
      <c r="E1981" s="11">
        <v>296.0</v>
      </c>
      <c r="F1981" s="11">
        <v>18.0</v>
      </c>
      <c r="G1981" s="11">
        <v>477.0</v>
      </c>
      <c r="H1981" s="9" t="s">
        <v>26</v>
      </c>
      <c r="I1981" s="9" t="s">
        <v>7195</v>
      </c>
      <c r="J1981" s="9" t="s">
        <v>8476</v>
      </c>
      <c r="K1981" s="9" t="s">
        <v>8477</v>
      </c>
      <c r="L1981" s="9" t="s">
        <v>30</v>
      </c>
      <c r="M1981" s="9" t="s">
        <v>31</v>
      </c>
      <c r="N1981" s="9" t="s">
        <v>32</v>
      </c>
      <c r="O1981" s="12" t="s">
        <v>33</v>
      </c>
      <c r="P1981" s="12" t="s">
        <v>34</v>
      </c>
      <c r="Q1981" s="9"/>
      <c r="R1981" s="18"/>
      <c r="S1981" s="18"/>
      <c r="T1981" s="18"/>
      <c r="U1981" s="18"/>
      <c r="V1981" s="18"/>
      <c r="W1981" s="15"/>
      <c r="X1981" s="15"/>
    </row>
    <row r="1982">
      <c r="A1982" s="7">
        <v>1981.0</v>
      </c>
      <c r="B1982" s="8" t="s">
        <v>8478</v>
      </c>
      <c r="C1982" s="9" t="s">
        <v>8479</v>
      </c>
      <c r="D1982" s="10" t="str">
        <f>HYPERLINK("https://facebook.com/367089020688300_527572827973251", "367089020688300_527572827973251")</f>
        <v>367089020688300_527572827973251</v>
      </c>
      <c r="E1982" s="11">
        <v>59.0</v>
      </c>
      <c r="F1982" s="11">
        <v>2.0</v>
      </c>
      <c r="G1982" s="11">
        <v>24.0</v>
      </c>
      <c r="H1982" s="9" t="s">
        <v>26</v>
      </c>
      <c r="I1982" s="9" t="s">
        <v>8480</v>
      </c>
      <c r="J1982" s="16" t="s">
        <v>8481</v>
      </c>
      <c r="K1982" s="9"/>
      <c r="L1982" s="9" t="s">
        <v>30</v>
      </c>
      <c r="M1982" s="9" t="s">
        <v>31</v>
      </c>
      <c r="N1982" s="9" t="s">
        <v>32</v>
      </c>
      <c r="O1982" s="12" t="s">
        <v>33</v>
      </c>
      <c r="P1982" s="12" t="s">
        <v>34</v>
      </c>
      <c r="Q1982" s="9"/>
      <c r="R1982" s="18"/>
      <c r="S1982" s="18"/>
      <c r="T1982" s="18"/>
      <c r="U1982" s="18"/>
      <c r="V1982" s="18"/>
      <c r="W1982" s="15"/>
      <c r="X1982" s="15"/>
    </row>
    <row r="1983">
      <c r="A1983" s="7">
        <v>1982.0</v>
      </c>
      <c r="B1983" s="8" t="s">
        <v>8482</v>
      </c>
      <c r="C1983" s="9" t="s">
        <v>8483</v>
      </c>
      <c r="D1983" s="10" t="str">
        <f>HYPERLINK("https://facebook.com/367089020688300_504800496917151", "367089020688300_504800496917151")</f>
        <v>367089020688300_504800496917151</v>
      </c>
      <c r="E1983" s="11">
        <v>95.0</v>
      </c>
      <c r="F1983" s="11">
        <v>1.0</v>
      </c>
      <c r="G1983" s="11">
        <v>74.0</v>
      </c>
      <c r="H1983" s="9" t="s">
        <v>26</v>
      </c>
      <c r="I1983" s="9" t="s">
        <v>8484</v>
      </c>
      <c r="J1983" s="9" t="s">
        <v>8485</v>
      </c>
      <c r="K1983" s="9" t="s">
        <v>8486</v>
      </c>
      <c r="L1983" s="9" t="s">
        <v>30</v>
      </c>
      <c r="M1983" s="9" t="s">
        <v>31</v>
      </c>
      <c r="N1983" s="9" t="s">
        <v>32</v>
      </c>
      <c r="O1983" s="12" t="s">
        <v>33</v>
      </c>
      <c r="P1983" s="12" t="s">
        <v>34</v>
      </c>
      <c r="Q1983" s="9"/>
      <c r="R1983" s="18"/>
      <c r="S1983" s="18"/>
      <c r="T1983" s="18"/>
      <c r="U1983" s="18"/>
      <c r="V1983" s="18"/>
      <c r="W1983" s="15"/>
      <c r="X1983" s="15"/>
    </row>
    <row r="1984">
      <c r="A1984" s="7">
        <v>1983.0</v>
      </c>
      <c r="B1984" s="8" t="s">
        <v>8487</v>
      </c>
      <c r="C1984" s="9" t="s">
        <v>8488</v>
      </c>
      <c r="D1984" s="10" t="str">
        <f>HYPERLINK("https://facebook.com/367089020688300_557517138312153", "367089020688300_557517138312153")</f>
        <v>367089020688300_557517138312153</v>
      </c>
      <c r="E1984" s="11">
        <v>36.0</v>
      </c>
      <c r="F1984" s="11">
        <v>2.0</v>
      </c>
      <c r="G1984" s="11">
        <v>46.0</v>
      </c>
      <c r="H1984" s="9" t="s">
        <v>26</v>
      </c>
      <c r="I1984" s="9" t="s">
        <v>8489</v>
      </c>
      <c r="J1984" s="16" t="s">
        <v>8490</v>
      </c>
      <c r="K1984" s="9"/>
      <c r="L1984" s="9" t="s">
        <v>30</v>
      </c>
      <c r="M1984" s="9" t="s">
        <v>31</v>
      </c>
      <c r="N1984" s="9" t="s">
        <v>32</v>
      </c>
      <c r="O1984" s="12" t="s">
        <v>33</v>
      </c>
      <c r="P1984" s="12" t="s">
        <v>34</v>
      </c>
      <c r="Q1984" s="9"/>
      <c r="R1984" s="18"/>
      <c r="S1984" s="18"/>
      <c r="T1984" s="18"/>
      <c r="U1984" s="18"/>
      <c r="V1984" s="18"/>
      <c r="W1984" s="15"/>
      <c r="X1984" s="15"/>
    </row>
    <row r="1985">
      <c r="A1985" s="7">
        <v>1984.0</v>
      </c>
      <c r="B1985" s="8" t="s">
        <v>8491</v>
      </c>
      <c r="C1985" s="9" t="s">
        <v>8492</v>
      </c>
      <c r="D1985" s="10" t="str">
        <f>HYPERLINK("https://facebook.com/367089020688300_529225141141353", "367089020688300_529225141141353")</f>
        <v>367089020688300_529225141141353</v>
      </c>
      <c r="E1985" s="11">
        <v>182.0</v>
      </c>
      <c r="F1985" s="11">
        <v>1.0</v>
      </c>
      <c r="G1985" s="11">
        <v>76.0</v>
      </c>
      <c r="H1985" s="9" t="s">
        <v>26</v>
      </c>
      <c r="I1985" s="9" t="s">
        <v>8493</v>
      </c>
      <c r="J1985" s="16" t="s">
        <v>8494</v>
      </c>
      <c r="K1985" s="9"/>
      <c r="L1985" s="9" t="s">
        <v>30</v>
      </c>
      <c r="M1985" s="9" t="s">
        <v>31</v>
      </c>
      <c r="N1985" s="9" t="s">
        <v>32</v>
      </c>
      <c r="O1985" s="12" t="s">
        <v>33</v>
      </c>
      <c r="P1985" s="12" t="s">
        <v>34</v>
      </c>
      <c r="Q1985" s="9"/>
      <c r="R1985" s="18"/>
      <c r="S1985" s="18"/>
      <c r="T1985" s="18"/>
      <c r="U1985" s="18"/>
      <c r="V1985" s="18"/>
      <c r="W1985" s="15"/>
      <c r="X1985" s="15"/>
    </row>
    <row r="1986">
      <c r="A1986" s="7">
        <v>1985.0</v>
      </c>
      <c r="B1986" s="8" t="s">
        <v>8495</v>
      </c>
      <c r="C1986" s="9" t="s">
        <v>8496</v>
      </c>
      <c r="D1986" s="10" t="str">
        <f>HYPERLINK("https://facebook.com/367089020688300_556806455049888", "367089020688300_556806455049888")</f>
        <v>367089020688300_556806455049888</v>
      </c>
      <c r="E1986" s="11">
        <v>172.0</v>
      </c>
      <c r="F1986" s="11">
        <v>2.0</v>
      </c>
      <c r="G1986" s="11">
        <v>153.0</v>
      </c>
      <c r="H1986" s="9" t="s">
        <v>26</v>
      </c>
      <c r="I1986" s="9" t="s">
        <v>3325</v>
      </c>
      <c r="J1986" s="9" t="s">
        <v>8497</v>
      </c>
      <c r="K1986" s="9" t="s">
        <v>5917</v>
      </c>
      <c r="L1986" s="9" t="s">
        <v>30</v>
      </c>
      <c r="M1986" s="9" t="s">
        <v>31</v>
      </c>
      <c r="N1986" s="9" t="s">
        <v>32</v>
      </c>
      <c r="O1986" s="12" t="s">
        <v>33</v>
      </c>
      <c r="P1986" s="12" t="s">
        <v>34</v>
      </c>
      <c r="Q1986" s="9"/>
      <c r="R1986" s="18"/>
      <c r="S1986" s="18"/>
      <c r="T1986" s="18"/>
      <c r="U1986" s="18"/>
      <c r="V1986" s="18"/>
      <c r="W1986" s="15"/>
      <c r="X1986" s="15"/>
    </row>
    <row r="1987">
      <c r="A1987" s="7">
        <v>1986.0</v>
      </c>
      <c r="B1987" s="8" t="s">
        <v>8498</v>
      </c>
      <c r="C1987" s="9" t="s">
        <v>8499</v>
      </c>
      <c r="D1987" s="10" t="str">
        <f>HYPERLINK("https://facebook.com/367089020688300_557400821657118", "367089020688300_557400821657118")</f>
        <v>367089020688300_557400821657118</v>
      </c>
      <c r="E1987" s="11">
        <v>80.0</v>
      </c>
      <c r="F1987" s="11">
        <v>2.0</v>
      </c>
      <c r="G1987" s="11">
        <v>73.0</v>
      </c>
      <c r="H1987" s="9" t="s">
        <v>26</v>
      </c>
      <c r="I1987" s="9" t="s">
        <v>8500</v>
      </c>
      <c r="J1987" s="9" t="s">
        <v>8501</v>
      </c>
      <c r="K1987" s="9" t="s">
        <v>8502</v>
      </c>
      <c r="L1987" s="9" t="s">
        <v>30</v>
      </c>
      <c r="M1987" s="9" t="s">
        <v>31</v>
      </c>
      <c r="N1987" s="9" t="s">
        <v>32</v>
      </c>
      <c r="O1987" s="12" t="s">
        <v>33</v>
      </c>
      <c r="P1987" s="12" t="s">
        <v>34</v>
      </c>
      <c r="Q1987" s="9"/>
      <c r="R1987" s="18"/>
      <c r="S1987" s="18"/>
      <c r="T1987" s="18"/>
      <c r="U1987" s="18"/>
      <c r="V1987" s="18"/>
      <c r="W1987" s="15"/>
      <c r="X1987" s="15"/>
    </row>
    <row r="1988">
      <c r="A1988" s="7">
        <v>1987.0</v>
      </c>
      <c r="B1988" s="8" t="s">
        <v>8503</v>
      </c>
      <c r="C1988" s="9" t="s">
        <v>8504</v>
      </c>
      <c r="D1988" s="10" t="str">
        <f>HYPERLINK("https://facebook.com/367089020688300_510513453012522", "367089020688300_510513453012522")</f>
        <v>367089020688300_510513453012522</v>
      </c>
      <c r="E1988" s="11">
        <v>376.0</v>
      </c>
      <c r="F1988" s="11">
        <v>4.0</v>
      </c>
      <c r="G1988" s="11">
        <v>233.0</v>
      </c>
      <c r="H1988" s="9" t="s">
        <v>26</v>
      </c>
      <c r="I1988" s="9" t="s">
        <v>8505</v>
      </c>
      <c r="J1988" s="16" t="s">
        <v>8506</v>
      </c>
      <c r="K1988" s="9"/>
      <c r="L1988" s="9" t="s">
        <v>30</v>
      </c>
      <c r="M1988" s="9" t="s">
        <v>31</v>
      </c>
      <c r="N1988" s="9" t="s">
        <v>32</v>
      </c>
      <c r="O1988" s="12" t="s">
        <v>33</v>
      </c>
      <c r="P1988" s="12" t="s">
        <v>34</v>
      </c>
      <c r="Q1988" s="9"/>
      <c r="R1988" s="18"/>
      <c r="S1988" s="18"/>
      <c r="T1988" s="18"/>
      <c r="U1988" s="18"/>
      <c r="V1988" s="18"/>
      <c r="W1988" s="15"/>
      <c r="X1988" s="15"/>
    </row>
    <row r="1989">
      <c r="A1989" s="7">
        <v>1988.0</v>
      </c>
      <c r="B1989" s="8" t="s">
        <v>8507</v>
      </c>
      <c r="C1989" s="9" t="s">
        <v>8508</v>
      </c>
      <c r="D1989" s="10" t="str">
        <f>HYPERLINK("https://facebook.com/367089020688300_544545969609270", "367089020688300_544545969609270")</f>
        <v>367089020688300_544545969609270</v>
      </c>
      <c r="E1989" s="11">
        <v>92.0</v>
      </c>
      <c r="F1989" s="11">
        <v>3.0</v>
      </c>
      <c r="G1989" s="11">
        <v>58.0</v>
      </c>
      <c r="H1989" s="9" t="s">
        <v>26</v>
      </c>
      <c r="I1989" s="9" t="s">
        <v>3934</v>
      </c>
      <c r="J1989" s="9" t="s">
        <v>8509</v>
      </c>
      <c r="K1989" s="9" t="s">
        <v>8510</v>
      </c>
      <c r="L1989" s="9" t="s">
        <v>30</v>
      </c>
      <c r="M1989" s="9" t="s">
        <v>31</v>
      </c>
      <c r="N1989" s="9" t="s">
        <v>32</v>
      </c>
      <c r="O1989" s="12" t="s">
        <v>33</v>
      </c>
      <c r="P1989" s="12" t="s">
        <v>34</v>
      </c>
      <c r="Q1989" s="9"/>
      <c r="R1989" s="18"/>
      <c r="S1989" s="18"/>
      <c r="T1989" s="18"/>
      <c r="U1989" s="18"/>
      <c r="V1989" s="18"/>
      <c r="W1989" s="15"/>
      <c r="X1989" s="15"/>
    </row>
    <row r="1990">
      <c r="A1990" s="7">
        <v>1989.0</v>
      </c>
      <c r="B1990" s="8" t="s">
        <v>8511</v>
      </c>
      <c r="C1990" s="9" t="s">
        <v>8512</v>
      </c>
      <c r="D1990" s="10" t="str">
        <f>HYPERLINK("https://facebook.com/367089020688300_549980809065786", "367089020688300_549980809065786")</f>
        <v>367089020688300_549980809065786</v>
      </c>
      <c r="E1990" s="11">
        <v>25.0</v>
      </c>
      <c r="F1990" s="11">
        <v>0.0</v>
      </c>
      <c r="G1990" s="11">
        <v>6.0</v>
      </c>
      <c r="H1990" s="9" t="s">
        <v>26</v>
      </c>
      <c r="I1990" s="9" t="s">
        <v>8513</v>
      </c>
      <c r="J1990" s="16" t="s">
        <v>8514</v>
      </c>
      <c r="K1990" s="9"/>
      <c r="L1990" s="9" t="s">
        <v>30</v>
      </c>
      <c r="M1990" s="9" t="s">
        <v>31</v>
      </c>
      <c r="N1990" s="9" t="s">
        <v>32</v>
      </c>
      <c r="O1990" s="12" t="s">
        <v>33</v>
      </c>
      <c r="P1990" s="12" t="s">
        <v>34</v>
      </c>
      <c r="Q1990" s="9"/>
      <c r="R1990" s="18"/>
      <c r="S1990" s="18"/>
      <c r="T1990" s="18"/>
      <c r="U1990" s="18"/>
      <c r="V1990" s="18"/>
      <c r="W1990" s="15"/>
      <c r="X1990" s="15"/>
    </row>
    <row r="1991">
      <c r="A1991" s="7">
        <v>1990.0</v>
      </c>
      <c r="B1991" s="8" t="s">
        <v>8515</v>
      </c>
      <c r="C1991" s="9" t="s">
        <v>8516</v>
      </c>
      <c r="D1991" s="10" t="str">
        <f>HYPERLINK("https://facebook.com/367089020688300_518182255578975", "367089020688300_518182255578975")</f>
        <v>367089020688300_518182255578975</v>
      </c>
      <c r="E1991" s="11">
        <v>10.0</v>
      </c>
      <c r="F1991" s="11">
        <v>0.0</v>
      </c>
      <c r="G1991" s="11">
        <v>17.0</v>
      </c>
      <c r="H1991" s="9" t="s">
        <v>26</v>
      </c>
      <c r="I1991" s="9" t="s">
        <v>8517</v>
      </c>
      <c r="J1991" s="16" t="s">
        <v>8518</v>
      </c>
      <c r="K1991" s="9"/>
      <c r="L1991" s="9" t="s">
        <v>30</v>
      </c>
      <c r="M1991" s="9" t="s">
        <v>31</v>
      </c>
      <c r="N1991" s="9" t="s">
        <v>32</v>
      </c>
      <c r="O1991" s="12" t="s">
        <v>33</v>
      </c>
      <c r="P1991" s="12" t="s">
        <v>34</v>
      </c>
      <c r="Q1991" s="9"/>
      <c r="R1991" s="18"/>
      <c r="S1991" s="18"/>
      <c r="T1991" s="18"/>
      <c r="U1991" s="18"/>
      <c r="V1991" s="18"/>
      <c r="W1991" s="15"/>
      <c r="X1991" s="15"/>
    </row>
    <row r="1992">
      <c r="A1992" s="7">
        <v>1991.0</v>
      </c>
      <c r="B1992" s="8" t="s">
        <v>8519</v>
      </c>
      <c r="C1992" s="9" t="s">
        <v>8520</v>
      </c>
      <c r="D1992" s="10" t="str">
        <f>HYPERLINK("https://facebook.com/367089020688300_447765972620604", "367089020688300_447765972620604")</f>
        <v>367089020688300_447765972620604</v>
      </c>
      <c r="E1992" s="11">
        <v>417.0</v>
      </c>
      <c r="F1992" s="11">
        <v>7.0</v>
      </c>
      <c r="G1992" s="11">
        <v>282.0</v>
      </c>
      <c r="H1992" s="9" t="s">
        <v>26</v>
      </c>
      <c r="I1992" s="9" t="s">
        <v>8521</v>
      </c>
      <c r="J1992" s="9" t="s">
        <v>8522</v>
      </c>
      <c r="K1992" s="9" t="s">
        <v>1179</v>
      </c>
      <c r="L1992" s="9" t="s">
        <v>30</v>
      </c>
      <c r="M1992" s="9" t="s">
        <v>31</v>
      </c>
      <c r="N1992" s="9" t="s">
        <v>32</v>
      </c>
      <c r="O1992" s="12" t="s">
        <v>33</v>
      </c>
      <c r="P1992" s="12" t="s">
        <v>34</v>
      </c>
      <c r="Q1992" s="9"/>
      <c r="R1992" s="18"/>
      <c r="S1992" s="18"/>
      <c r="T1992" s="18"/>
      <c r="U1992" s="18"/>
      <c r="V1992" s="18"/>
      <c r="W1992" s="15"/>
      <c r="X1992" s="15"/>
    </row>
    <row r="1993">
      <c r="A1993" s="7">
        <v>1992.0</v>
      </c>
      <c r="B1993" s="8" t="s">
        <v>8523</v>
      </c>
      <c r="C1993" s="9" t="s">
        <v>8524</v>
      </c>
      <c r="D1993" s="10" t="str">
        <f>HYPERLINK("https://facebook.com/367089020688300_540572353339965", "367089020688300_540572353339965")</f>
        <v>367089020688300_540572353339965</v>
      </c>
      <c r="E1993" s="11">
        <v>97.0</v>
      </c>
      <c r="F1993" s="11">
        <v>1.0</v>
      </c>
      <c r="G1993" s="11">
        <v>94.0</v>
      </c>
      <c r="H1993" s="9" t="s">
        <v>26</v>
      </c>
      <c r="I1993" s="9" t="s">
        <v>8525</v>
      </c>
      <c r="J1993" s="16" t="s">
        <v>8526</v>
      </c>
      <c r="K1993" s="9"/>
      <c r="L1993" s="9" t="s">
        <v>30</v>
      </c>
      <c r="M1993" s="9" t="s">
        <v>31</v>
      </c>
      <c r="N1993" s="9" t="s">
        <v>32</v>
      </c>
      <c r="O1993" s="12" t="s">
        <v>33</v>
      </c>
      <c r="P1993" s="12" t="s">
        <v>34</v>
      </c>
      <c r="Q1993" s="9"/>
      <c r="R1993" s="18"/>
      <c r="S1993" s="18"/>
      <c r="T1993" s="18"/>
      <c r="U1993" s="18"/>
      <c r="V1993" s="18"/>
      <c r="W1993" s="15"/>
      <c r="X1993" s="15"/>
    </row>
    <row r="1994">
      <c r="A1994" s="7">
        <v>1993.0</v>
      </c>
      <c r="B1994" s="8" t="s">
        <v>8527</v>
      </c>
      <c r="C1994" s="9" t="s">
        <v>8528</v>
      </c>
      <c r="D1994" s="10" t="str">
        <f>HYPERLINK("https://facebook.com/367089020688300_517032102360657", "367089020688300_517032102360657")</f>
        <v>367089020688300_517032102360657</v>
      </c>
      <c r="E1994" s="11">
        <v>438.0</v>
      </c>
      <c r="F1994" s="11">
        <v>21.0</v>
      </c>
      <c r="G1994" s="11">
        <v>202.0</v>
      </c>
      <c r="H1994" s="9" t="s">
        <v>26</v>
      </c>
      <c r="I1994" s="9" t="s">
        <v>3853</v>
      </c>
      <c r="J1994" s="9" t="s">
        <v>3854</v>
      </c>
      <c r="K1994" s="9" t="s">
        <v>249</v>
      </c>
      <c r="L1994" s="9" t="s">
        <v>30</v>
      </c>
      <c r="M1994" s="9" t="s">
        <v>31</v>
      </c>
      <c r="N1994" s="9" t="s">
        <v>32</v>
      </c>
      <c r="O1994" s="12" t="s">
        <v>33</v>
      </c>
      <c r="P1994" s="12" t="s">
        <v>34</v>
      </c>
      <c r="Q1994" s="9"/>
      <c r="R1994" s="18"/>
      <c r="S1994" s="18"/>
      <c r="T1994" s="18"/>
      <c r="U1994" s="18"/>
      <c r="V1994" s="18"/>
      <c r="W1994" s="15"/>
      <c r="X1994" s="15"/>
    </row>
    <row r="1995">
      <c r="A1995" s="7">
        <v>1994.0</v>
      </c>
      <c r="B1995" s="8" t="s">
        <v>8529</v>
      </c>
      <c r="C1995" s="9" t="s">
        <v>8530</v>
      </c>
      <c r="D1995" s="10" t="str">
        <f>HYPERLINK("https://facebook.com/367089020688300_369030687160800", "367089020688300_369030687160800")</f>
        <v>367089020688300_369030687160800</v>
      </c>
      <c r="E1995" s="11">
        <v>1050.0</v>
      </c>
      <c r="F1995" s="11">
        <v>16.0</v>
      </c>
      <c r="G1995" s="11">
        <v>1146.0</v>
      </c>
      <c r="H1995" s="9" t="s">
        <v>26</v>
      </c>
      <c r="I1995" s="9" t="s">
        <v>8531</v>
      </c>
      <c r="J1995" s="9" t="s">
        <v>8532</v>
      </c>
      <c r="K1995" s="9" t="s">
        <v>8533</v>
      </c>
      <c r="L1995" s="9" t="s">
        <v>30</v>
      </c>
      <c r="M1995" s="9" t="s">
        <v>31</v>
      </c>
      <c r="N1995" s="9" t="s">
        <v>32</v>
      </c>
      <c r="O1995" s="12" t="s">
        <v>33</v>
      </c>
      <c r="P1995" s="12" t="s">
        <v>34</v>
      </c>
      <c r="Q1995" s="9"/>
      <c r="R1995" s="18"/>
      <c r="S1995" s="18"/>
      <c r="T1995" s="18"/>
      <c r="U1995" s="18"/>
      <c r="V1995" s="18"/>
      <c r="W1995" s="15"/>
      <c r="X1995" s="15"/>
    </row>
    <row r="1996">
      <c r="A1996" s="7">
        <v>1995.0</v>
      </c>
      <c r="B1996" s="8" t="s">
        <v>8534</v>
      </c>
      <c r="C1996" s="9" t="s">
        <v>8535</v>
      </c>
      <c r="D1996" s="10" t="str">
        <f>HYPERLINK("https://facebook.com/367089020688300_550715695658964", "367089020688300_550715695658964")</f>
        <v>367089020688300_550715695658964</v>
      </c>
      <c r="E1996" s="11">
        <v>1192.0</v>
      </c>
      <c r="F1996" s="11">
        <v>5.0</v>
      </c>
      <c r="G1996" s="11">
        <v>444.0</v>
      </c>
      <c r="H1996" s="9" t="s">
        <v>26</v>
      </c>
      <c r="I1996" s="9" t="s">
        <v>8536</v>
      </c>
      <c r="J1996" s="9" t="s">
        <v>8537</v>
      </c>
      <c r="K1996" s="9" t="s">
        <v>8538</v>
      </c>
      <c r="L1996" s="9" t="s">
        <v>30</v>
      </c>
      <c r="M1996" s="9" t="s">
        <v>31</v>
      </c>
      <c r="N1996" s="9" t="s">
        <v>32</v>
      </c>
      <c r="O1996" s="12" t="s">
        <v>33</v>
      </c>
      <c r="P1996" s="12" t="s">
        <v>34</v>
      </c>
      <c r="Q1996" s="9"/>
      <c r="R1996" s="18"/>
      <c r="S1996" s="18"/>
      <c r="T1996" s="18"/>
      <c r="U1996" s="18"/>
      <c r="V1996" s="18"/>
      <c r="W1996" s="15"/>
      <c r="X1996" s="15"/>
    </row>
    <row r="1997">
      <c r="A1997" s="7">
        <v>1996.0</v>
      </c>
      <c r="B1997" s="8" t="s">
        <v>8539</v>
      </c>
      <c r="C1997" s="9" t="s">
        <v>8540</v>
      </c>
      <c r="D1997" s="10" t="str">
        <f>HYPERLINK("https://facebook.com/367089020688300_476741293056405", "367089020688300_476741293056405")</f>
        <v>367089020688300_476741293056405</v>
      </c>
      <c r="E1997" s="11">
        <v>111.0</v>
      </c>
      <c r="F1997" s="11">
        <v>4.0</v>
      </c>
      <c r="G1997" s="11">
        <v>134.0</v>
      </c>
      <c r="H1997" s="9" t="s">
        <v>26</v>
      </c>
      <c r="I1997" s="9" t="s">
        <v>8541</v>
      </c>
      <c r="J1997" s="9" t="s">
        <v>8542</v>
      </c>
      <c r="K1997" s="9" t="s">
        <v>8543</v>
      </c>
      <c r="L1997" s="9" t="s">
        <v>30</v>
      </c>
      <c r="M1997" s="9" t="s">
        <v>31</v>
      </c>
      <c r="N1997" s="9" t="s">
        <v>32</v>
      </c>
      <c r="O1997" s="12" t="s">
        <v>33</v>
      </c>
      <c r="P1997" s="12" t="s">
        <v>34</v>
      </c>
      <c r="Q1997" s="9"/>
      <c r="R1997" s="18"/>
      <c r="S1997" s="18"/>
      <c r="T1997" s="18"/>
      <c r="U1997" s="18"/>
      <c r="V1997" s="18"/>
      <c r="W1997" s="15"/>
      <c r="X1997" s="15"/>
    </row>
    <row r="1998">
      <c r="A1998" s="7">
        <v>1997.0</v>
      </c>
      <c r="B1998" s="8" t="s">
        <v>8544</v>
      </c>
      <c r="C1998" s="9" t="s">
        <v>8545</v>
      </c>
      <c r="D1998" s="10" t="str">
        <f>HYPERLINK("https://facebook.com/367089020688300_534661920597675", "367089020688300_534661920597675")</f>
        <v>367089020688300_534661920597675</v>
      </c>
      <c r="E1998" s="11">
        <v>3538.0</v>
      </c>
      <c r="F1998" s="11">
        <v>53.0</v>
      </c>
      <c r="G1998" s="11">
        <v>2311.0</v>
      </c>
      <c r="H1998" s="9" t="s">
        <v>26</v>
      </c>
      <c r="I1998" s="9" t="s">
        <v>8546</v>
      </c>
      <c r="J1998" s="16" t="s">
        <v>8547</v>
      </c>
      <c r="K1998" s="9"/>
      <c r="L1998" s="9" t="s">
        <v>30</v>
      </c>
      <c r="M1998" s="9" t="s">
        <v>31</v>
      </c>
      <c r="N1998" s="9" t="s">
        <v>32</v>
      </c>
      <c r="O1998" s="12" t="s">
        <v>33</v>
      </c>
      <c r="P1998" s="12" t="s">
        <v>34</v>
      </c>
      <c r="Q1998" s="9"/>
      <c r="R1998" s="18"/>
      <c r="S1998" s="18"/>
      <c r="T1998" s="18"/>
      <c r="U1998" s="18"/>
      <c r="V1998" s="18"/>
      <c r="W1998" s="15"/>
      <c r="X1998" s="15"/>
    </row>
    <row r="1999">
      <c r="A1999" s="7">
        <v>1998.0</v>
      </c>
      <c r="B1999" s="8" t="s">
        <v>8548</v>
      </c>
      <c r="C1999" s="9" t="s">
        <v>8549</v>
      </c>
      <c r="D1999" s="10" t="str">
        <f>HYPERLINK("https://facebook.com/367089020688300_545375236193010", "367089020688300_545375236193010")</f>
        <v>367089020688300_545375236193010</v>
      </c>
      <c r="E1999" s="11">
        <v>50.0</v>
      </c>
      <c r="F1999" s="11">
        <v>2.0</v>
      </c>
      <c r="G1999" s="11">
        <v>28.0</v>
      </c>
      <c r="H1999" s="9" t="s">
        <v>26</v>
      </c>
      <c r="I1999" s="9" t="s">
        <v>8550</v>
      </c>
      <c r="J1999" s="16" t="s">
        <v>8551</v>
      </c>
      <c r="K1999" s="9"/>
      <c r="L1999" s="9" t="s">
        <v>30</v>
      </c>
      <c r="M1999" s="9" t="s">
        <v>31</v>
      </c>
      <c r="N1999" s="9" t="s">
        <v>32</v>
      </c>
      <c r="O1999" s="12" t="s">
        <v>33</v>
      </c>
      <c r="P1999" s="12" t="s">
        <v>34</v>
      </c>
      <c r="Q1999" s="9"/>
      <c r="R1999" s="18"/>
      <c r="S1999" s="18"/>
      <c r="T1999" s="18"/>
      <c r="U1999" s="18"/>
      <c r="V1999" s="18"/>
      <c r="W1999" s="15"/>
      <c r="X1999" s="15"/>
    </row>
    <row r="2000">
      <c r="A2000" s="7">
        <v>1999.0</v>
      </c>
      <c r="B2000" s="8" t="s">
        <v>8552</v>
      </c>
      <c r="C2000" s="9" t="s">
        <v>8553</v>
      </c>
      <c r="D2000" s="10" t="str">
        <f>HYPERLINK("https://facebook.com/367089020688300_367972593933276", "367089020688300_367972593933276")</f>
        <v>367089020688300_367972593933276</v>
      </c>
      <c r="E2000" s="11">
        <v>235.0</v>
      </c>
      <c r="F2000" s="11">
        <v>2.0</v>
      </c>
      <c r="G2000" s="11">
        <v>173.0</v>
      </c>
      <c r="H2000" s="9" t="s">
        <v>26</v>
      </c>
      <c r="I2000" s="9" t="s">
        <v>54</v>
      </c>
      <c r="J2000" s="9" t="s">
        <v>55</v>
      </c>
      <c r="K2000" s="9" t="s">
        <v>8554</v>
      </c>
      <c r="L2000" s="9" t="s">
        <v>30</v>
      </c>
      <c r="M2000" s="9" t="s">
        <v>31</v>
      </c>
      <c r="N2000" s="9" t="s">
        <v>32</v>
      </c>
      <c r="O2000" s="12" t="s">
        <v>33</v>
      </c>
      <c r="P2000" s="12" t="s">
        <v>34</v>
      </c>
      <c r="Q2000" s="9"/>
      <c r="R2000" s="18"/>
      <c r="S2000" s="18"/>
      <c r="T2000" s="18"/>
      <c r="U2000" s="18"/>
      <c r="V2000" s="18"/>
      <c r="W2000" s="15"/>
      <c r="X2000" s="15"/>
    </row>
    <row r="2001">
      <c r="A2001" s="7">
        <v>2000.0</v>
      </c>
      <c r="B2001" s="8" t="s">
        <v>8555</v>
      </c>
      <c r="C2001" s="9" t="s">
        <v>8556</v>
      </c>
      <c r="D2001" s="10" t="str">
        <f>HYPERLINK("https://facebook.com/367089020688300_537343063662894", "367089020688300_537343063662894")</f>
        <v>367089020688300_537343063662894</v>
      </c>
      <c r="E2001" s="11">
        <v>22.0</v>
      </c>
      <c r="F2001" s="11">
        <v>1.0</v>
      </c>
      <c r="G2001" s="11">
        <v>49.0</v>
      </c>
      <c r="H2001" s="9" t="s">
        <v>26</v>
      </c>
      <c r="I2001" s="9" t="s">
        <v>8557</v>
      </c>
      <c r="J2001" s="16" t="s">
        <v>8558</v>
      </c>
      <c r="K2001" s="9"/>
      <c r="L2001" s="9" t="s">
        <v>30</v>
      </c>
      <c r="M2001" s="9" t="s">
        <v>31</v>
      </c>
      <c r="N2001" s="9" t="s">
        <v>32</v>
      </c>
      <c r="O2001" s="12" t="s">
        <v>33</v>
      </c>
      <c r="P2001" s="12" t="s">
        <v>34</v>
      </c>
      <c r="Q2001" s="9"/>
      <c r="R2001" s="18"/>
      <c r="S2001" s="18"/>
      <c r="T2001" s="18"/>
      <c r="U2001" s="18"/>
      <c r="V2001" s="18"/>
      <c r="W2001" s="15"/>
      <c r="X2001" s="15"/>
    </row>
    <row r="2002">
      <c r="A2002" s="7">
        <v>2001.0</v>
      </c>
      <c r="B2002" s="8" t="s">
        <v>8559</v>
      </c>
      <c r="C2002" s="9" t="s">
        <v>8560</v>
      </c>
      <c r="D2002" s="10" t="str">
        <f>HYPERLINK("https://facebook.com/367089020688300_411630106234191", "367089020688300_411630106234191")</f>
        <v>367089020688300_411630106234191</v>
      </c>
      <c r="E2002" s="11">
        <v>478.0</v>
      </c>
      <c r="F2002" s="11">
        <v>27.0</v>
      </c>
      <c r="G2002" s="11">
        <v>301.0</v>
      </c>
      <c r="H2002" s="9" t="s">
        <v>26</v>
      </c>
      <c r="I2002" s="9" t="s">
        <v>8561</v>
      </c>
      <c r="J2002" s="9" t="s">
        <v>8562</v>
      </c>
      <c r="K2002" s="9" t="s">
        <v>8563</v>
      </c>
      <c r="L2002" s="9" t="s">
        <v>30</v>
      </c>
      <c r="M2002" s="9" t="s">
        <v>31</v>
      </c>
      <c r="N2002" s="9" t="s">
        <v>32</v>
      </c>
      <c r="O2002" s="12" t="s">
        <v>33</v>
      </c>
      <c r="P2002" s="12" t="s">
        <v>34</v>
      </c>
      <c r="Q2002" s="9"/>
      <c r="R2002" s="18"/>
      <c r="S2002" s="18"/>
      <c r="T2002" s="18"/>
      <c r="U2002" s="18"/>
      <c r="V2002" s="18"/>
      <c r="W2002" s="15"/>
      <c r="X2002" s="15"/>
    </row>
    <row r="2003">
      <c r="A2003" s="7">
        <v>2002.0</v>
      </c>
      <c r="B2003" s="8" t="s">
        <v>8564</v>
      </c>
      <c r="C2003" s="9" t="s">
        <v>8565</v>
      </c>
      <c r="D2003" s="10" t="str">
        <f>HYPERLINK("https://facebook.com/367089020688300_549028195827714", "367089020688300_549028195827714")</f>
        <v>367089020688300_549028195827714</v>
      </c>
      <c r="E2003" s="11">
        <v>18.0</v>
      </c>
      <c r="F2003" s="11">
        <v>0.0</v>
      </c>
      <c r="G2003" s="11">
        <v>5.0</v>
      </c>
      <c r="H2003" s="9" t="s">
        <v>26</v>
      </c>
      <c r="I2003" s="9" t="s">
        <v>8566</v>
      </c>
      <c r="J2003" s="16" t="s">
        <v>8567</v>
      </c>
      <c r="K2003" s="9"/>
      <c r="L2003" s="9" t="s">
        <v>30</v>
      </c>
      <c r="M2003" s="9" t="s">
        <v>31</v>
      </c>
      <c r="N2003" s="9" t="s">
        <v>32</v>
      </c>
      <c r="O2003" s="12" t="s">
        <v>33</v>
      </c>
      <c r="P2003" s="12" t="s">
        <v>34</v>
      </c>
      <c r="Q2003" s="9"/>
      <c r="R2003" s="18"/>
      <c r="S2003" s="18"/>
      <c r="T2003" s="18"/>
      <c r="U2003" s="18"/>
      <c r="V2003" s="18"/>
      <c r="W2003" s="15"/>
      <c r="X2003" s="15"/>
    </row>
    <row r="2004">
      <c r="A2004" s="7">
        <v>2003.0</v>
      </c>
      <c r="B2004" s="8" t="s">
        <v>8568</v>
      </c>
      <c r="C2004" s="9" t="s">
        <v>8569</v>
      </c>
      <c r="D2004" s="10" t="str">
        <f>HYPERLINK("https://facebook.com/367089020688300_542546543142546", "367089020688300_542546543142546")</f>
        <v>367089020688300_542546543142546</v>
      </c>
      <c r="E2004" s="11">
        <v>88.0</v>
      </c>
      <c r="F2004" s="11">
        <v>0.0</v>
      </c>
      <c r="G2004" s="11">
        <v>78.0</v>
      </c>
      <c r="H2004" s="9" t="s">
        <v>26</v>
      </c>
      <c r="I2004" s="9" t="s">
        <v>8570</v>
      </c>
      <c r="J2004" s="9" t="s">
        <v>8571</v>
      </c>
      <c r="K2004" s="9" t="s">
        <v>8572</v>
      </c>
      <c r="L2004" s="9" t="s">
        <v>30</v>
      </c>
      <c r="M2004" s="9" t="s">
        <v>31</v>
      </c>
      <c r="N2004" s="9" t="s">
        <v>32</v>
      </c>
      <c r="O2004" s="12" t="s">
        <v>33</v>
      </c>
      <c r="P2004" s="12" t="s">
        <v>34</v>
      </c>
      <c r="Q2004" s="9"/>
      <c r="R2004" s="18"/>
      <c r="S2004" s="18"/>
      <c r="T2004" s="18"/>
      <c r="U2004" s="18"/>
      <c r="V2004" s="18"/>
      <c r="W2004" s="15"/>
      <c r="X2004" s="15"/>
    </row>
    <row r="2005">
      <c r="A2005" s="7">
        <v>2004.0</v>
      </c>
      <c r="B2005" s="8" t="s">
        <v>8573</v>
      </c>
      <c r="C2005" s="9" t="s">
        <v>8574</v>
      </c>
      <c r="D2005" s="10" t="str">
        <f>HYPERLINK("https://facebook.com/367089020688300_559392321457968", "367089020688300_559392321457968")</f>
        <v>367089020688300_559392321457968</v>
      </c>
      <c r="E2005" s="11">
        <v>32.0</v>
      </c>
      <c r="F2005" s="11">
        <v>0.0</v>
      </c>
      <c r="G2005" s="11">
        <v>33.0</v>
      </c>
      <c r="H2005" s="9" t="s">
        <v>26</v>
      </c>
      <c r="I2005" s="9" t="s">
        <v>4810</v>
      </c>
      <c r="J2005" s="16" t="s">
        <v>8575</v>
      </c>
      <c r="K2005" s="9"/>
      <c r="L2005" s="9" t="s">
        <v>30</v>
      </c>
      <c r="M2005" s="9" t="s">
        <v>31</v>
      </c>
      <c r="N2005" s="9" t="s">
        <v>32</v>
      </c>
      <c r="O2005" s="12" t="s">
        <v>33</v>
      </c>
      <c r="P2005" s="12" t="s">
        <v>34</v>
      </c>
      <c r="Q2005" s="9"/>
      <c r="R2005" s="18"/>
      <c r="S2005" s="18"/>
      <c r="T2005" s="18"/>
      <c r="U2005" s="18"/>
      <c r="V2005" s="18"/>
      <c r="W2005" s="15"/>
      <c r="X2005" s="15"/>
    </row>
    <row r="2006">
      <c r="A2006" s="7">
        <v>2005.0</v>
      </c>
      <c r="B2006" s="8" t="s">
        <v>8576</v>
      </c>
      <c r="C2006" s="9" t="s">
        <v>8577</v>
      </c>
      <c r="D2006" s="10" t="str">
        <f>HYPERLINK("https://facebook.com/367089020688300_561504591246741", "367089020688300_561504591246741")</f>
        <v>367089020688300_561504591246741</v>
      </c>
      <c r="E2006" s="11">
        <v>39.0</v>
      </c>
      <c r="F2006" s="11">
        <v>0.0</v>
      </c>
      <c r="G2006" s="11">
        <v>53.0</v>
      </c>
      <c r="H2006" s="9" t="s">
        <v>26</v>
      </c>
      <c r="I2006" s="9" t="s">
        <v>8578</v>
      </c>
      <c r="J2006" s="16" t="s">
        <v>8579</v>
      </c>
      <c r="K2006" s="9"/>
      <c r="L2006" s="9" t="s">
        <v>30</v>
      </c>
      <c r="M2006" s="9" t="s">
        <v>31</v>
      </c>
      <c r="N2006" s="9" t="s">
        <v>32</v>
      </c>
      <c r="O2006" s="12" t="s">
        <v>33</v>
      </c>
      <c r="P2006" s="12" t="s">
        <v>34</v>
      </c>
      <c r="Q2006" s="9"/>
      <c r="R2006" s="18"/>
      <c r="S2006" s="18"/>
      <c r="T2006" s="18"/>
      <c r="U2006" s="18"/>
      <c r="V2006" s="18"/>
      <c r="W2006" s="15"/>
      <c r="X2006" s="15"/>
    </row>
    <row r="2007">
      <c r="A2007" s="7">
        <v>2006.0</v>
      </c>
      <c r="B2007" s="8" t="s">
        <v>8580</v>
      </c>
      <c r="C2007" s="9" t="s">
        <v>8581</v>
      </c>
      <c r="D2007" s="10" t="str">
        <f>HYPERLINK("https://facebook.com/367089020688300_543567496373784", "367089020688300_543567496373784")</f>
        <v>367089020688300_543567496373784</v>
      </c>
      <c r="E2007" s="11">
        <v>111.0</v>
      </c>
      <c r="F2007" s="11">
        <v>2.0</v>
      </c>
      <c r="G2007" s="11">
        <v>133.0</v>
      </c>
      <c r="H2007" s="9" t="s">
        <v>26</v>
      </c>
      <c r="I2007" s="9" t="s">
        <v>8582</v>
      </c>
      <c r="J2007" s="16" t="s">
        <v>8583</v>
      </c>
      <c r="K2007" s="9"/>
      <c r="L2007" s="9" t="s">
        <v>30</v>
      </c>
      <c r="M2007" s="9" t="s">
        <v>31</v>
      </c>
      <c r="N2007" s="9" t="s">
        <v>32</v>
      </c>
      <c r="O2007" s="12" t="s">
        <v>33</v>
      </c>
      <c r="P2007" s="12" t="s">
        <v>34</v>
      </c>
      <c r="Q2007" s="9"/>
      <c r="R2007" s="18"/>
      <c r="S2007" s="18"/>
      <c r="T2007" s="18"/>
      <c r="U2007" s="18"/>
      <c r="V2007" s="18"/>
      <c r="W2007" s="15"/>
      <c r="X2007" s="15"/>
    </row>
    <row r="2008">
      <c r="A2008" s="7">
        <v>2007.0</v>
      </c>
      <c r="B2008" s="8" t="s">
        <v>8584</v>
      </c>
      <c r="C2008" s="9" t="s">
        <v>8585</v>
      </c>
      <c r="D2008" s="10" t="str">
        <f>HYPERLINK("https://facebook.com/367089020688300_554389725291561", "367089020688300_554389725291561")</f>
        <v>367089020688300_554389725291561</v>
      </c>
      <c r="E2008" s="11">
        <v>19.0</v>
      </c>
      <c r="F2008" s="11">
        <v>0.0</v>
      </c>
      <c r="G2008" s="11">
        <v>19.0</v>
      </c>
      <c r="H2008" s="9" t="s">
        <v>26</v>
      </c>
      <c r="I2008" s="9" t="s">
        <v>1258</v>
      </c>
      <c r="J2008" s="16" t="s">
        <v>8586</v>
      </c>
      <c r="K2008" s="9"/>
      <c r="L2008" s="9" t="s">
        <v>30</v>
      </c>
      <c r="M2008" s="9" t="s">
        <v>31</v>
      </c>
      <c r="N2008" s="9" t="s">
        <v>32</v>
      </c>
      <c r="O2008" s="12" t="s">
        <v>33</v>
      </c>
      <c r="P2008" s="12" t="s">
        <v>34</v>
      </c>
      <c r="Q2008" s="9"/>
      <c r="R2008" s="18"/>
      <c r="S2008" s="18"/>
      <c r="T2008" s="18"/>
      <c r="U2008" s="18"/>
      <c r="V2008" s="18"/>
      <c r="W2008" s="15"/>
      <c r="X2008" s="15"/>
    </row>
    <row r="2009">
      <c r="A2009" s="7">
        <v>2008.0</v>
      </c>
      <c r="B2009" s="8" t="s">
        <v>8587</v>
      </c>
      <c r="C2009" s="9" t="s">
        <v>8588</v>
      </c>
      <c r="D2009" s="10" t="str">
        <f>HYPERLINK("https://facebook.com/367089020688300_548151915915342", "367089020688300_548151915915342")</f>
        <v>367089020688300_548151915915342</v>
      </c>
      <c r="E2009" s="11">
        <v>61.0</v>
      </c>
      <c r="F2009" s="11">
        <v>0.0</v>
      </c>
      <c r="G2009" s="11">
        <v>21.0</v>
      </c>
      <c r="H2009" s="9" t="s">
        <v>26</v>
      </c>
      <c r="I2009" s="9" t="s">
        <v>8589</v>
      </c>
      <c r="J2009" s="16" t="s">
        <v>8590</v>
      </c>
      <c r="K2009" s="9"/>
      <c r="L2009" s="9" t="s">
        <v>30</v>
      </c>
      <c r="M2009" s="9" t="s">
        <v>31</v>
      </c>
      <c r="N2009" s="9" t="s">
        <v>32</v>
      </c>
      <c r="O2009" s="12" t="s">
        <v>33</v>
      </c>
      <c r="P2009" s="12" t="s">
        <v>34</v>
      </c>
      <c r="Q2009" s="9"/>
      <c r="R2009" s="18"/>
      <c r="S2009" s="18"/>
      <c r="T2009" s="18"/>
      <c r="U2009" s="18"/>
      <c r="V2009" s="18"/>
      <c r="W2009" s="15"/>
      <c r="X2009" s="15"/>
    </row>
    <row r="2010">
      <c r="A2010" s="7">
        <v>2009.0</v>
      </c>
      <c r="B2010" s="8" t="s">
        <v>8591</v>
      </c>
      <c r="C2010" s="9" t="s">
        <v>8592</v>
      </c>
      <c r="D2010" s="10" t="str">
        <f>HYPERLINK("https://facebook.com/367089020688300_489848351745699", "367089020688300_489848351745699")</f>
        <v>367089020688300_489848351745699</v>
      </c>
      <c r="E2010" s="11">
        <v>449.0</v>
      </c>
      <c r="F2010" s="11">
        <v>43.0</v>
      </c>
      <c r="G2010" s="11">
        <v>969.0</v>
      </c>
      <c r="H2010" s="9" t="s">
        <v>26</v>
      </c>
      <c r="I2010" s="9" t="s">
        <v>8593</v>
      </c>
      <c r="J2010" s="9" t="s">
        <v>8594</v>
      </c>
      <c r="K2010" s="9" t="s">
        <v>8595</v>
      </c>
      <c r="L2010" s="9" t="s">
        <v>30</v>
      </c>
      <c r="M2010" s="9" t="s">
        <v>31</v>
      </c>
      <c r="N2010" s="9" t="s">
        <v>32</v>
      </c>
      <c r="O2010" s="12" t="s">
        <v>33</v>
      </c>
      <c r="P2010" s="12" t="s">
        <v>34</v>
      </c>
      <c r="Q2010" s="9"/>
      <c r="R2010" s="18"/>
      <c r="S2010" s="18"/>
      <c r="T2010" s="18"/>
      <c r="U2010" s="18"/>
      <c r="V2010" s="18"/>
      <c r="W2010" s="15"/>
      <c r="X2010" s="15"/>
    </row>
    <row r="2011">
      <c r="A2011" s="7">
        <v>2010.0</v>
      </c>
      <c r="B2011" s="8" t="s">
        <v>8596</v>
      </c>
      <c r="C2011" s="9" t="s">
        <v>8597</v>
      </c>
      <c r="D2011" s="10" t="str">
        <f>HYPERLINK("https://facebook.com/367089020688300_487196148677586", "367089020688300_487196148677586")</f>
        <v>367089020688300_487196148677586</v>
      </c>
      <c r="E2011" s="11">
        <v>55.0</v>
      </c>
      <c r="F2011" s="11">
        <v>0.0</v>
      </c>
      <c r="G2011" s="11">
        <v>37.0</v>
      </c>
      <c r="H2011" s="9" t="s">
        <v>26</v>
      </c>
      <c r="I2011" s="9" t="s">
        <v>8598</v>
      </c>
      <c r="J2011" s="9" t="s">
        <v>8599</v>
      </c>
      <c r="K2011" s="9" t="s">
        <v>8600</v>
      </c>
      <c r="L2011" s="9" t="s">
        <v>30</v>
      </c>
      <c r="M2011" s="9" t="s">
        <v>31</v>
      </c>
      <c r="N2011" s="9" t="s">
        <v>32</v>
      </c>
      <c r="O2011" s="12" t="s">
        <v>33</v>
      </c>
      <c r="P2011" s="12" t="s">
        <v>34</v>
      </c>
      <c r="Q2011" s="9"/>
      <c r="R2011" s="18"/>
      <c r="S2011" s="18"/>
      <c r="T2011" s="18"/>
      <c r="U2011" s="18"/>
      <c r="V2011" s="18"/>
      <c r="W2011" s="15"/>
      <c r="X2011" s="15"/>
    </row>
    <row r="2012">
      <c r="A2012" s="7">
        <v>2011.0</v>
      </c>
      <c r="B2012" s="8" t="s">
        <v>8601</v>
      </c>
      <c r="C2012" s="9" t="s">
        <v>8602</v>
      </c>
      <c r="D2012" s="10" t="str">
        <f>HYPERLINK("https://facebook.com/367089020688300_493026768094524", "367089020688300_493026768094524")</f>
        <v>367089020688300_493026768094524</v>
      </c>
      <c r="E2012" s="11">
        <v>125.0</v>
      </c>
      <c r="F2012" s="11">
        <v>2.0</v>
      </c>
      <c r="G2012" s="11">
        <v>100.0</v>
      </c>
      <c r="H2012" s="9" t="s">
        <v>26</v>
      </c>
      <c r="I2012" s="9" t="s">
        <v>8603</v>
      </c>
      <c r="J2012" s="9" t="s">
        <v>8604</v>
      </c>
      <c r="K2012" s="9" t="s">
        <v>2429</v>
      </c>
      <c r="L2012" s="9" t="s">
        <v>30</v>
      </c>
      <c r="M2012" s="9" t="s">
        <v>31</v>
      </c>
      <c r="N2012" s="9" t="s">
        <v>32</v>
      </c>
      <c r="O2012" s="12" t="s">
        <v>33</v>
      </c>
      <c r="P2012" s="12" t="s">
        <v>34</v>
      </c>
      <c r="Q2012" s="9"/>
      <c r="R2012" s="18"/>
      <c r="S2012" s="18"/>
      <c r="T2012" s="18"/>
      <c r="U2012" s="18"/>
      <c r="V2012" s="18"/>
      <c r="W2012" s="15"/>
      <c r="X2012" s="15"/>
    </row>
    <row r="2013">
      <c r="A2013" s="7">
        <v>2012.0</v>
      </c>
      <c r="B2013" s="8" t="s">
        <v>8605</v>
      </c>
      <c r="C2013" s="9" t="s">
        <v>8606</v>
      </c>
      <c r="D2013" s="10" t="str">
        <f>HYPERLINK("https://facebook.com/367089020688300_484424615621406", "367089020688300_484424615621406")</f>
        <v>367089020688300_484424615621406</v>
      </c>
      <c r="E2013" s="11">
        <v>30.0</v>
      </c>
      <c r="F2013" s="11">
        <v>1.0</v>
      </c>
      <c r="G2013" s="11">
        <v>41.0</v>
      </c>
      <c r="H2013" s="9" t="s">
        <v>26</v>
      </c>
      <c r="I2013" s="9" t="s">
        <v>8607</v>
      </c>
      <c r="J2013" s="9" t="s">
        <v>8608</v>
      </c>
      <c r="K2013" s="9" t="s">
        <v>8609</v>
      </c>
      <c r="L2013" s="9" t="s">
        <v>30</v>
      </c>
      <c r="M2013" s="9" t="s">
        <v>31</v>
      </c>
      <c r="N2013" s="9" t="s">
        <v>32</v>
      </c>
      <c r="O2013" s="12" t="s">
        <v>33</v>
      </c>
      <c r="P2013" s="12" t="s">
        <v>34</v>
      </c>
      <c r="Q2013" s="9"/>
      <c r="R2013" s="18"/>
      <c r="S2013" s="18"/>
      <c r="T2013" s="18"/>
      <c r="U2013" s="18"/>
      <c r="V2013" s="18"/>
      <c r="W2013" s="15"/>
      <c r="X2013" s="15"/>
    </row>
    <row r="2014">
      <c r="A2014" s="7">
        <v>2013.0</v>
      </c>
      <c r="B2014" s="8" t="s">
        <v>8610</v>
      </c>
      <c r="C2014" s="9" t="s">
        <v>8611</v>
      </c>
      <c r="D2014" s="10" t="str">
        <f>HYPERLINK("https://facebook.com/367089020688300_552193068844560", "367089020688300_552193068844560")</f>
        <v>367089020688300_552193068844560</v>
      </c>
      <c r="E2014" s="11">
        <v>577.0</v>
      </c>
      <c r="F2014" s="11">
        <v>7.0</v>
      </c>
      <c r="G2014" s="11">
        <v>513.0</v>
      </c>
      <c r="H2014" s="9" t="s">
        <v>26</v>
      </c>
      <c r="I2014" s="9" t="s">
        <v>8612</v>
      </c>
      <c r="J2014" s="9" t="s">
        <v>8613</v>
      </c>
      <c r="K2014" s="9" t="s">
        <v>8614</v>
      </c>
      <c r="L2014" s="9" t="s">
        <v>30</v>
      </c>
      <c r="M2014" s="9" t="s">
        <v>31</v>
      </c>
      <c r="N2014" s="9" t="s">
        <v>32</v>
      </c>
      <c r="O2014" s="12" t="s">
        <v>33</v>
      </c>
      <c r="P2014" s="12" t="s">
        <v>34</v>
      </c>
      <c r="Q2014" s="9"/>
      <c r="R2014" s="18"/>
      <c r="S2014" s="18"/>
      <c r="T2014" s="18"/>
      <c r="U2014" s="18"/>
      <c r="V2014" s="18"/>
      <c r="W2014" s="15"/>
      <c r="X2014" s="15"/>
    </row>
    <row r="2015">
      <c r="A2015" s="7">
        <v>2014.0</v>
      </c>
      <c r="B2015" s="8" t="s">
        <v>8615</v>
      </c>
      <c r="C2015" s="9" t="s">
        <v>8616</v>
      </c>
      <c r="D2015" s="10" t="str">
        <f>HYPERLINK("https://facebook.com/367089020688300_548893649174502", "367089020688300_548893649174502")</f>
        <v>367089020688300_548893649174502</v>
      </c>
      <c r="E2015" s="11">
        <v>12.0</v>
      </c>
      <c r="F2015" s="11">
        <v>0.0</v>
      </c>
      <c r="G2015" s="11">
        <v>13.0</v>
      </c>
      <c r="H2015" s="9" t="s">
        <v>26</v>
      </c>
      <c r="I2015" s="9" t="s">
        <v>1081</v>
      </c>
      <c r="J2015" s="16" t="s">
        <v>1082</v>
      </c>
      <c r="K2015" s="9"/>
      <c r="L2015" s="9" t="s">
        <v>30</v>
      </c>
      <c r="M2015" s="9" t="s">
        <v>31</v>
      </c>
      <c r="N2015" s="9" t="s">
        <v>32</v>
      </c>
      <c r="O2015" s="12" t="s">
        <v>33</v>
      </c>
      <c r="P2015" s="12" t="s">
        <v>34</v>
      </c>
      <c r="Q2015" s="9"/>
      <c r="R2015" s="18"/>
      <c r="S2015" s="18"/>
      <c r="T2015" s="18"/>
      <c r="U2015" s="18"/>
      <c r="V2015" s="18"/>
      <c r="W2015" s="15"/>
      <c r="X2015" s="15"/>
    </row>
    <row r="2016">
      <c r="A2016" s="7">
        <v>2015.0</v>
      </c>
      <c r="B2016" s="8" t="s">
        <v>8617</v>
      </c>
      <c r="C2016" s="9" t="s">
        <v>8618</v>
      </c>
      <c r="D2016" s="10" t="str">
        <f>HYPERLINK("https://facebook.com/367089020688300_553936425336891", "367089020688300_553936425336891")</f>
        <v>367089020688300_553936425336891</v>
      </c>
      <c r="E2016" s="11">
        <v>18.0</v>
      </c>
      <c r="F2016" s="11">
        <v>0.0</v>
      </c>
      <c r="G2016" s="11">
        <v>36.0</v>
      </c>
      <c r="H2016" s="9" t="s">
        <v>26</v>
      </c>
      <c r="I2016" s="9" t="s">
        <v>393</v>
      </c>
      <c r="J2016" s="16" t="s">
        <v>8619</v>
      </c>
      <c r="K2016" s="9"/>
      <c r="L2016" s="9" t="s">
        <v>30</v>
      </c>
      <c r="M2016" s="9" t="s">
        <v>31</v>
      </c>
      <c r="N2016" s="9" t="s">
        <v>32</v>
      </c>
      <c r="O2016" s="12" t="s">
        <v>33</v>
      </c>
      <c r="P2016" s="12" t="s">
        <v>34</v>
      </c>
      <c r="Q2016" s="9"/>
      <c r="R2016" s="18"/>
      <c r="S2016" s="18"/>
      <c r="T2016" s="18"/>
      <c r="U2016" s="18"/>
      <c r="V2016" s="18"/>
      <c r="W2016" s="15"/>
      <c r="X2016" s="15"/>
    </row>
    <row r="2017">
      <c r="A2017" s="7">
        <v>2016.0</v>
      </c>
      <c r="B2017" s="8" t="s">
        <v>8620</v>
      </c>
      <c r="C2017" s="9" t="s">
        <v>8621</v>
      </c>
      <c r="D2017" s="10" t="str">
        <f>HYPERLINK("https://facebook.com/367089020688300_522126198517914", "367089020688300_522126198517914")</f>
        <v>367089020688300_522126198517914</v>
      </c>
      <c r="E2017" s="11">
        <v>232.0</v>
      </c>
      <c r="F2017" s="11">
        <v>2.0</v>
      </c>
      <c r="G2017" s="11">
        <v>154.0</v>
      </c>
      <c r="H2017" s="9" t="s">
        <v>26</v>
      </c>
      <c r="I2017" s="9" t="s">
        <v>8622</v>
      </c>
      <c r="J2017" s="9" t="s">
        <v>8623</v>
      </c>
      <c r="K2017" s="9" t="s">
        <v>8624</v>
      </c>
      <c r="L2017" s="9" t="s">
        <v>30</v>
      </c>
      <c r="M2017" s="9" t="s">
        <v>31</v>
      </c>
      <c r="N2017" s="9" t="s">
        <v>32</v>
      </c>
      <c r="O2017" s="12" t="s">
        <v>33</v>
      </c>
      <c r="P2017" s="12" t="s">
        <v>34</v>
      </c>
      <c r="Q2017" s="9"/>
      <c r="R2017" s="18"/>
      <c r="S2017" s="18"/>
      <c r="T2017" s="18"/>
      <c r="U2017" s="18"/>
      <c r="V2017" s="18"/>
      <c r="W2017" s="15"/>
      <c r="X2017" s="15"/>
    </row>
    <row r="2018">
      <c r="A2018" s="7">
        <v>2017.0</v>
      </c>
      <c r="B2018" s="8" t="s">
        <v>8625</v>
      </c>
      <c r="C2018" s="9" t="s">
        <v>8626</v>
      </c>
      <c r="D2018" s="10" t="str">
        <f>HYPERLINK("https://facebook.com/367089020688300_560358451361355", "367089020688300_560358451361355")</f>
        <v>367089020688300_560358451361355</v>
      </c>
      <c r="E2018" s="11">
        <v>439.0</v>
      </c>
      <c r="F2018" s="11">
        <v>66.0</v>
      </c>
      <c r="G2018" s="11">
        <v>439.0</v>
      </c>
      <c r="H2018" s="9" t="s">
        <v>26</v>
      </c>
      <c r="I2018" s="9" t="s">
        <v>8627</v>
      </c>
      <c r="J2018" s="9" t="s">
        <v>8628</v>
      </c>
      <c r="K2018" s="9" t="s">
        <v>8629</v>
      </c>
      <c r="L2018" s="9" t="s">
        <v>30</v>
      </c>
      <c r="M2018" s="9" t="s">
        <v>31</v>
      </c>
      <c r="N2018" s="9" t="s">
        <v>32</v>
      </c>
      <c r="O2018" s="12" t="s">
        <v>33</v>
      </c>
      <c r="P2018" s="12" t="s">
        <v>34</v>
      </c>
      <c r="Q2018" s="9"/>
      <c r="R2018" s="18"/>
      <c r="S2018" s="18"/>
      <c r="T2018" s="18"/>
      <c r="U2018" s="18"/>
      <c r="V2018" s="18"/>
      <c r="W2018" s="15"/>
      <c r="X2018" s="15"/>
    </row>
    <row r="2019">
      <c r="A2019" s="7">
        <v>2018.0</v>
      </c>
      <c r="B2019" s="8" t="s">
        <v>8630</v>
      </c>
      <c r="C2019" s="9" t="s">
        <v>8631</v>
      </c>
      <c r="D2019" s="10" t="str">
        <f>HYPERLINK("https://facebook.com/367089020688300_545132282883972", "367089020688300_545132282883972")</f>
        <v>367089020688300_545132282883972</v>
      </c>
      <c r="E2019" s="11">
        <v>76.0</v>
      </c>
      <c r="F2019" s="11">
        <v>0.0</v>
      </c>
      <c r="G2019" s="11">
        <v>140.0</v>
      </c>
      <c r="H2019" s="9" t="s">
        <v>26</v>
      </c>
      <c r="I2019" s="9" t="s">
        <v>8632</v>
      </c>
      <c r="J2019" s="16" t="s">
        <v>8633</v>
      </c>
      <c r="K2019" s="9"/>
      <c r="L2019" s="9" t="s">
        <v>30</v>
      </c>
      <c r="M2019" s="9" t="s">
        <v>31</v>
      </c>
      <c r="N2019" s="9" t="s">
        <v>32</v>
      </c>
      <c r="O2019" s="12" t="s">
        <v>33</v>
      </c>
      <c r="P2019" s="12" t="s">
        <v>34</v>
      </c>
      <c r="Q2019" s="9"/>
      <c r="R2019" s="18"/>
      <c r="S2019" s="18"/>
      <c r="T2019" s="18"/>
      <c r="U2019" s="18"/>
      <c r="V2019" s="18"/>
      <c r="W2019" s="15"/>
      <c r="X2019" s="15"/>
    </row>
    <row r="2020">
      <c r="A2020" s="7">
        <v>2019.0</v>
      </c>
      <c r="B2020" s="8" t="s">
        <v>8634</v>
      </c>
      <c r="C2020" s="9" t="s">
        <v>8635</v>
      </c>
      <c r="D2020" s="10" t="str">
        <f>HYPERLINK("https://facebook.com/367089020688300_544594232937777", "367089020688300_544594232937777")</f>
        <v>367089020688300_544594232937777</v>
      </c>
      <c r="E2020" s="11">
        <v>22.0</v>
      </c>
      <c r="F2020" s="11">
        <v>0.0</v>
      </c>
      <c r="G2020" s="11">
        <v>19.0</v>
      </c>
      <c r="H2020" s="9" t="s">
        <v>26</v>
      </c>
      <c r="I2020" s="9" t="s">
        <v>3633</v>
      </c>
      <c r="J2020" s="9" t="s">
        <v>3634</v>
      </c>
      <c r="K2020" s="9" t="s">
        <v>219</v>
      </c>
      <c r="L2020" s="9" t="s">
        <v>30</v>
      </c>
      <c r="M2020" s="9" t="s">
        <v>31</v>
      </c>
      <c r="N2020" s="9" t="s">
        <v>32</v>
      </c>
      <c r="O2020" s="12" t="s">
        <v>33</v>
      </c>
      <c r="P2020" s="12" t="s">
        <v>34</v>
      </c>
      <c r="Q2020" s="9"/>
      <c r="R2020" s="18"/>
      <c r="S2020" s="18"/>
      <c r="T2020" s="18"/>
      <c r="U2020" s="18"/>
      <c r="V2020" s="18"/>
      <c r="W2020" s="15"/>
      <c r="X2020" s="15"/>
    </row>
    <row r="2021">
      <c r="A2021" s="7">
        <v>2020.0</v>
      </c>
      <c r="B2021" s="8" t="s">
        <v>8636</v>
      </c>
      <c r="C2021" s="9" t="s">
        <v>8637</v>
      </c>
      <c r="D2021" s="10" t="str">
        <f>HYPERLINK("https://facebook.com/367089020688300_560473894683144", "367089020688300_560473894683144")</f>
        <v>367089020688300_560473894683144</v>
      </c>
      <c r="E2021" s="11">
        <v>887.0</v>
      </c>
      <c r="F2021" s="11">
        <v>31.0</v>
      </c>
      <c r="G2021" s="11">
        <v>105.0</v>
      </c>
      <c r="H2021" s="9" t="s">
        <v>26</v>
      </c>
      <c r="I2021" s="9" t="s">
        <v>8638</v>
      </c>
      <c r="J2021" s="9" t="s">
        <v>8639</v>
      </c>
      <c r="K2021" s="9" t="s">
        <v>1623</v>
      </c>
      <c r="L2021" s="9" t="s">
        <v>30</v>
      </c>
      <c r="M2021" s="9" t="s">
        <v>31</v>
      </c>
      <c r="N2021" s="9" t="s">
        <v>32</v>
      </c>
      <c r="O2021" s="12" t="s">
        <v>33</v>
      </c>
      <c r="P2021" s="12" t="s">
        <v>34</v>
      </c>
      <c r="Q2021" s="9"/>
      <c r="R2021" s="18"/>
      <c r="S2021" s="18"/>
      <c r="T2021" s="18"/>
      <c r="U2021" s="18"/>
      <c r="V2021" s="18"/>
      <c r="W2021" s="15"/>
      <c r="X2021" s="15"/>
    </row>
    <row r="2022">
      <c r="A2022" s="7">
        <v>2021.0</v>
      </c>
      <c r="B2022" s="8" t="s">
        <v>8640</v>
      </c>
      <c r="C2022" s="9" t="s">
        <v>8641</v>
      </c>
      <c r="D2022" s="10" t="str">
        <f>HYPERLINK("https://facebook.com/367089020688300_526388894758311", "367089020688300_526388894758311")</f>
        <v>367089020688300_526388894758311</v>
      </c>
      <c r="E2022" s="11">
        <v>33.0</v>
      </c>
      <c r="F2022" s="11">
        <v>0.0</v>
      </c>
      <c r="G2022" s="11">
        <v>46.0</v>
      </c>
      <c r="H2022" s="9" t="s">
        <v>26</v>
      </c>
      <c r="I2022" s="9" t="s">
        <v>2887</v>
      </c>
      <c r="J2022" s="16" t="s">
        <v>8642</v>
      </c>
      <c r="K2022" s="9"/>
      <c r="L2022" s="9" t="s">
        <v>30</v>
      </c>
      <c r="M2022" s="9" t="s">
        <v>31</v>
      </c>
      <c r="N2022" s="9" t="s">
        <v>32</v>
      </c>
      <c r="O2022" s="12" t="s">
        <v>33</v>
      </c>
      <c r="P2022" s="12" t="s">
        <v>34</v>
      </c>
      <c r="Q2022" s="9"/>
      <c r="R2022" s="18"/>
      <c r="S2022" s="18"/>
      <c r="T2022" s="18"/>
      <c r="U2022" s="18"/>
      <c r="V2022" s="18"/>
      <c r="W2022" s="15"/>
      <c r="X2022" s="15"/>
    </row>
    <row r="2023">
      <c r="A2023" s="7">
        <v>2022.0</v>
      </c>
      <c r="B2023" s="21" t="s">
        <v>8643</v>
      </c>
      <c r="C2023" s="21" t="s">
        <v>8644</v>
      </c>
      <c r="D2023" s="22" t="str">
        <f>HYPERLINK("https://facebook.com/367089020688300_513748982688969", "367089020688300_513748982688969")</f>
        <v>367089020688300_513748982688969</v>
      </c>
      <c r="E2023" s="23">
        <v>311.0</v>
      </c>
      <c r="F2023" s="23">
        <v>1.0</v>
      </c>
      <c r="G2023" s="23">
        <v>192.0</v>
      </c>
      <c r="H2023" s="21" t="s">
        <v>26</v>
      </c>
      <c r="I2023" s="21" t="s">
        <v>1375</v>
      </c>
      <c r="J2023" s="21" t="s">
        <v>8645</v>
      </c>
      <c r="K2023" s="21"/>
      <c r="L2023" s="21" t="s">
        <v>30</v>
      </c>
      <c r="M2023" s="21" t="s">
        <v>31</v>
      </c>
      <c r="N2023" s="21" t="s">
        <v>32</v>
      </c>
      <c r="O2023" s="21" t="s">
        <v>33</v>
      </c>
      <c r="P2023" s="12" t="s">
        <v>34</v>
      </c>
      <c r="Q2023" s="21"/>
      <c r="R2023" s="24"/>
      <c r="S2023" s="24"/>
      <c r="T2023" s="24"/>
      <c r="U2023" s="24"/>
      <c r="V2023" s="24"/>
      <c r="W2023" s="13" t="s">
        <v>6348</v>
      </c>
      <c r="X2023" s="24"/>
    </row>
    <row r="2024">
      <c r="A2024" s="7">
        <v>2023.0</v>
      </c>
      <c r="B2024" s="8" t="s">
        <v>8646</v>
      </c>
      <c r="C2024" s="9" t="s">
        <v>8647</v>
      </c>
      <c r="D2024" s="10" t="str">
        <f>HYPERLINK("https://facebook.com/367089020688300_536861783711022", "367089020688300_536861783711022")</f>
        <v>367089020688300_536861783711022</v>
      </c>
      <c r="E2024" s="11">
        <v>10.0</v>
      </c>
      <c r="F2024" s="11">
        <v>0.0</v>
      </c>
      <c r="G2024" s="11">
        <v>8.0</v>
      </c>
      <c r="H2024" s="9" t="s">
        <v>26</v>
      </c>
      <c r="I2024" s="9" t="s">
        <v>8648</v>
      </c>
      <c r="J2024" s="16" t="s">
        <v>8649</v>
      </c>
      <c r="K2024" s="9"/>
      <c r="L2024" s="9" t="s">
        <v>30</v>
      </c>
      <c r="M2024" s="9" t="s">
        <v>31</v>
      </c>
      <c r="N2024" s="9" t="s">
        <v>32</v>
      </c>
      <c r="O2024" s="12" t="s">
        <v>33</v>
      </c>
      <c r="P2024" s="12" t="s">
        <v>34</v>
      </c>
      <c r="Q2024" s="9"/>
      <c r="R2024" s="18"/>
      <c r="S2024" s="18"/>
      <c r="T2024" s="18"/>
      <c r="U2024" s="18"/>
      <c r="V2024" s="18"/>
      <c r="W2024" s="15"/>
      <c r="X2024" s="15"/>
    </row>
    <row r="2025">
      <c r="A2025" s="7">
        <v>2024.0</v>
      </c>
      <c r="B2025" s="8" t="s">
        <v>8650</v>
      </c>
      <c r="C2025" s="9" t="s">
        <v>8651</v>
      </c>
      <c r="D2025" s="10" t="str">
        <f>HYPERLINK("https://facebook.com/367089020688300_514695292594338", "367089020688300_514695292594338")</f>
        <v>367089020688300_514695292594338</v>
      </c>
      <c r="E2025" s="11">
        <v>766.0</v>
      </c>
      <c r="F2025" s="11">
        <v>28.0</v>
      </c>
      <c r="G2025" s="11">
        <v>536.0</v>
      </c>
      <c r="H2025" s="9" t="s">
        <v>26</v>
      </c>
      <c r="I2025" s="9" t="s">
        <v>8652</v>
      </c>
      <c r="J2025" s="16" t="s">
        <v>8653</v>
      </c>
      <c r="K2025" s="9"/>
      <c r="L2025" s="9" t="s">
        <v>30</v>
      </c>
      <c r="M2025" s="9" t="s">
        <v>31</v>
      </c>
      <c r="N2025" s="9" t="s">
        <v>32</v>
      </c>
      <c r="O2025" s="12" t="s">
        <v>33</v>
      </c>
      <c r="P2025" s="12" t="s">
        <v>34</v>
      </c>
      <c r="Q2025" s="9"/>
      <c r="R2025" s="18"/>
      <c r="S2025" s="18"/>
      <c r="T2025" s="18"/>
      <c r="U2025" s="18"/>
      <c r="V2025" s="18"/>
      <c r="W2025" s="15"/>
      <c r="X2025" s="15"/>
    </row>
    <row r="2026">
      <c r="A2026" s="7">
        <v>2025.0</v>
      </c>
      <c r="B2026" s="8" t="s">
        <v>8654</v>
      </c>
      <c r="C2026" s="9" t="s">
        <v>8655</v>
      </c>
      <c r="D2026" s="10" t="str">
        <f>HYPERLINK("https://facebook.com/367089020688300_377524802978055", "367089020688300_377524802978055")</f>
        <v>367089020688300_377524802978055</v>
      </c>
      <c r="E2026" s="11">
        <v>1746.0</v>
      </c>
      <c r="F2026" s="11">
        <v>31.0</v>
      </c>
      <c r="G2026" s="11">
        <v>1504.0</v>
      </c>
      <c r="H2026" s="9" t="s">
        <v>26</v>
      </c>
      <c r="I2026" s="9" t="s">
        <v>8656</v>
      </c>
      <c r="J2026" s="9" t="s">
        <v>8657</v>
      </c>
      <c r="K2026" s="9" t="s">
        <v>3984</v>
      </c>
      <c r="L2026" s="9" t="s">
        <v>30</v>
      </c>
      <c r="M2026" s="9" t="s">
        <v>31</v>
      </c>
      <c r="N2026" s="9" t="s">
        <v>32</v>
      </c>
      <c r="O2026" s="12" t="s">
        <v>33</v>
      </c>
      <c r="P2026" s="12" t="s">
        <v>34</v>
      </c>
      <c r="Q2026" s="9"/>
      <c r="R2026" s="18"/>
      <c r="S2026" s="18"/>
      <c r="T2026" s="18"/>
      <c r="U2026" s="18"/>
      <c r="V2026" s="18"/>
      <c r="W2026" s="15"/>
      <c r="X2026" s="15"/>
    </row>
    <row r="2027">
      <c r="A2027" s="7">
        <v>2026.0</v>
      </c>
      <c r="B2027" s="8" t="s">
        <v>8658</v>
      </c>
      <c r="C2027" s="9" t="s">
        <v>8659</v>
      </c>
      <c r="D2027" s="10" t="str">
        <f>HYPERLINK("https://facebook.com/367089020688300_546139996116534", "367089020688300_546139996116534")</f>
        <v>367089020688300_546139996116534</v>
      </c>
      <c r="E2027" s="11">
        <v>8.0</v>
      </c>
      <c r="F2027" s="11">
        <v>0.0</v>
      </c>
      <c r="G2027" s="11">
        <v>2.0</v>
      </c>
      <c r="H2027" s="9" t="s">
        <v>26</v>
      </c>
      <c r="I2027" s="9" t="s">
        <v>2126</v>
      </c>
      <c r="J2027" s="9" t="s">
        <v>8660</v>
      </c>
      <c r="K2027" s="9" t="s">
        <v>8661</v>
      </c>
      <c r="L2027" s="9" t="s">
        <v>30</v>
      </c>
      <c r="M2027" s="9" t="s">
        <v>31</v>
      </c>
      <c r="N2027" s="9" t="s">
        <v>32</v>
      </c>
      <c r="O2027" s="12" t="s">
        <v>33</v>
      </c>
      <c r="P2027" s="12" t="s">
        <v>34</v>
      </c>
      <c r="Q2027" s="9"/>
      <c r="R2027" s="18"/>
      <c r="S2027" s="18"/>
      <c r="T2027" s="18"/>
      <c r="U2027" s="18"/>
      <c r="V2027" s="18"/>
      <c r="W2027" s="15"/>
      <c r="X2027" s="15"/>
    </row>
    <row r="2028">
      <c r="A2028" s="7">
        <v>2027.0</v>
      </c>
      <c r="B2028" s="8" t="s">
        <v>8662</v>
      </c>
      <c r="C2028" s="9" t="s">
        <v>8663</v>
      </c>
      <c r="D2028" s="10" t="str">
        <f>HYPERLINK("https://facebook.com/367089020688300_539782730085594", "367089020688300_539782730085594")</f>
        <v>367089020688300_539782730085594</v>
      </c>
      <c r="E2028" s="11">
        <v>8.0</v>
      </c>
      <c r="F2028" s="11">
        <v>0.0</v>
      </c>
      <c r="G2028" s="11">
        <v>1.0</v>
      </c>
      <c r="H2028" s="9" t="s">
        <v>26</v>
      </c>
      <c r="I2028" s="9" t="s">
        <v>7481</v>
      </c>
      <c r="J2028" s="9" t="s">
        <v>8664</v>
      </c>
      <c r="K2028" s="9" t="s">
        <v>8665</v>
      </c>
      <c r="L2028" s="9" t="s">
        <v>30</v>
      </c>
      <c r="M2028" s="9" t="s">
        <v>31</v>
      </c>
      <c r="N2028" s="9" t="s">
        <v>32</v>
      </c>
      <c r="O2028" s="12" t="s">
        <v>33</v>
      </c>
      <c r="P2028" s="12" t="s">
        <v>34</v>
      </c>
      <c r="Q2028" s="9"/>
      <c r="R2028" s="18"/>
      <c r="S2028" s="18"/>
      <c r="T2028" s="18"/>
      <c r="U2028" s="18"/>
      <c r="V2028" s="18"/>
      <c r="W2028" s="15"/>
      <c r="X2028" s="15"/>
    </row>
    <row r="2029">
      <c r="A2029" s="7">
        <v>2028.0</v>
      </c>
      <c r="B2029" s="8" t="s">
        <v>8666</v>
      </c>
      <c r="C2029" s="9" t="s">
        <v>8667</v>
      </c>
      <c r="D2029" s="10" t="str">
        <f>HYPERLINK("https://facebook.com/367089020688300_537360706994463", "367089020688300_537360706994463")</f>
        <v>367089020688300_537360706994463</v>
      </c>
      <c r="E2029" s="11">
        <v>6.0</v>
      </c>
      <c r="F2029" s="11">
        <v>0.0</v>
      </c>
      <c r="G2029" s="11">
        <v>1.0</v>
      </c>
      <c r="H2029" s="9" t="s">
        <v>26</v>
      </c>
      <c r="I2029" s="9" t="s">
        <v>8668</v>
      </c>
      <c r="J2029" s="16" t="s">
        <v>8669</v>
      </c>
      <c r="K2029" s="9"/>
      <c r="L2029" s="9" t="s">
        <v>30</v>
      </c>
      <c r="M2029" s="9" t="s">
        <v>31</v>
      </c>
      <c r="N2029" s="9" t="s">
        <v>32</v>
      </c>
      <c r="O2029" s="12" t="s">
        <v>33</v>
      </c>
      <c r="P2029" s="12" t="s">
        <v>34</v>
      </c>
      <c r="Q2029" s="9"/>
      <c r="R2029" s="18"/>
      <c r="S2029" s="18"/>
      <c r="T2029" s="18"/>
      <c r="U2029" s="18"/>
      <c r="V2029" s="18"/>
      <c r="W2029" s="15"/>
      <c r="X2029" s="15"/>
    </row>
    <row r="2030">
      <c r="A2030" s="7">
        <v>2029.0</v>
      </c>
      <c r="B2030" s="8" t="s">
        <v>8670</v>
      </c>
      <c r="C2030" s="9" t="s">
        <v>8671</v>
      </c>
      <c r="D2030" s="10" t="str">
        <f>HYPERLINK("https://facebook.com/367089020688300_504083763655491", "367089020688300_504083763655491")</f>
        <v>367089020688300_504083763655491</v>
      </c>
      <c r="E2030" s="11">
        <v>767.0</v>
      </c>
      <c r="F2030" s="11">
        <v>20.0</v>
      </c>
      <c r="G2030" s="11">
        <v>566.0</v>
      </c>
      <c r="H2030" s="9" t="s">
        <v>26</v>
      </c>
      <c r="I2030" s="9" t="s">
        <v>8672</v>
      </c>
      <c r="J2030" s="9" t="s">
        <v>8673</v>
      </c>
      <c r="K2030" s="9" t="s">
        <v>8674</v>
      </c>
      <c r="L2030" s="9" t="s">
        <v>30</v>
      </c>
      <c r="M2030" s="9" t="s">
        <v>31</v>
      </c>
      <c r="N2030" s="9" t="s">
        <v>32</v>
      </c>
      <c r="O2030" s="12" t="s">
        <v>33</v>
      </c>
      <c r="P2030" s="12" t="s">
        <v>34</v>
      </c>
      <c r="Q2030" s="9"/>
      <c r="R2030" s="18"/>
      <c r="S2030" s="18"/>
      <c r="T2030" s="18"/>
      <c r="U2030" s="18"/>
      <c r="V2030" s="18"/>
      <c r="W2030" s="15"/>
      <c r="X2030" s="15"/>
    </row>
    <row r="2031">
      <c r="A2031" s="7">
        <v>2030.0</v>
      </c>
      <c r="B2031" s="8" t="s">
        <v>8675</v>
      </c>
      <c r="C2031" s="9" t="s">
        <v>8676</v>
      </c>
      <c r="D2031" s="10" t="str">
        <f>HYPERLINK("https://facebook.com/367089020688300_511588119571722", "367089020688300_511588119571722")</f>
        <v>367089020688300_511588119571722</v>
      </c>
      <c r="E2031" s="11">
        <v>412.0</v>
      </c>
      <c r="F2031" s="11">
        <v>3.0</v>
      </c>
      <c r="G2031" s="11">
        <v>219.0</v>
      </c>
      <c r="H2031" s="9" t="s">
        <v>26</v>
      </c>
      <c r="I2031" s="9" t="s">
        <v>8677</v>
      </c>
      <c r="J2031" s="9" t="s">
        <v>8678</v>
      </c>
      <c r="K2031" s="9" t="s">
        <v>8679</v>
      </c>
      <c r="L2031" s="9" t="s">
        <v>30</v>
      </c>
      <c r="M2031" s="9" t="s">
        <v>31</v>
      </c>
      <c r="N2031" s="9" t="s">
        <v>32</v>
      </c>
      <c r="O2031" s="12" t="s">
        <v>33</v>
      </c>
      <c r="P2031" s="12" t="s">
        <v>34</v>
      </c>
      <c r="Q2031" s="9"/>
      <c r="R2031" s="18"/>
      <c r="S2031" s="18"/>
      <c r="T2031" s="18"/>
      <c r="U2031" s="18"/>
      <c r="V2031" s="18"/>
      <c r="W2031" s="15"/>
      <c r="X2031" s="15"/>
    </row>
    <row r="2032">
      <c r="A2032" s="7">
        <v>2031.0</v>
      </c>
      <c r="B2032" s="8" t="s">
        <v>8680</v>
      </c>
      <c r="C2032" s="9" t="s">
        <v>8681</v>
      </c>
      <c r="D2032" s="10" t="str">
        <f>HYPERLINK("https://facebook.com/367089020688300_539811750082692", "367089020688300_539811750082692")</f>
        <v>367089020688300_539811750082692</v>
      </c>
      <c r="E2032" s="11">
        <v>57.0</v>
      </c>
      <c r="F2032" s="11">
        <v>1.0</v>
      </c>
      <c r="G2032" s="11">
        <v>136.0</v>
      </c>
      <c r="H2032" s="9" t="s">
        <v>26</v>
      </c>
      <c r="I2032" s="9" t="s">
        <v>8682</v>
      </c>
      <c r="J2032" s="9" t="s">
        <v>8683</v>
      </c>
      <c r="K2032" s="9" t="s">
        <v>8684</v>
      </c>
      <c r="L2032" s="9" t="s">
        <v>30</v>
      </c>
      <c r="M2032" s="9" t="s">
        <v>31</v>
      </c>
      <c r="N2032" s="9" t="s">
        <v>32</v>
      </c>
      <c r="O2032" s="12" t="s">
        <v>33</v>
      </c>
      <c r="P2032" s="12" t="s">
        <v>34</v>
      </c>
      <c r="Q2032" s="9"/>
      <c r="R2032" s="18"/>
      <c r="S2032" s="18"/>
      <c r="T2032" s="18"/>
      <c r="U2032" s="18"/>
      <c r="V2032" s="18"/>
      <c r="W2032" s="15"/>
      <c r="X2032" s="15"/>
    </row>
    <row r="2033">
      <c r="A2033" s="7">
        <v>2032.0</v>
      </c>
      <c r="B2033" s="8" t="s">
        <v>8685</v>
      </c>
      <c r="C2033" s="9" t="s">
        <v>8686</v>
      </c>
      <c r="D2033" s="10" t="str">
        <f>HYPERLINK("https://facebook.com/367089020688300_542524396478094", "367089020688300_542524396478094")</f>
        <v>367089020688300_542524396478094</v>
      </c>
      <c r="E2033" s="11">
        <v>41.0</v>
      </c>
      <c r="F2033" s="11">
        <v>0.0</v>
      </c>
      <c r="G2033" s="11">
        <v>3.0</v>
      </c>
      <c r="H2033" s="9" t="s">
        <v>26</v>
      </c>
      <c r="I2033" s="9" t="s">
        <v>8687</v>
      </c>
      <c r="J2033" s="16" t="s">
        <v>8688</v>
      </c>
      <c r="K2033" s="9"/>
      <c r="L2033" s="9" t="s">
        <v>30</v>
      </c>
      <c r="M2033" s="9" t="s">
        <v>31</v>
      </c>
      <c r="N2033" s="9" t="s">
        <v>32</v>
      </c>
      <c r="O2033" s="12" t="s">
        <v>33</v>
      </c>
      <c r="P2033" s="12" t="s">
        <v>34</v>
      </c>
      <c r="Q2033" s="9"/>
      <c r="R2033" s="18"/>
      <c r="S2033" s="18"/>
      <c r="T2033" s="18"/>
      <c r="U2033" s="18"/>
      <c r="V2033" s="18"/>
      <c r="W2033" s="15"/>
      <c r="X2033" s="15"/>
    </row>
    <row r="2034">
      <c r="A2034" s="7">
        <v>2033.0</v>
      </c>
      <c r="B2034" s="8" t="s">
        <v>8689</v>
      </c>
      <c r="C2034" s="9" t="s">
        <v>8690</v>
      </c>
      <c r="D2034" s="10" t="str">
        <f>HYPERLINK("https://facebook.com/367089020688300_550573965673137", "367089020688300_550573965673137")</f>
        <v>367089020688300_550573965673137</v>
      </c>
      <c r="E2034" s="11">
        <v>110.0</v>
      </c>
      <c r="F2034" s="11">
        <v>0.0</v>
      </c>
      <c r="G2034" s="11">
        <v>90.0</v>
      </c>
      <c r="H2034" s="9" t="s">
        <v>26</v>
      </c>
      <c r="I2034" s="9" t="s">
        <v>8691</v>
      </c>
      <c r="J2034" s="9" t="s">
        <v>8692</v>
      </c>
      <c r="K2034" s="9" t="s">
        <v>8693</v>
      </c>
      <c r="L2034" s="9" t="s">
        <v>30</v>
      </c>
      <c r="M2034" s="9" t="s">
        <v>31</v>
      </c>
      <c r="N2034" s="9" t="s">
        <v>32</v>
      </c>
      <c r="O2034" s="12" t="s">
        <v>33</v>
      </c>
      <c r="P2034" s="12" t="s">
        <v>34</v>
      </c>
      <c r="Q2034" s="9"/>
      <c r="R2034" s="18"/>
      <c r="S2034" s="18"/>
      <c r="T2034" s="18"/>
      <c r="U2034" s="18"/>
      <c r="V2034" s="18"/>
      <c r="W2034" s="15"/>
      <c r="X2034" s="15"/>
    </row>
    <row r="2035">
      <c r="A2035" s="7">
        <v>2034.0</v>
      </c>
      <c r="B2035" s="8" t="s">
        <v>8694</v>
      </c>
      <c r="C2035" s="9" t="s">
        <v>8695</v>
      </c>
      <c r="D2035" s="10" t="str">
        <f>HYPERLINK("https://facebook.com/367089020688300_552094145521119", "367089020688300_552094145521119")</f>
        <v>367089020688300_552094145521119</v>
      </c>
      <c r="E2035" s="11">
        <v>6.0</v>
      </c>
      <c r="F2035" s="11">
        <v>0.0</v>
      </c>
      <c r="G2035" s="11">
        <v>16.0</v>
      </c>
      <c r="H2035" s="9" t="s">
        <v>26</v>
      </c>
      <c r="I2035" s="9" t="s">
        <v>408</v>
      </c>
      <c r="J2035" s="16" t="s">
        <v>3834</v>
      </c>
      <c r="K2035" s="9"/>
      <c r="L2035" s="9" t="s">
        <v>30</v>
      </c>
      <c r="M2035" s="9" t="s">
        <v>31</v>
      </c>
      <c r="N2035" s="9" t="s">
        <v>32</v>
      </c>
      <c r="O2035" s="12" t="s">
        <v>33</v>
      </c>
      <c r="P2035" s="12" t="s">
        <v>34</v>
      </c>
      <c r="Q2035" s="9"/>
      <c r="R2035" s="18"/>
      <c r="S2035" s="18"/>
      <c r="T2035" s="18"/>
      <c r="U2035" s="18"/>
      <c r="V2035" s="18"/>
      <c r="W2035" s="15"/>
      <c r="X2035" s="15"/>
    </row>
    <row r="2036">
      <c r="A2036" s="7">
        <v>2035.0</v>
      </c>
      <c r="B2036" s="8" t="s">
        <v>8696</v>
      </c>
      <c r="C2036" s="9" t="s">
        <v>8697</v>
      </c>
      <c r="D2036" s="10" t="str">
        <f>HYPERLINK("https://facebook.com/367089020688300_553889795341554", "367089020688300_553889795341554")</f>
        <v>367089020688300_553889795341554</v>
      </c>
      <c r="E2036" s="11">
        <v>18.0</v>
      </c>
      <c r="F2036" s="11">
        <v>0.0</v>
      </c>
      <c r="G2036" s="11">
        <v>8.0</v>
      </c>
      <c r="H2036" s="9" t="s">
        <v>26</v>
      </c>
      <c r="I2036" s="9" t="s">
        <v>8698</v>
      </c>
      <c r="J2036" s="16" t="s">
        <v>8699</v>
      </c>
      <c r="K2036" s="9"/>
      <c r="L2036" s="9" t="s">
        <v>30</v>
      </c>
      <c r="M2036" s="9" t="s">
        <v>31</v>
      </c>
      <c r="N2036" s="9" t="s">
        <v>32</v>
      </c>
      <c r="O2036" s="12" t="s">
        <v>33</v>
      </c>
      <c r="P2036" s="12" t="s">
        <v>34</v>
      </c>
      <c r="Q2036" s="9"/>
      <c r="R2036" s="18"/>
      <c r="S2036" s="18"/>
      <c r="T2036" s="18"/>
      <c r="U2036" s="18"/>
      <c r="V2036" s="18"/>
      <c r="W2036" s="15"/>
      <c r="X2036" s="15"/>
    </row>
    <row r="2037">
      <c r="A2037" s="7">
        <v>2036.0</v>
      </c>
      <c r="B2037" s="8" t="s">
        <v>8700</v>
      </c>
      <c r="C2037" s="9" t="s">
        <v>8701</v>
      </c>
      <c r="D2037" s="10" t="str">
        <f>HYPERLINK("https://facebook.com/367089020688300_469042100492991", "367089020688300_469042100492991")</f>
        <v>367089020688300_469042100492991</v>
      </c>
      <c r="E2037" s="11">
        <v>1354.0</v>
      </c>
      <c r="F2037" s="11">
        <v>17.0</v>
      </c>
      <c r="G2037" s="11">
        <v>570.0</v>
      </c>
      <c r="H2037" s="9" t="s">
        <v>26</v>
      </c>
      <c r="I2037" s="9" t="s">
        <v>1142</v>
      </c>
      <c r="J2037" s="9" t="s">
        <v>1143</v>
      </c>
      <c r="K2037" s="9" t="s">
        <v>8702</v>
      </c>
      <c r="L2037" s="9" t="s">
        <v>30</v>
      </c>
      <c r="M2037" s="9" t="s">
        <v>31</v>
      </c>
      <c r="N2037" s="9" t="s">
        <v>32</v>
      </c>
      <c r="O2037" s="12" t="s">
        <v>33</v>
      </c>
      <c r="P2037" s="12" t="s">
        <v>34</v>
      </c>
      <c r="Q2037" s="9"/>
      <c r="R2037" s="18"/>
      <c r="S2037" s="18"/>
      <c r="T2037" s="18"/>
      <c r="U2037" s="18"/>
      <c r="V2037" s="18"/>
      <c r="W2037" s="15"/>
      <c r="X2037" s="15"/>
    </row>
    <row r="2038">
      <c r="A2038" s="7">
        <v>2037.0</v>
      </c>
      <c r="B2038" s="8" t="s">
        <v>8703</v>
      </c>
      <c r="C2038" s="9" t="s">
        <v>8704</v>
      </c>
      <c r="D2038" s="10" t="str">
        <f>HYPERLINK("https://facebook.com/367089020688300_555245635205970", "367089020688300_555245635205970")</f>
        <v>367089020688300_555245635205970</v>
      </c>
      <c r="E2038" s="11">
        <v>34.0</v>
      </c>
      <c r="F2038" s="11">
        <v>0.0</v>
      </c>
      <c r="G2038" s="11">
        <v>18.0</v>
      </c>
      <c r="H2038" s="9" t="s">
        <v>26</v>
      </c>
      <c r="I2038" s="9" t="s">
        <v>8705</v>
      </c>
      <c r="J2038" s="16" t="s">
        <v>8706</v>
      </c>
      <c r="K2038" s="9"/>
      <c r="L2038" s="9" t="s">
        <v>30</v>
      </c>
      <c r="M2038" s="9" t="s">
        <v>31</v>
      </c>
      <c r="N2038" s="9" t="s">
        <v>32</v>
      </c>
      <c r="O2038" s="12" t="s">
        <v>33</v>
      </c>
      <c r="P2038" s="12" t="s">
        <v>34</v>
      </c>
      <c r="Q2038" s="9"/>
      <c r="R2038" s="18"/>
      <c r="S2038" s="18"/>
      <c r="T2038" s="18"/>
      <c r="U2038" s="18"/>
      <c r="V2038" s="18"/>
      <c r="W2038" s="15"/>
      <c r="X2038" s="15"/>
    </row>
    <row r="2039">
      <c r="A2039" s="7">
        <v>2038.0</v>
      </c>
      <c r="B2039" s="8" t="s">
        <v>8707</v>
      </c>
      <c r="C2039" s="9" t="s">
        <v>8708</v>
      </c>
      <c r="D2039" s="10" t="str">
        <f>HYPERLINK("https://facebook.com/367089020688300_551561575574376", "367089020688300_551561575574376")</f>
        <v>367089020688300_551561575574376</v>
      </c>
      <c r="E2039" s="11">
        <v>11.0</v>
      </c>
      <c r="F2039" s="11">
        <v>0.0</v>
      </c>
      <c r="G2039" s="11">
        <v>10.0</v>
      </c>
      <c r="H2039" s="9" t="s">
        <v>26</v>
      </c>
      <c r="I2039" s="9" t="s">
        <v>8709</v>
      </c>
      <c r="J2039" s="9" t="s">
        <v>8710</v>
      </c>
      <c r="K2039" s="9" t="s">
        <v>8711</v>
      </c>
      <c r="L2039" s="9" t="s">
        <v>30</v>
      </c>
      <c r="M2039" s="9" t="s">
        <v>31</v>
      </c>
      <c r="N2039" s="9" t="s">
        <v>32</v>
      </c>
      <c r="O2039" s="12" t="s">
        <v>33</v>
      </c>
      <c r="P2039" s="12" t="s">
        <v>34</v>
      </c>
      <c r="Q2039" s="9"/>
      <c r="R2039" s="18"/>
      <c r="S2039" s="18"/>
      <c r="T2039" s="18"/>
      <c r="U2039" s="18"/>
      <c r="V2039" s="18"/>
      <c r="W2039" s="15"/>
      <c r="X2039" s="15"/>
    </row>
    <row r="2040">
      <c r="A2040" s="7">
        <v>2039.0</v>
      </c>
      <c r="B2040" s="8" t="s">
        <v>8712</v>
      </c>
      <c r="C2040" s="9" t="s">
        <v>8713</v>
      </c>
      <c r="D2040" s="10" t="str">
        <f>HYPERLINK("https://facebook.com/367089020688300_469630357100832", "367089020688300_469630357100832")</f>
        <v>367089020688300_469630357100832</v>
      </c>
      <c r="E2040" s="11">
        <v>879.0</v>
      </c>
      <c r="F2040" s="11">
        <v>9.0</v>
      </c>
      <c r="G2040" s="11">
        <v>757.0</v>
      </c>
      <c r="H2040" s="9" t="s">
        <v>26</v>
      </c>
      <c r="I2040" s="9" t="s">
        <v>8714</v>
      </c>
      <c r="J2040" s="9" t="s">
        <v>8715</v>
      </c>
      <c r="K2040" s="9" t="s">
        <v>249</v>
      </c>
      <c r="L2040" s="9" t="s">
        <v>30</v>
      </c>
      <c r="M2040" s="9" t="s">
        <v>31</v>
      </c>
      <c r="N2040" s="9" t="s">
        <v>32</v>
      </c>
      <c r="O2040" s="12" t="s">
        <v>33</v>
      </c>
      <c r="P2040" s="12" t="s">
        <v>34</v>
      </c>
      <c r="Q2040" s="9"/>
      <c r="R2040" s="18"/>
      <c r="S2040" s="18"/>
      <c r="T2040" s="18"/>
      <c r="U2040" s="18"/>
      <c r="V2040" s="18"/>
      <c r="W2040" s="15"/>
      <c r="X2040" s="15"/>
    </row>
    <row r="2041">
      <c r="A2041" s="7">
        <v>2040.0</v>
      </c>
      <c r="B2041" s="8" t="s">
        <v>8716</v>
      </c>
      <c r="C2041" s="9" t="s">
        <v>8717</v>
      </c>
      <c r="D2041" s="10" t="str">
        <f>HYPERLINK("https://facebook.com/367089020688300_542736226456911", "367089020688300_542736226456911")</f>
        <v>367089020688300_542736226456911</v>
      </c>
      <c r="E2041" s="11">
        <v>207.0</v>
      </c>
      <c r="F2041" s="11">
        <v>0.0</v>
      </c>
      <c r="G2041" s="11">
        <v>188.0</v>
      </c>
      <c r="H2041" s="9" t="s">
        <v>26</v>
      </c>
      <c r="I2041" s="9" t="s">
        <v>8718</v>
      </c>
      <c r="J2041" s="9" t="s">
        <v>8719</v>
      </c>
      <c r="K2041" s="9" t="s">
        <v>4717</v>
      </c>
      <c r="L2041" s="9" t="s">
        <v>30</v>
      </c>
      <c r="M2041" s="9" t="s">
        <v>31</v>
      </c>
      <c r="N2041" s="9" t="s">
        <v>32</v>
      </c>
      <c r="O2041" s="12" t="s">
        <v>33</v>
      </c>
      <c r="P2041" s="12" t="s">
        <v>34</v>
      </c>
      <c r="Q2041" s="9"/>
      <c r="R2041" s="18"/>
      <c r="S2041" s="18"/>
      <c r="T2041" s="18"/>
      <c r="U2041" s="18"/>
      <c r="V2041" s="18"/>
      <c r="W2041" s="15"/>
      <c r="X2041" s="15"/>
    </row>
    <row r="2042">
      <c r="A2042" s="7">
        <v>2041.0</v>
      </c>
      <c r="B2042" s="8" t="s">
        <v>8720</v>
      </c>
      <c r="C2042" s="9" t="s">
        <v>8721</v>
      </c>
      <c r="D2042" s="10" t="str">
        <f>HYPERLINK("https://facebook.com/367089020688300_466005050796696", "367089020688300_466005050796696")</f>
        <v>367089020688300_466005050796696</v>
      </c>
      <c r="E2042" s="11">
        <v>318.0</v>
      </c>
      <c r="F2042" s="11">
        <v>11.0</v>
      </c>
      <c r="G2042" s="11">
        <v>663.0</v>
      </c>
      <c r="H2042" s="9" t="s">
        <v>26</v>
      </c>
      <c r="I2042" s="9" t="s">
        <v>1104</v>
      </c>
      <c r="J2042" s="9" t="s">
        <v>8722</v>
      </c>
      <c r="K2042" s="9" t="s">
        <v>8723</v>
      </c>
      <c r="L2042" s="9" t="s">
        <v>30</v>
      </c>
      <c r="M2042" s="9" t="s">
        <v>31</v>
      </c>
      <c r="N2042" s="9" t="s">
        <v>32</v>
      </c>
      <c r="O2042" s="12" t="s">
        <v>33</v>
      </c>
      <c r="P2042" s="12" t="s">
        <v>34</v>
      </c>
      <c r="Q2042" s="9"/>
      <c r="R2042" s="18"/>
      <c r="S2042" s="18"/>
      <c r="T2042" s="18"/>
      <c r="U2042" s="18"/>
      <c r="V2042" s="18"/>
      <c r="W2042" s="15"/>
      <c r="X2042" s="15"/>
    </row>
    <row r="2043">
      <c r="A2043" s="7">
        <v>2042.0</v>
      </c>
      <c r="B2043" s="8" t="s">
        <v>8724</v>
      </c>
      <c r="C2043" s="9" t="s">
        <v>8725</v>
      </c>
      <c r="D2043" s="10" t="str">
        <f>HYPERLINK("https://facebook.com/367089020688300_512737879456746", "367089020688300_512737879456746")</f>
        <v>367089020688300_512737879456746</v>
      </c>
      <c r="E2043" s="11">
        <v>353.0</v>
      </c>
      <c r="F2043" s="11">
        <v>12.0</v>
      </c>
      <c r="G2043" s="11">
        <v>292.0</v>
      </c>
      <c r="H2043" s="9" t="s">
        <v>26</v>
      </c>
      <c r="I2043" s="9" t="s">
        <v>8726</v>
      </c>
      <c r="J2043" s="16" t="s">
        <v>8727</v>
      </c>
      <c r="K2043" s="9"/>
      <c r="L2043" s="9" t="s">
        <v>30</v>
      </c>
      <c r="M2043" s="9" t="s">
        <v>31</v>
      </c>
      <c r="N2043" s="9" t="s">
        <v>32</v>
      </c>
      <c r="O2043" s="12" t="s">
        <v>33</v>
      </c>
      <c r="P2043" s="12" t="s">
        <v>34</v>
      </c>
      <c r="Q2043" s="9"/>
      <c r="R2043" s="18"/>
      <c r="S2043" s="18"/>
      <c r="T2043" s="18"/>
      <c r="U2043" s="18"/>
      <c r="V2043" s="18"/>
      <c r="W2043" s="15"/>
      <c r="X2043" s="15"/>
    </row>
    <row r="2044">
      <c r="A2044" s="7">
        <v>2043.0</v>
      </c>
      <c r="B2044" s="8" t="s">
        <v>8728</v>
      </c>
      <c r="C2044" s="9" t="s">
        <v>8729</v>
      </c>
      <c r="D2044" s="10" t="str">
        <f>HYPERLINK("https://facebook.com/367089020688300_524749484922252", "367089020688300_524749484922252")</f>
        <v>367089020688300_524749484922252</v>
      </c>
      <c r="E2044" s="11">
        <v>245.0</v>
      </c>
      <c r="F2044" s="11">
        <v>1.0</v>
      </c>
      <c r="G2044" s="11">
        <v>156.0</v>
      </c>
      <c r="H2044" s="9" t="s">
        <v>26</v>
      </c>
      <c r="I2044" s="9" t="s">
        <v>8730</v>
      </c>
      <c r="J2044" s="16" t="s">
        <v>8731</v>
      </c>
      <c r="K2044" s="9"/>
      <c r="L2044" s="9" t="s">
        <v>30</v>
      </c>
      <c r="M2044" s="9" t="s">
        <v>31</v>
      </c>
      <c r="N2044" s="9" t="s">
        <v>32</v>
      </c>
      <c r="O2044" s="12" t="s">
        <v>33</v>
      </c>
      <c r="P2044" s="12" t="s">
        <v>34</v>
      </c>
      <c r="Q2044" s="9"/>
      <c r="R2044" s="18"/>
      <c r="S2044" s="18"/>
      <c r="T2044" s="18"/>
      <c r="U2044" s="18"/>
      <c r="V2044" s="18"/>
      <c r="W2044" s="15"/>
      <c r="X2044" s="15"/>
    </row>
    <row r="2045">
      <c r="A2045" s="7">
        <v>2044.0</v>
      </c>
      <c r="B2045" s="8" t="s">
        <v>8732</v>
      </c>
      <c r="C2045" s="9" t="s">
        <v>8733</v>
      </c>
      <c r="D2045" s="10" t="str">
        <f>HYPERLINK("https://facebook.com/367089020688300_553182478745619", "367089020688300_553182478745619")</f>
        <v>367089020688300_553182478745619</v>
      </c>
      <c r="E2045" s="11">
        <v>15.0</v>
      </c>
      <c r="F2045" s="11">
        <v>0.0</v>
      </c>
      <c r="G2045" s="11">
        <v>9.0</v>
      </c>
      <c r="H2045" s="9" t="s">
        <v>26</v>
      </c>
      <c r="I2045" s="9" t="s">
        <v>8734</v>
      </c>
      <c r="J2045" s="16" t="s">
        <v>8735</v>
      </c>
      <c r="K2045" s="9"/>
      <c r="L2045" s="9" t="s">
        <v>30</v>
      </c>
      <c r="M2045" s="9" t="s">
        <v>31</v>
      </c>
      <c r="N2045" s="9" t="s">
        <v>32</v>
      </c>
      <c r="O2045" s="12" t="s">
        <v>33</v>
      </c>
      <c r="P2045" s="12" t="s">
        <v>34</v>
      </c>
      <c r="Q2045" s="9"/>
      <c r="R2045" s="18"/>
      <c r="S2045" s="18"/>
      <c r="T2045" s="18"/>
      <c r="U2045" s="18"/>
      <c r="V2045" s="18"/>
      <c r="W2045" s="15"/>
      <c r="X2045" s="15"/>
    </row>
    <row r="2046">
      <c r="A2046" s="7">
        <v>2045.0</v>
      </c>
      <c r="B2046" s="8" t="s">
        <v>8736</v>
      </c>
      <c r="C2046" s="9" t="s">
        <v>8737</v>
      </c>
      <c r="D2046" s="10" t="str">
        <f>HYPERLINK("https://facebook.com/367089020688300_547031809360686", "367089020688300_547031809360686")</f>
        <v>367089020688300_547031809360686</v>
      </c>
      <c r="E2046" s="11">
        <v>82.0</v>
      </c>
      <c r="F2046" s="11">
        <v>2.0</v>
      </c>
      <c r="G2046" s="11">
        <v>163.0</v>
      </c>
      <c r="H2046" s="9" t="s">
        <v>26</v>
      </c>
      <c r="I2046" s="9" t="s">
        <v>8738</v>
      </c>
      <c r="J2046" s="16" t="s">
        <v>8739</v>
      </c>
      <c r="K2046" s="9"/>
      <c r="L2046" s="9" t="s">
        <v>30</v>
      </c>
      <c r="M2046" s="9" t="s">
        <v>31</v>
      </c>
      <c r="N2046" s="9" t="s">
        <v>32</v>
      </c>
      <c r="O2046" s="12" t="s">
        <v>33</v>
      </c>
      <c r="P2046" s="12" t="s">
        <v>34</v>
      </c>
      <c r="Q2046" s="9"/>
      <c r="R2046" s="18"/>
      <c r="S2046" s="18"/>
      <c r="T2046" s="18"/>
      <c r="U2046" s="18"/>
      <c r="V2046" s="18"/>
      <c r="W2046" s="15"/>
      <c r="X2046" s="15"/>
    </row>
    <row r="2047">
      <c r="A2047" s="7">
        <v>2046.0</v>
      </c>
      <c r="B2047" s="8" t="s">
        <v>8740</v>
      </c>
      <c r="C2047" s="9" t="s">
        <v>8741</v>
      </c>
      <c r="D2047" s="10" t="str">
        <f>HYPERLINK("https://facebook.com/367089020688300_531801444217056", "367089020688300_531801444217056")</f>
        <v>367089020688300_531801444217056</v>
      </c>
      <c r="E2047" s="11">
        <v>186.0</v>
      </c>
      <c r="F2047" s="11">
        <v>4.0</v>
      </c>
      <c r="G2047" s="11">
        <v>202.0</v>
      </c>
      <c r="H2047" s="9" t="s">
        <v>26</v>
      </c>
      <c r="I2047" s="9" t="s">
        <v>8742</v>
      </c>
      <c r="J2047" s="16" t="s">
        <v>8743</v>
      </c>
      <c r="K2047" s="9"/>
      <c r="L2047" s="9" t="s">
        <v>30</v>
      </c>
      <c r="M2047" s="9" t="s">
        <v>31</v>
      </c>
      <c r="N2047" s="9" t="s">
        <v>32</v>
      </c>
      <c r="O2047" s="12" t="s">
        <v>33</v>
      </c>
      <c r="P2047" s="12" t="s">
        <v>34</v>
      </c>
      <c r="Q2047" s="9"/>
      <c r="R2047" s="18"/>
      <c r="S2047" s="18"/>
      <c r="T2047" s="18"/>
      <c r="U2047" s="18"/>
      <c r="V2047" s="18"/>
      <c r="W2047" s="15"/>
      <c r="X2047" s="15"/>
    </row>
    <row r="2048">
      <c r="A2048" s="7">
        <v>2047.0</v>
      </c>
      <c r="B2048" s="8" t="s">
        <v>8744</v>
      </c>
      <c r="C2048" s="9" t="s">
        <v>8745</v>
      </c>
      <c r="D2048" s="10" t="str">
        <f>HYPERLINK("https://facebook.com/367089020688300_552616278802239", "367089020688300_552616278802239")</f>
        <v>367089020688300_552616278802239</v>
      </c>
      <c r="E2048" s="11">
        <v>6.0</v>
      </c>
      <c r="F2048" s="11">
        <v>0.0</v>
      </c>
      <c r="G2048" s="11">
        <v>12.0</v>
      </c>
      <c r="H2048" s="9" t="s">
        <v>26</v>
      </c>
      <c r="I2048" s="9" t="s">
        <v>7861</v>
      </c>
      <c r="J2048" s="16" t="s">
        <v>7862</v>
      </c>
      <c r="K2048" s="9"/>
      <c r="L2048" s="9" t="s">
        <v>30</v>
      </c>
      <c r="M2048" s="9" t="s">
        <v>31</v>
      </c>
      <c r="N2048" s="9" t="s">
        <v>32</v>
      </c>
      <c r="O2048" s="12" t="s">
        <v>33</v>
      </c>
      <c r="P2048" s="12" t="s">
        <v>34</v>
      </c>
      <c r="Q2048" s="9"/>
      <c r="R2048" s="18"/>
      <c r="S2048" s="18"/>
      <c r="T2048" s="18"/>
      <c r="U2048" s="18"/>
      <c r="V2048" s="18"/>
      <c r="W2048" s="15"/>
      <c r="X2048" s="15"/>
    </row>
    <row r="2049">
      <c r="A2049" s="7">
        <v>2048.0</v>
      </c>
      <c r="B2049" s="8" t="s">
        <v>8746</v>
      </c>
      <c r="C2049" s="9" t="s">
        <v>8747</v>
      </c>
      <c r="D2049" s="10" t="str">
        <f>HYPERLINK("https://facebook.com/367089020688300_544479289615938", "367089020688300_544479289615938")</f>
        <v>367089020688300_544479289615938</v>
      </c>
      <c r="E2049" s="11">
        <v>27.0</v>
      </c>
      <c r="F2049" s="11">
        <v>0.0</v>
      </c>
      <c r="G2049" s="11">
        <v>80.0</v>
      </c>
      <c r="H2049" s="9" t="s">
        <v>26</v>
      </c>
      <c r="I2049" s="9" t="s">
        <v>807</v>
      </c>
      <c r="J2049" s="16" t="s">
        <v>808</v>
      </c>
      <c r="K2049" s="9"/>
      <c r="L2049" s="9" t="s">
        <v>30</v>
      </c>
      <c r="M2049" s="9" t="s">
        <v>31</v>
      </c>
      <c r="N2049" s="9" t="s">
        <v>32</v>
      </c>
      <c r="O2049" s="12" t="s">
        <v>33</v>
      </c>
      <c r="P2049" s="12" t="s">
        <v>34</v>
      </c>
      <c r="Q2049" s="9"/>
      <c r="R2049" s="18"/>
      <c r="S2049" s="18"/>
      <c r="T2049" s="18"/>
      <c r="U2049" s="18"/>
      <c r="V2049" s="18"/>
      <c r="W2049" s="15"/>
      <c r="X2049" s="15"/>
    </row>
    <row r="2050">
      <c r="A2050" s="7">
        <v>2049.0</v>
      </c>
      <c r="B2050" s="8" t="s">
        <v>8748</v>
      </c>
      <c r="C2050" s="9" t="s">
        <v>8749</v>
      </c>
      <c r="D2050" s="10" t="str">
        <f>HYPERLINK("https://facebook.com/367089020688300_550710475659486", "367089020688300_550710475659486")</f>
        <v>367089020688300_550710475659486</v>
      </c>
      <c r="E2050" s="11">
        <v>353.0</v>
      </c>
      <c r="F2050" s="11">
        <v>7.0</v>
      </c>
      <c r="G2050" s="11">
        <v>509.0</v>
      </c>
      <c r="H2050" s="9" t="s">
        <v>26</v>
      </c>
      <c r="I2050" s="9" t="s">
        <v>8750</v>
      </c>
      <c r="J2050" s="9" t="s">
        <v>8751</v>
      </c>
      <c r="K2050" s="9" t="s">
        <v>8752</v>
      </c>
      <c r="L2050" s="9" t="s">
        <v>30</v>
      </c>
      <c r="M2050" s="9" t="s">
        <v>31</v>
      </c>
      <c r="N2050" s="9" t="s">
        <v>32</v>
      </c>
      <c r="O2050" s="12" t="s">
        <v>33</v>
      </c>
      <c r="P2050" s="12" t="s">
        <v>34</v>
      </c>
      <c r="Q2050" s="9"/>
      <c r="R2050" s="18"/>
      <c r="S2050" s="18"/>
      <c r="T2050" s="18"/>
      <c r="U2050" s="18"/>
      <c r="V2050" s="18"/>
      <c r="W2050" s="15"/>
      <c r="X2050" s="15"/>
    </row>
    <row r="2051">
      <c r="A2051" s="7">
        <v>2050.0</v>
      </c>
      <c r="B2051" s="8" t="s">
        <v>8753</v>
      </c>
      <c r="C2051" s="9" t="s">
        <v>8754</v>
      </c>
      <c r="D2051" s="10" t="str">
        <f>HYPERLINK("https://facebook.com/367089020688300_539705656759968", "367089020688300_539705656759968")</f>
        <v>367089020688300_539705656759968</v>
      </c>
      <c r="E2051" s="11">
        <v>108.0</v>
      </c>
      <c r="F2051" s="11">
        <v>0.0</v>
      </c>
      <c r="G2051" s="11">
        <v>124.0</v>
      </c>
      <c r="H2051" s="9" t="s">
        <v>26</v>
      </c>
      <c r="I2051" s="9" t="s">
        <v>8755</v>
      </c>
      <c r="J2051" s="16" t="s">
        <v>8756</v>
      </c>
      <c r="K2051" s="9"/>
      <c r="L2051" s="9" t="s">
        <v>30</v>
      </c>
      <c r="M2051" s="9" t="s">
        <v>31</v>
      </c>
      <c r="N2051" s="9" t="s">
        <v>32</v>
      </c>
      <c r="O2051" s="12" t="s">
        <v>33</v>
      </c>
      <c r="P2051" s="12" t="s">
        <v>34</v>
      </c>
      <c r="Q2051" s="9"/>
      <c r="R2051" s="18"/>
      <c r="S2051" s="18"/>
      <c r="T2051" s="18"/>
      <c r="U2051" s="18"/>
      <c r="V2051" s="18"/>
      <c r="W2051" s="15"/>
      <c r="X2051" s="15"/>
    </row>
    <row r="2052">
      <c r="A2052" s="7">
        <v>2051.0</v>
      </c>
      <c r="B2052" s="8" t="s">
        <v>8757</v>
      </c>
      <c r="C2052" s="9" t="s">
        <v>8758</v>
      </c>
      <c r="D2052" s="10" t="str">
        <f>HYPERLINK("https://facebook.com/367089020688300_562789244451609", "367089020688300_562789244451609")</f>
        <v>367089020688300_562789244451609</v>
      </c>
      <c r="E2052" s="11">
        <v>774.0</v>
      </c>
      <c r="F2052" s="11">
        <v>84.0</v>
      </c>
      <c r="G2052" s="11">
        <v>543.0</v>
      </c>
      <c r="H2052" s="9" t="s">
        <v>26</v>
      </c>
      <c r="I2052" s="9" t="s">
        <v>8759</v>
      </c>
      <c r="J2052" s="9" t="s">
        <v>8760</v>
      </c>
      <c r="K2052" s="9" t="s">
        <v>8761</v>
      </c>
      <c r="L2052" s="9" t="s">
        <v>30</v>
      </c>
      <c r="M2052" s="9" t="s">
        <v>31</v>
      </c>
      <c r="N2052" s="9" t="s">
        <v>32</v>
      </c>
      <c r="O2052" s="12" t="s">
        <v>33</v>
      </c>
      <c r="P2052" s="12" t="s">
        <v>34</v>
      </c>
      <c r="Q2052" s="9"/>
      <c r="R2052" s="18"/>
      <c r="S2052" s="18"/>
      <c r="T2052" s="18"/>
      <c r="U2052" s="18"/>
      <c r="V2052" s="18"/>
      <c r="W2052" s="15"/>
      <c r="X2052" s="15"/>
    </row>
    <row r="2053">
      <c r="A2053" s="7">
        <v>2052.0</v>
      </c>
      <c r="B2053" s="8" t="s">
        <v>8762</v>
      </c>
      <c r="C2053" s="9" t="s">
        <v>8763</v>
      </c>
      <c r="D2053" s="10" t="str">
        <f>HYPERLINK("https://facebook.com/367089020688300_474220579975143", "367089020688300_474220579975143")</f>
        <v>367089020688300_474220579975143</v>
      </c>
      <c r="E2053" s="11">
        <v>1886.0</v>
      </c>
      <c r="F2053" s="11">
        <v>185.0</v>
      </c>
      <c r="G2053" s="11">
        <v>1264.0</v>
      </c>
      <c r="H2053" s="9" t="s">
        <v>26</v>
      </c>
      <c r="I2053" s="9" t="s">
        <v>8764</v>
      </c>
      <c r="J2053" s="9" t="s">
        <v>8765</v>
      </c>
      <c r="K2053" s="9" t="s">
        <v>8766</v>
      </c>
      <c r="L2053" s="9" t="s">
        <v>30</v>
      </c>
      <c r="M2053" s="9" t="s">
        <v>31</v>
      </c>
      <c r="N2053" s="9" t="s">
        <v>32</v>
      </c>
      <c r="O2053" s="12" t="s">
        <v>33</v>
      </c>
      <c r="P2053" s="12" t="s">
        <v>34</v>
      </c>
      <c r="Q2053" s="9"/>
      <c r="R2053" s="18"/>
      <c r="S2053" s="18"/>
      <c r="T2053" s="18"/>
      <c r="U2053" s="18"/>
      <c r="V2053" s="18"/>
      <c r="W2053" s="15"/>
      <c r="X2053" s="15"/>
    </row>
    <row r="2054">
      <c r="A2054" s="7">
        <v>2053.0</v>
      </c>
      <c r="B2054" s="8" t="s">
        <v>8767</v>
      </c>
      <c r="C2054" s="9" t="s">
        <v>8768</v>
      </c>
      <c r="D2054" s="10" t="str">
        <f>HYPERLINK("https://facebook.com/367089020688300_471367023593832", "367089020688300_471367023593832")</f>
        <v>367089020688300_471367023593832</v>
      </c>
      <c r="E2054" s="11">
        <v>917.0</v>
      </c>
      <c r="F2054" s="11">
        <v>49.0</v>
      </c>
      <c r="G2054" s="11">
        <v>880.0</v>
      </c>
      <c r="H2054" s="9" t="s">
        <v>26</v>
      </c>
      <c r="I2054" s="9" t="s">
        <v>8769</v>
      </c>
      <c r="J2054" s="9" t="s">
        <v>8770</v>
      </c>
      <c r="K2054" s="9" t="s">
        <v>51</v>
      </c>
      <c r="L2054" s="9" t="s">
        <v>30</v>
      </c>
      <c r="M2054" s="9" t="s">
        <v>31</v>
      </c>
      <c r="N2054" s="9" t="s">
        <v>32</v>
      </c>
      <c r="O2054" s="12" t="s">
        <v>33</v>
      </c>
      <c r="P2054" s="12" t="s">
        <v>34</v>
      </c>
      <c r="Q2054" s="9"/>
      <c r="R2054" s="18"/>
      <c r="S2054" s="18"/>
      <c r="T2054" s="18"/>
      <c r="U2054" s="18"/>
      <c r="V2054" s="18"/>
      <c r="W2054" s="15"/>
      <c r="X2054" s="15"/>
    </row>
    <row r="2055">
      <c r="A2055" s="7">
        <v>2054.0</v>
      </c>
      <c r="B2055" s="8" t="s">
        <v>8771</v>
      </c>
      <c r="C2055" s="9" t="s">
        <v>8772</v>
      </c>
      <c r="D2055" s="10" t="str">
        <f>HYPERLINK("https://facebook.com/367089020688300_457597418304126", "367089020688300_457597418304126")</f>
        <v>367089020688300_457597418304126</v>
      </c>
      <c r="E2055" s="11">
        <v>403.0</v>
      </c>
      <c r="F2055" s="11">
        <v>12.0</v>
      </c>
      <c r="G2055" s="11">
        <v>217.0</v>
      </c>
      <c r="H2055" s="9" t="s">
        <v>26</v>
      </c>
      <c r="I2055" s="9" t="s">
        <v>8773</v>
      </c>
      <c r="J2055" s="9" t="s">
        <v>8774</v>
      </c>
      <c r="K2055" s="9" t="s">
        <v>8775</v>
      </c>
      <c r="L2055" s="9" t="s">
        <v>30</v>
      </c>
      <c r="M2055" s="9" t="s">
        <v>31</v>
      </c>
      <c r="N2055" s="9" t="s">
        <v>32</v>
      </c>
      <c r="O2055" s="12" t="s">
        <v>33</v>
      </c>
      <c r="P2055" s="12" t="s">
        <v>34</v>
      </c>
      <c r="Q2055" s="9"/>
      <c r="R2055" s="18"/>
      <c r="S2055" s="18"/>
      <c r="T2055" s="18"/>
      <c r="U2055" s="18"/>
      <c r="V2055" s="18"/>
      <c r="W2055" s="15"/>
      <c r="X2055" s="15"/>
    </row>
    <row r="2056">
      <c r="A2056" s="7">
        <v>2055.0</v>
      </c>
      <c r="B2056" s="8" t="s">
        <v>8776</v>
      </c>
      <c r="C2056" s="9" t="s">
        <v>8777</v>
      </c>
      <c r="D2056" s="10" t="str">
        <f>HYPERLINK("https://facebook.com/367089020688300_548598959203971", "367089020688300_548598959203971")</f>
        <v>367089020688300_548598959203971</v>
      </c>
      <c r="E2056" s="11">
        <v>150.0</v>
      </c>
      <c r="F2056" s="11">
        <v>0.0</v>
      </c>
      <c r="G2056" s="11">
        <v>73.0</v>
      </c>
      <c r="H2056" s="9" t="s">
        <v>26</v>
      </c>
      <c r="I2056" s="9" t="s">
        <v>8778</v>
      </c>
      <c r="J2056" s="16" t="s">
        <v>8779</v>
      </c>
      <c r="K2056" s="9"/>
      <c r="L2056" s="9" t="s">
        <v>30</v>
      </c>
      <c r="M2056" s="9" t="s">
        <v>31</v>
      </c>
      <c r="N2056" s="9" t="s">
        <v>32</v>
      </c>
      <c r="O2056" s="12" t="s">
        <v>33</v>
      </c>
      <c r="P2056" s="12" t="s">
        <v>34</v>
      </c>
      <c r="Q2056" s="9"/>
      <c r="R2056" s="18"/>
      <c r="S2056" s="18"/>
      <c r="T2056" s="18"/>
      <c r="U2056" s="18"/>
      <c r="V2056" s="18"/>
      <c r="W2056" s="15"/>
      <c r="X2056" s="15"/>
    </row>
    <row r="2057">
      <c r="A2057" s="7">
        <v>2056.0</v>
      </c>
      <c r="B2057" s="8" t="s">
        <v>8780</v>
      </c>
      <c r="C2057" s="9" t="s">
        <v>8781</v>
      </c>
      <c r="D2057" s="10" t="str">
        <f>HYPERLINK("https://facebook.com/367089020688300_540617793335421", "367089020688300_540617793335421")</f>
        <v>367089020688300_540617793335421</v>
      </c>
      <c r="E2057" s="11">
        <v>24.0</v>
      </c>
      <c r="F2057" s="11">
        <v>0.0</v>
      </c>
      <c r="G2057" s="11">
        <v>9.0</v>
      </c>
      <c r="H2057" s="9" t="s">
        <v>26</v>
      </c>
      <c r="I2057" s="9" t="s">
        <v>8782</v>
      </c>
      <c r="J2057" s="9" t="s">
        <v>8783</v>
      </c>
      <c r="K2057" s="9" t="s">
        <v>8784</v>
      </c>
      <c r="L2057" s="9" t="s">
        <v>30</v>
      </c>
      <c r="M2057" s="9" t="s">
        <v>31</v>
      </c>
      <c r="N2057" s="9" t="s">
        <v>32</v>
      </c>
      <c r="O2057" s="12" t="s">
        <v>33</v>
      </c>
      <c r="P2057" s="12" t="s">
        <v>34</v>
      </c>
      <c r="Q2057" s="9"/>
      <c r="R2057" s="18"/>
      <c r="S2057" s="18"/>
      <c r="T2057" s="18"/>
      <c r="U2057" s="18"/>
      <c r="V2057" s="18"/>
      <c r="W2057" s="15"/>
      <c r="X2057" s="15"/>
    </row>
    <row r="2058">
      <c r="A2058" s="7">
        <v>2057.0</v>
      </c>
      <c r="B2058" s="8" t="s">
        <v>8785</v>
      </c>
      <c r="C2058" s="9" t="s">
        <v>8786</v>
      </c>
      <c r="D2058" s="10" t="str">
        <f>HYPERLINK("https://facebook.com/367089020688300_505314026865798", "367089020688300_505314026865798")</f>
        <v>367089020688300_505314026865798</v>
      </c>
      <c r="E2058" s="11">
        <v>159.0</v>
      </c>
      <c r="F2058" s="11">
        <v>10.0</v>
      </c>
      <c r="G2058" s="11">
        <v>321.0</v>
      </c>
      <c r="H2058" s="9" t="s">
        <v>26</v>
      </c>
      <c r="I2058" s="9" t="s">
        <v>8787</v>
      </c>
      <c r="J2058" s="9" t="s">
        <v>8788</v>
      </c>
      <c r="K2058" s="9" t="s">
        <v>8789</v>
      </c>
      <c r="L2058" s="9" t="s">
        <v>30</v>
      </c>
      <c r="M2058" s="9" t="s">
        <v>31</v>
      </c>
      <c r="N2058" s="9" t="s">
        <v>32</v>
      </c>
      <c r="O2058" s="12" t="s">
        <v>33</v>
      </c>
      <c r="P2058" s="12" t="s">
        <v>34</v>
      </c>
      <c r="Q2058" s="9"/>
      <c r="R2058" s="18"/>
      <c r="S2058" s="18"/>
      <c r="T2058" s="18"/>
      <c r="U2058" s="18"/>
      <c r="V2058" s="18"/>
      <c r="W2058" s="15"/>
      <c r="X2058" s="15"/>
    </row>
    <row r="2059">
      <c r="A2059" s="7">
        <v>2058.0</v>
      </c>
      <c r="B2059" s="8" t="s">
        <v>8790</v>
      </c>
      <c r="C2059" s="9" t="s">
        <v>8791</v>
      </c>
      <c r="D2059" s="10" t="str">
        <f>HYPERLINK("https://facebook.com/367089020688300_545145222882678", "367089020688300_545145222882678")</f>
        <v>367089020688300_545145222882678</v>
      </c>
      <c r="E2059" s="11">
        <v>27.0</v>
      </c>
      <c r="F2059" s="11">
        <v>0.0</v>
      </c>
      <c r="G2059" s="11">
        <v>10.0</v>
      </c>
      <c r="H2059" s="9" t="s">
        <v>26</v>
      </c>
      <c r="I2059" s="9" t="s">
        <v>98</v>
      </c>
      <c r="J2059" s="16" t="s">
        <v>99</v>
      </c>
      <c r="K2059" s="9"/>
      <c r="L2059" s="9" t="s">
        <v>30</v>
      </c>
      <c r="M2059" s="9" t="s">
        <v>31</v>
      </c>
      <c r="N2059" s="9" t="s">
        <v>32</v>
      </c>
      <c r="O2059" s="12" t="s">
        <v>33</v>
      </c>
      <c r="P2059" s="12" t="s">
        <v>34</v>
      </c>
      <c r="Q2059" s="9"/>
      <c r="R2059" s="18"/>
      <c r="S2059" s="18"/>
      <c r="T2059" s="18"/>
      <c r="U2059" s="18"/>
      <c r="V2059" s="18"/>
      <c r="W2059" s="15"/>
      <c r="X2059" s="15"/>
    </row>
    <row r="2060">
      <c r="A2060" s="7">
        <v>2059.0</v>
      </c>
      <c r="B2060" s="8" t="s">
        <v>8792</v>
      </c>
      <c r="C2060" s="9" t="s">
        <v>8793</v>
      </c>
      <c r="D2060" s="10" t="str">
        <f>HYPERLINK("https://facebook.com/367089020688300_450070155723519", "367089020688300_450070155723519")</f>
        <v>367089020688300_450070155723519</v>
      </c>
      <c r="E2060" s="11">
        <v>1586.0</v>
      </c>
      <c r="F2060" s="11">
        <v>82.0</v>
      </c>
      <c r="G2060" s="11">
        <v>1375.0</v>
      </c>
      <c r="H2060" s="9" t="s">
        <v>26</v>
      </c>
      <c r="I2060" s="9" t="s">
        <v>8794</v>
      </c>
      <c r="J2060" s="9" t="s">
        <v>8795</v>
      </c>
      <c r="K2060" s="9" t="s">
        <v>8796</v>
      </c>
      <c r="L2060" s="9" t="s">
        <v>30</v>
      </c>
      <c r="M2060" s="9" t="s">
        <v>31</v>
      </c>
      <c r="N2060" s="9" t="s">
        <v>32</v>
      </c>
      <c r="O2060" s="12" t="s">
        <v>33</v>
      </c>
      <c r="P2060" s="12" t="s">
        <v>34</v>
      </c>
      <c r="Q2060" s="9"/>
      <c r="R2060" s="18"/>
      <c r="S2060" s="18"/>
      <c r="T2060" s="18"/>
      <c r="U2060" s="18"/>
      <c r="V2060" s="18"/>
      <c r="W2060" s="15"/>
      <c r="X2060" s="15"/>
    </row>
    <row r="2061">
      <c r="A2061" s="7">
        <v>2060.0</v>
      </c>
      <c r="B2061" s="8" t="s">
        <v>8797</v>
      </c>
      <c r="C2061" s="9" t="s">
        <v>8798</v>
      </c>
      <c r="D2061" s="10" t="str">
        <f>HYPERLINK("https://facebook.com/367089020688300_531931650870702", "367089020688300_531931650870702")</f>
        <v>367089020688300_531931650870702</v>
      </c>
      <c r="E2061" s="11">
        <v>613.0</v>
      </c>
      <c r="F2061" s="11">
        <v>9.0</v>
      </c>
      <c r="G2061" s="11">
        <v>725.0</v>
      </c>
      <c r="H2061" s="9" t="s">
        <v>26</v>
      </c>
      <c r="I2061" s="9" t="s">
        <v>3048</v>
      </c>
      <c r="J2061" s="9" t="s">
        <v>3049</v>
      </c>
      <c r="K2061" s="9" t="s">
        <v>8799</v>
      </c>
      <c r="L2061" s="9" t="s">
        <v>30</v>
      </c>
      <c r="M2061" s="9" t="s">
        <v>31</v>
      </c>
      <c r="N2061" s="9" t="s">
        <v>32</v>
      </c>
      <c r="O2061" s="12" t="s">
        <v>33</v>
      </c>
      <c r="P2061" s="12" t="s">
        <v>34</v>
      </c>
      <c r="Q2061" s="9"/>
      <c r="R2061" s="18"/>
      <c r="S2061" s="18"/>
      <c r="T2061" s="18"/>
      <c r="U2061" s="18"/>
      <c r="V2061" s="18"/>
      <c r="W2061" s="15"/>
      <c r="X2061" s="15"/>
    </row>
    <row r="2062">
      <c r="A2062" s="7">
        <v>2061.0</v>
      </c>
      <c r="B2062" s="8" t="s">
        <v>8800</v>
      </c>
      <c r="C2062" s="9" t="s">
        <v>8801</v>
      </c>
      <c r="D2062" s="10" t="str">
        <f>HYPERLINK("https://facebook.com/367089020688300_401855140545021", "367089020688300_401855140545021")</f>
        <v>367089020688300_401855140545021</v>
      </c>
      <c r="E2062" s="11">
        <v>907.0</v>
      </c>
      <c r="F2062" s="11">
        <v>42.0</v>
      </c>
      <c r="G2062" s="11">
        <v>915.0</v>
      </c>
      <c r="H2062" s="9" t="s">
        <v>26</v>
      </c>
      <c r="I2062" s="9" t="s">
        <v>8802</v>
      </c>
      <c r="J2062" s="9" t="s">
        <v>8803</v>
      </c>
      <c r="K2062" s="9" t="s">
        <v>8804</v>
      </c>
      <c r="L2062" s="9" t="s">
        <v>30</v>
      </c>
      <c r="M2062" s="9" t="s">
        <v>31</v>
      </c>
      <c r="N2062" s="9" t="s">
        <v>32</v>
      </c>
      <c r="O2062" s="12" t="s">
        <v>33</v>
      </c>
      <c r="P2062" s="12" t="s">
        <v>34</v>
      </c>
      <c r="Q2062" s="9"/>
      <c r="R2062" s="18"/>
      <c r="S2062" s="18"/>
      <c r="T2062" s="18"/>
      <c r="U2062" s="18"/>
      <c r="V2062" s="18"/>
      <c r="W2062" s="15"/>
      <c r="X2062" s="15"/>
    </row>
    <row r="2063">
      <c r="A2063" s="7">
        <v>2062.0</v>
      </c>
      <c r="B2063" s="8" t="s">
        <v>8805</v>
      </c>
      <c r="C2063" s="9" t="s">
        <v>8806</v>
      </c>
      <c r="D2063" s="10" t="str">
        <f>HYPERLINK("https://facebook.com/367089020688300_509805973083270", "367089020688300_509805973083270")</f>
        <v>367089020688300_509805973083270</v>
      </c>
      <c r="E2063" s="11">
        <v>175.0</v>
      </c>
      <c r="F2063" s="11">
        <v>6.0</v>
      </c>
      <c r="G2063" s="11">
        <v>294.0</v>
      </c>
      <c r="H2063" s="9" t="s">
        <v>26</v>
      </c>
      <c r="I2063" s="9" t="s">
        <v>8807</v>
      </c>
      <c r="J2063" s="9" t="s">
        <v>8808</v>
      </c>
      <c r="K2063" s="9" t="s">
        <v>8809</v>
      </c>
      <c r="L2063" s="9" t="s">
        <v>30</v>
      </c>
      <c r="M2063" s="9" t="s">
        <v>31</v>
      </c>
      <c r="N2063" s="9" t="s">
        <v>32</v>
      </c>
      <c r="O2063" s="12" t="s">
        <v>33</v>
      </c>
      <c r="P2063" s="12" t="s">
        <v>34</v>
      </c>
      <c r="Q2063" s="9"/>
      <c r="R2063" s="18"/>
      <c r="S2063" s="18"/>
      <c r="T2063" s="18"/>
      <c r="U2063" s="18"/>
      <c r="V2063" s="18"/>
      <c r="W2063" s="15"/>
      <c r="X2063" s="15"/>
    </row>
    <row r="2064">
      <c r="A2064" s="7">
        <v>2063.0</v>
      </c>
      <c r="B2064" s="8" t="s">
        <v>8810</v>
      </c>
      <c r="C2064" s="9" t="s">
        <v>8811</v>
      </c>
      <c r="D2064" s="10" t="str">
        <f>HYPERLINK("https://facebook.com/367089020688300_546721392725061", "367089020688300_546721392725061")</f>
        <v>367089020688300_546721392725061</v>
      </c>
      <c r="E2064" s="11">
        <v>784.0</v>
      </c>
      <c r="F2064" s="11">
        <v>38.0</v>
      </c>
      <c r="G2064" s="11">
        <v>1027.0</v>
      </c>
      <c r="H2064" s="9" t="s">
        <v>26</v>
      </c>
      <c r="I2064" s="9" t="s">
        <v>8812</v>
      </c>
      <c r="J2064" s="9" t="s">
        <v>8813</v>
      </c>
      <c r="K2064" s="9" t="s">
        <v>8814</v>
      </c>
      <c r="L2064" s="9" t="s">
        <v>30</v>
      </c>
      <c r="M2064" s="9" t="s">
        <v>31</v>
      </c>
      <c r="N2064" s="9" t="s">
        <v>32</v>
      </c>
      <c r="O2064" s="12" t="s">
        <v>33</v>
      </c>
      <c r="P2064" s="12" t="s">
        <v>34</v>
      </c>
      <c r="Q2064" s="9"/>
      <c r="R2064" s="18"/>
      <c r="S2064" s="18"/>
      <c r="T2064" s="18"/>
      <c r="U2064" s="18"/>
      <c r="V2064" s="18"/>
      <c r="W2064" s="15"/>
      <c r="X2064" s="15"/>
    </row>
    <row r="2065">
      <c r="A2065" s="7">
        <v>2064.0</v>
      </c>
      <c r="B2065" s="8" t="s">
        <v>8815</v>
      </c>
      <c r="C2065" s="9" t="s">
        <v>8816</v>
      </c>
      <c r="D2065" s="10" t="str">
        <f>HYPERLINK("https://facebook.com/367089020688300_549482402448960", "367089020688300_549482402448960")</f>
        <v>367089020688300_549482402448960</v>
      </c>
      <c r="E2065" s="11">
        <v>87.0</v>
      </c>
      <c r="F2065" s="11">
        <v>1.0</v>
      </c>
      <c r="G2065" s="11">
        <v>64.0</v>
      </c>
      <c r="H2065" s="9" t="s">
        <v>26</v>
      </c>
      <c r="I2065" s="9" t="s">
        <v>8817</v>
      </c>
      <c r="J2065" s="9" t="s">
        <v>8818</v>
      </c>
      <c r="K2065" s="9" t="s">
        <v>8819</v>
      </c>
      <c r="L2065" s="9" t="s">
        <v>30</v>
      </c>
      <c r="M2065" s="9" t="s">
        <v>31</v>
      </c>
      <c r="N2065" s="9" t="s">
        <v>32</v>
      </c>
      <c r="O2065" s="12" t="s">
        <v>33</v>
      </c>
      <c r="P2065" s="12" t="s">
        <v>34</v>
      </c>
      <c r="Q2065" s="9"/>
      <c r="R2065" s="18"/>
      <c r="S2065" s="18"/>
      <c r="T2065" s="18"/>
      <c r="U2065" s="18"/>
      <c r="V2065" s="18"/>
      <c r="W2065" s="15"/>
      <c r="X2065" s="15"/>
    </row>
    <row r="2066">
      <c r="A2066" s="7">
        <v>2065.0</v>
      </c>
      <c r="B2066" s="8" t="s">
        <v>8820</v>
      </c>
      <c r="C2066" s="9" t="s">
        <v>8821</v>
      </c>
      <c r="D2066" s="10" t="str">
        <f>HYPERLINK("https://facebook.com/367089020688300_540521046678429", "367089020688300_540521046678429")</f>
        <v>367089020688300_540521046678429</v>
      </c>
      <c r="E2066" s="11">
        <v>13.0</v>
      </c>
      <c r="F2066" s="11">
        <v>0.0</v>
      </c>
      <c r="G2066" s="11">
        <v>7.0</v>
      </c>
      <c r="H2066" s="9" t="s">
        <v>26</v>
      </c>
      <c r="I2066" s="9" t="s">
        <v>8822</v>
      </c>
      <c r="J2066" s="16" t="s">
        <v>8823</v>
      </c>
      <c r="K2066" s="9"/>
      <c r="L2066" s="9" t="s">
        <v>30</v>
      </c>
      <c r="M2066" s="9" t="s">
        <v>31</v>
      </c>
      <c r="N2066" s="9" t="s">
        <v>32</v>
      </c>
      <c r="O2066" s="12" t="s">
        <v>33</v>
      </c>
      <c r="P2066" s="12" t="s">
        <v>34</v>
      </c>
      <c r="Q2066" s="9"/>
      <c r="R2066" s="18"/>
      <c r="S2066" s="18"/>
      <c r="T2066" s="18"/>
      <c r="U2066" s="18"/>
      <c r="V2066" s="18"/>
      <c r="W2066" s="15"/>
      <c r="X2066" s="15"/>
    </row>
    <row r="2067">
      <c r="A2067" s="7">
        <v>2066.0</v>
      </c>
      <c r="B2067" s="8" t="s">
        <v>8824</v>
      </c>
      <c r="C2067" s="9" t="s">
        <v>8825</v>
      </c>
      <c r="D2067" s="10" t="str">
        <f>HYPERLINK("https://facebook.com/367089020688300_505001420230392", "367089020688300_505001420230392")</f>
        <v>367089020688300_505001420230392</v>
      </c>
      <c r="E2067" s="11">
        <v>523.0</v>
      </c>
      <c r="F2067" s="11">
        <v>29.0</v>
      </c>
      <c r="G2067" s="11">
        <v>554.0</v>
      </c>
      <c r="H2067" s="9" t="s">
        <v>26</v>
      </c>
      <c r="I2067" s="9" t="s">
        <v>7236</v>
      </c>
      <c r="J2067" s="9" t="s">
        <v>7237</v>
      </c>
      <c r="K2067" s="9" t="s">
        <v>8826</v>
      </c>
      <c r="L2067" s="9" t="s">
        <v>30</v>
      </c>
      <c r="M2067" s="9" t="s">
        <v>31</v>
      </c>
      <c r="N2067" s="9" t="s">
        <v>32</v>
      </c>
      <c r="O2067" s="12" t="s">
        <v>33</v>
      </c>
      <c r="P2067" s="12" t="s">
        <v>34</v>
      </c>
      <c r="Q2067" s="9"/>
      <c r="R2067" s="18"/>
      <c r="S2067" s="18"/>
      <c r="T2067" s="18"/>
      <c r="U2067" s="18"/>
      <c r="V2067" s="18"/>
      <c r="W2067" s="15"/>
      <c r="X2067" s="15"/>
    </row>
    <row r="2068">
      <c r="A2068" s="7">
        <v>2067.0</v>
      </c>
      <c r="B2068" s="8" t="s">
        <v>8827</v>
      </c>
      <c r="C2068" s="9" t="s">
        <v>8828</v>
      </c>
      <c r="D2068" s="10" t="str">
        <f>HYPERLINK("https://facebook.com/367089020688300_529109074486293", "367089020688300_529109074486293")</f>
        <v>367089020688300_529109074486293</v>
      </c>
      <c r="E2068" s="11">
        <v>378.0</v>
      </c>
      <c r="F2068" s="11">
        <v>5.0</v>
      </c>
      <c r="G2068" s="11">
        <v>622.0</v>
      </c>
      <c r="H2068" s="9" t="s">
        <v>26</v>
      </c>
      <c r="I2068" s="9" t="s">
        <v>8829</v>
      </c>
      <c r="J2068" s="9" t="s">
        <v>8830</v>
      </c>
      <c r="K2068" s="9" t="s">
        <v>2556</v>
      </c>
      <c r="L2068" s="9" t="s">
        <v>30</v>
      </c>
      <c r="M2068" s="9" t="s">
        <v>31</v>
      </c>
      <c r="N2068" s="9" t="s">
        <v>32</v>
      </c>
      <c r="O2068" s="12" t="s">
        <v>33</v>
      </c>
      <c r="P2068" s="12" t="s">
        <v>34</v>
      </c>
      <c r="Q2068" s="9"/>
      <c r="R2068" s="18"/>
      <c r="S2068" s="18"/>
      <c r="T2068" s="18"/>
      <c r="U2068" s="18"/>
      <c r="V2068" s="18"/>
      <c r="W2068" s="15"/>
      <c r="X2068" s="15"/>
    </row>
    <row r="2069">
      <c r="A2069" s="7">
        <v>2068.0</v>
      </c>
      <c r="B2069" s="8" t="s">
        <v>8831</v>
      </c>
      <c r="C2069" s="9" t="s">
        <v>8832</v>
      </c>
      <c r="D2069" s="10" t="str">
        <f>HYPERLINK("https://facebook.com/367089020688300_536999410363926", "367089020688300_536999410363926")</f>
        <v>367089020688300_536999410363926</v>
      </c>
      <c r="E2069" s="11">
        <v>171.0</v>
      </c>
      <c r="F2069" s="11">
        <v>2.0</v>
      </c>
      <c r="G2069" s="11">
        <v>59.0</v>
      </c>
      <c r="H2069" s="9" t="s">
        <v>26</v>
      </c>
      <c r="I2069" s="9" t="s">
        <v>8833</v>
      </c>
      <c r="J2069" s="9" t="s">
        <v>8834</v>
      </c>
      <c r="K2069" s="9" t="s">
        <v>8835</v>
      </c>
      <c r="L2069" s="9" t="s">
        <v>30</v>
      </c>
      <c r="M2069" s="9" t="s">
        <v>31</v>
      </c>
      <c r="N2069" s="9" t="s">
        <v>32</v>
      </c>
      <c r="O2069" s="12" t="s">
        <v>33</v>
      </c>
      <c r="P2069" s="12" t="s">
        <v>34</v>
      </c>
      <c r="Q2069" s="9"/>
      <c r="R2069" s="18"/>
      <c r="S2069" s="18"/>
      <c r="T2069" s="18"/>
      <c r="U2069" s="18"/>
      <c r="V2069" s="18"/>
      <c r="W2069" s="15"/>
      <c r="X2069" s="15"/>
    </row>
    <row r="2070">
      <c r="A2070" s="7">
        <v>2069.0</v>
      </c>
      <c r="B2070" s="8" t="s">
        <v>8836</v>
      </c>
      <c r="C2070" s="9" t="s">
        <v>8837</v>
      </c>
      <c r="D2070" s="10" t="str">
        <f>HYPERLINK("https://facebook.com/367089020688300_538785240185343", "367089020688300_538785240185343")</f>
        <v>367089020688300_538785240185343</v>
      </c>
      <c r="E2070" s="11">
        <v>45.0</v>
      </c>
      <c r="F2070" s="11">
        <v>0.0</v>
      </c>
      <c r="G2070" s="11">
        <v>33.0</v>
      </c>
      <c r="H2070" s="9" t="s">
        <v>26</v>
      </c>
      <c r="I2070" s="9" t="s">
        <v>8838</v>
      </c>
      <c r="J2070" s="9" t="s">
        <v>8839</v>
      </c>
      <c r="K2070" s="9" t="s">
        <v>249</v>
      </c>
      <c r="L2070" s="9" t="s">
        <v>30</v>
      </c>
      <c r="M2070" s="9" t="s">
        <v>31</v>
      </c>
      <c r="N2070" s="9" t="s">
        <v>32</v>
      </c>
      <c r="O2070" s="12" t="s">
        <v>33</v>
      </c>
      <c r="P2070" s="12" t="s">
        <v>34</v>
      </c>
      <c r="Q2070" s="9"/>
      <c r="R2070" s="18"/>
      <c r="S2070" s="18"/>
      <c r="T2070" s="18"/>
      <c r="U2070" s="18"/>
      <c r="V2070" s="18"/>
      <c r="W2070" s="15"/>
      <c r="X2070" s="15"/>
    </row>
    <row r="2071">
      <c r="A2071" s="7">
        <v>2070.0</v>
      </c>
      <c r="B2071" s="8" t="s">
        <v>8840</v>
      </c>
      <c r="C2071" s="9" t="s">
        <v>8841</v>
      </c>
      <c r="D2071" s="10" t="str">
        <f>HYPERLINK("https://facebook.com/367089020688300_551246112272589", "367089020688300_551246112272589")</f>
        <v>367089020688300_551246112272589</v>
      </c>
      <c r="E2071" s="11">
        <v>481.0</v>
      </c>
      <c r="F2071" s="11">
        <v>14.0</v>
      </c>
      <c r="G2071" s="11">
        <v>165.0</v>
      </c>
      <c r="H2071" s="9" t="s">
        <v>26</v>
      </c>
      <c r="I2071" s="9" t="s">
        <v>8842</v>
      </c>
      <c r="J2071" s="16" t="s">
        <v>8843</v>
      </c>
      <c r="K2071" s="9"/>
      <c r="L2071" s="9" t="s">
        <v>30</v>
      </c>
      <c r="M2071" s="9" t="s">
        <v>31</v>
      </c>
      <c r="N2071" s="9" t="s">
        <v>32</v>
      </c>
      <c r="O2071" s="12" t="s">
        <v>33</v>
      </c>
      <c r="P2071" s="12" t="s">
        <v>34</v>
      </c>
      <c r="Q2071" s="9"/>
      <c r="R2071" s="18"/>
      <c r="S2071" s="18"/>
      <c r="T2071" s="18"/>
      <c r="U2071" s="18"/>
      <c r="V2071" s="18"/>
      <c r="W2071" s="15"/>
      <c r="X2071" s="15"/>
    </row>
    <row r="2072">
      <c r="A2072" s="7">
        <v>2071.0</v>
      </c>
      <c r="B2072" s="8" t="s">
        <v>8844</v>
      </c>
      <c r="C2072" s="9" t="s">
        <v>8845</v>
      </c>
      <c r="D2072" s="10" t="str">
        <f>HYPERLINK("https://facebook.com/367089020688300_519678208762713", "367089020688300_519678208762713")</f>
        <v>367089020688300_519678208762713</v>
      </c>
      <c r="E2072" s="11">
        <v>226.0</v>
      </c>
      <c r="F2072" s="11">
        <v>81.0</v>
      </c>
      <c r="G2072" s="11">
        <v>47.0</v>
      </c>
      <c r="H2072" s="9" t="s">
        <v>26</v>
      </c>
      <c r="I2072" s="9" t="s">
        <v>8846</v>
      </c>
      <c r="J2072" s="16" t="s">
        <v>8847</v>
      </c>
      <c r="K2072" s="9"/>
      <c r="L2072" s="9" t="s">
        <v>30</v>
      </c>
      <c r="M2072" s="9" t="s">
        <v>31</v>
      </c>
      <c r="N2072" s="9" t="s">
        <v>32</v>
      </c>
      <c r="O2072" s="12" t="s">
        <v>33</v>
      </c>
      <c r="P2072" s="12" t="s">
        <v>34</v>
      </c>
      <c r="Q2072" s="9"/>
      <c r="R2072" s="18"/>
      <c r="S2072" s="18"/>
      <c r="T2072" s="18"/>
      <c r="U2072" s="18"/>
      <c r="V2072" s="18"/>
      <c r="W2072" s="15"/>
      <c r="X2072" s="15"/>
    </row>
    <row r="2073">
      <c r="A2073" s="7">
        <v>2072.0</v>
      </c>
      <c r="B2073" s="8" t="s">
        <v>8848</v>
      </c>
      <c r="C2073" s="9" t="s">
        <v>8849</v>
      </c>
      <c r="D2073" s="10" t="str">
        <f>HYPERLINK("https://facebook.com/367089020688300_409795016417700", "367089020688300_409795016417700")</f>
        <v>367089020688300_409795016417700</v>
      </c>
      <c r="E2073" s="11">
        <v>267.0</v>
      </c>
      <c r="F2073" s="11">
        <v>16.0</v>
      </c>
      <c r="G2073" s="11">
        <v>367.0</v>
      </c>
      <c r="H2073" s="9" t="s">
        <v>26</v>
      </c>
      <c r="I2073" s="9" t="s">
        <v>8850</v>
      </c>
      <c r="J2073" s="9" t="s">
        <v>8851</v>
      </c>
      <c r="K2073" s="9" t="s">
        <v>8852</v>
      </c>
      <c r="L2073" s="9" t="s">
        <v>30</v>
      </c>
      <c r="M2073" s="9" t="s">
        <v>31</v>
      </c>
      <c r="N2073" s="9" t="s">
        <v>32</v>
      </c>
      <c r="O2073" s="12" t="s">
        <v>33</v>
      </c>
      <c r="P2073" s="12" t="s">
        <v>34</v>
      </c>
      <c r="Q2073" s="9"/>
      <c r="R2073" s="18"/>
      <c r="S2073" s="18"/>
      <c r="T2073" s="18"/>
      <c r="U2073" s="18"/>
      <c r="V2073" s="18"/>
      <c r="W2073" s="15"/>
      <c r="X2073" s="15"/>
    </row>
    <row r="2074">
      <c r="A2074" s="7">
        <v>2073.0</v>
      </c>
      <c r="B2074" s="8" t="s">
        <v>8853</v>
      </c>
      <c r="C2074" s="9" t="s">
        <v>8854</v>
      </c>
      <c r="D2074" s="10" t="str">
        <f>HYPERLINK("https://facebook.com/367089020688300_420118018718733", "367089020688300_420118018718733")</f>
        <v>367089020688300_420118018718733</v>
      </c>
      <c r="E2074" s="11">
        <v>401.0</v>
      </c>
      <c r="F2074" s="11">
        <v>12.0</v>
      </c>
      <c r="G2074" s="11">
        <v>563.0</v>
      </c>
      <c r="H2074" s="9" t="s">
        <v>26</v>
      </c>
      <c r="I2074" s="9" t="s">
        <v>8855</v>
      </c>
      <c r="J2074" s="9" t="s">
        <v>8856</v>
      </c>
      <c r="K2074" s="9" t="s">
        <v>8857</v>
      </c>
      <c r="L2074" s="9" t="s">
        <v>30</v>
      </c>
      <c r="M2074" s="9" t="s">
        <v>31</v>
      </c>
      <c r="N2074" s="9" t="s">
        <v>32</v>
      </c>
      <c r="O2074" s="12" t="s">
        <v>33</v>
      </c>
      <c r="P2074" s="12" t="s">
        <v>34</v>
      </c>
      <c r="Q2074" s="9"/>
      <c r="R2074" s="18"/>
      <c r="S2074" s="18"/>
      <c r="T2074" s="18"/>
      <c r="U2074" s="18"/>
      <c r="V2074" s="18"/>
      <c r="W2074" s="15"/>
      <c r="X2074" s="15"/>
    </row>
    <row r="2075">
      <c r="A2075" s="7">
        <v>2074.0</v>
      </c>
      <c r="B2075" s="8" t="s">
        <v>8858</v>
      </c>
      <c r="C2075" s="9" t="s">
        <v>8859</v>
      </c>
      <c r="D2075" s="10" t="str">
        <f>HYPERLINK("https://facebook.com/367089020688300_420220275375174", "367089020688300_420220275375174")</f>
        <v>367089020688300_420220275375174</v>
      </c>
      <c r="E2075" s="11">
        <v>121.0</v>
      </c>
      <c r="F2075" s="11">
        <v>2.0</v>
      </c>
      <c r="G2075" s="11">
        <v>121.0</v>
      </c>
      <c r="H2075" s="9" t="s">
        <v>26</v>
      </c>
      <c r="I2075" s="9" t="s">
        <v>4753</v>
      </c>
      <c r="J2075" s="9" t="s">
        <v>4754</v>
      </c>
      <c r="K2075" s="9" t="s">
        <v>6629</v>
      </c>
      <c r="L2075" s="9" t="s">
        <v>30</v>
      </c>
      <c r="M2075" s="9" t="s">
        <v>31</v>
      </c>
      <c r="N2075" s="9" t="s">
        <v>32</v>
      </c>
      <c r="O2075" s="12" t="s">
        <v>33</v>
      </c>
      <c r="P2075" s="12" t="s">
        <v>34</v>
      </c>
      <c r="Q2075" s="9"/>
      <c r="R2075" s="18"/>
      <c r="S2075" s="18"/>
      <c r="T2075" s="18"/>
      <c r="U2075" s="18"/>
      <c r="V2075" s="18"/>
      <c r="W2075" s="15"/>
      <c r="X2075" s="15"/>
    </row>
    <row r="2076">
      <c r="A2076" s="7">
        <v>2075.0</v>
      </c>
      <c r="B2076" s="8" t="s">
        <v>8860</v>
      </c>
      <c r="C2076" s="9" t="s">
        <v>8861</v>
      </c>
      <c r="D2076" s="10" t="str">
        <f>HYPERLINK("https://facebook.com/367089020688300_536912867039247", "367089020688300_536912867039247")</f>
        <v>367089020688300_536912867039247</v>
      </c>
      <c r="E2076" s="11">
        <v>26.0</v>
      </c>
      <c r="F2076" s="11">
        <v>0.0</v>
      </c>
      <c r="G2076" s="11">
        <v>11.0</v>
      </c>
      <c r="H2076" s="9" t="s">
        <v>26</v>
      </c>
      <c r="I2076" s="9" t="s">
        <v>8862</v>
      </c>
      <c r="J2076" s="16" t="s">
        <v>8863</v>
      </c>
      <c r="K2076" s="9"/>
      <c r="L2076" s="9" t="s">
        <v>30</v>
      </c>
      <c r="M2076" s="9" t="s">
        <v>31</v>
      </c>
      <c r="N2076" s="9" t="s">
        <v>32</v>
      </c>
      <c r="O2076" s="12" t="s">
        <v>33</v>
      </c>
      <c r="P2076" s="12" t="s">
        <v>34</v>
      </c>
      <c r="Q2076" s="9"/>
      <c r="R2076" s="18"/>
      <c r="S2076" s="18"/>
      <c r="T2076" s="18"/>
      <c r="U2076" s="18"/>
      <c r="V2076" s="18"/>
      <c r="W2076" s="15"/>
      <c r="X2076" s="15"/>
    </row>
    <row r="2077">
      <c r="A2077" s="7">
        <v>2076.0</v>
      </c>
      <c r="B2077" s="8" t="s">
        <v>8864</v>
      </c>
      <c r="C2077" s="9" t="s">
        <v>8865</v>
      </c>
      <c r="D2077" s="10" t="str">
        <f>HYPERLINK("https://facebook.com/367089020688300_531233424273858", "367089020688300_531233424273858")</f>
        <v>367089020688300_531233424273858</v>
      </c>
      <c r="E2077" s="11">
        <v>91.0</v>
      </c>
      <c r="F2077" s="11">
        <v>3.0</v>
      </c>
      <c r="G2077" s="11">
        <v>109.0</v>
      </c>
      <c r="H2077" s="9" t="s">
        <v>26</v>
      </c>
      <c r="I2077" s="9" t="s">
        <v>8866</v>
      </c>
      <c r="J2077" s="16" t="s">
        <v>8867</v>
      </c>
      <c r="K2077" s="9"/>
      <c r="L2077" s="9" t="s">
        <v>30</v>
      </c>
      <c r="M2077" s="9" t="s">
        <v>31</v>
      </c>
      <c r="N2077" s="9" t="s">
        <v>32</v>
      </c>
      <c r="O2077" s="12" t="s">
        <v>33</v>
      </c>
      <c r="P2077" s="12" t="s">
        <v>34</v>
      </c>
      <c r="Q2077" s="9"/>
      <c r="R2077" s="18"/>
      <c r="S2077" s="18"/>
      <c r="T2077" s="18"/>
      <c r="U2077" s="18"/>
      <c r="V2077" s="18"/>
      <c r="W2077" s="15"/>
      <c r="X2077" s="15"/>
    </row>
    <row r="2078">
      <c r="A2078" s="7">
        <v>2077.0</v>
      </c>
      <c r="B2078" s="8" t="s">
        <v>8868</v>
      </c>
      <c r="C2078" s="9" t="s">
        <v>8869</v>
      </c>
      <c r="D2078" s="10" t="str">
        <f>HYPERLINK("https://facebook.com/367089020688300_464618877601980", "367089020688300_464618877601980")</f>
        <v>367089020688300_464618877601980</v>
      </c>
      <c r="E2078" s="11">
        <v>138.0</v>
      </c>
      <c r="F2078" s="11">
        <v>7.0</v>
      </c>
      <c r="G2078" s="11">
        <v>140.0</v>
      </c>
      <c r="H2078" s="9" t="s">
        <v>26</v>
      </c>
      <c r="I2078" s="9" t="s">
        <v>8870</v>
      </c>
      <c r="J2078" s="9" t="s">
        <v>8871</v>
      </c>
      <c r="K2078" s="9" t="s">
        <v>8872</v>
      </c>
      <c r="L2078" s="9" t="s">
        <v>30</v>
      </c>
      <c r="M2078" s="9" t="s">
        <v>31</v>
      </c>
      <c r="N2078" s="9" t="s">
        <v>32</v>
      </c>
      <c r="O2078" s="12" t="s">
        <v>33</v>
      </c>
      <c r="P2078" s="12" t="s">
        <v>34</v>
      </c>
      <c r="Q2078" s="9"/>
      <c r="R2078" s="18"/>
      <c r="S2078" s="18"/>
      <c r="T2078" s="18"/>
      <c r="U2078" s="18"/>
      <c r="V2078" s="18"/>
      <c r="W2078" s="15"/>
      <c r="X2078" s="15"/>
    </row>
    <row r="2079">
      <c r="A2079" s="7">
        <v>2078.0</v>
      </c>
      <c r="B2079" s="8" t="s">
        <v>8873</v>
      </c>
      <c r="C2079" s="9" t="s">
        <v>8874</v>
      </c>
      <c r="D2079" s="10" t="str">
        <f>HYPERLINK("https://facebook.com/367089020688300_473017520095449", "367089020688300_473017520095449")</f>
        <v>367089020688300_473017520095449</v>
      </c>
      <c r="E2079" s="11">
        <v>2392.0</v>
      </c>
      <c r="F2079" s="11">
        <v>229.0</v>
      </c>
      <c r="G2079" s="11">
        <v>1362.0</v>
      </c>
      <c r="H2079" s="9" t="s">
        <v>26</v>
      </c>
      <c r="I2079" s="9" t="s">
        <v>8875</v>
      </c>
      <c r="J2079" s="9" t="s">
        <v>8876</v>
      </c>
      <c r="K2079" s="9" t="s">
        <v>8877</v>
      </c>
      <c r="L2079" s="9" t="s">
        <v>30</v>
      </c>
      <c r="M2079" s="9" t="s">
        <v>31</v>
      </c>
      <c r="N2079" s="9" t="s">
        <v>32</v>
      </c>
      <c r="O2079" s="12" t="s">
        <v>33</v>
      </c>
      <c r="P2079" s="12" t="s">
        <v>34</v>
      </c>
      <c r="Q2079" s="9"/>
      <c r="R2079" s="18"/>
      <c r="S2079" s="18"/>
      <c r="T2079" s="18"/>
      <c r="U2079" s="18"/>
      <c r="V2079" s="18"/>
      <c r="W2079" s="15"/>
      <c r="X2079" s="15"/>
    </row>
    <row r="2080">
      <c r="A2080" s="7">
        <v>2079.0</v>
      </c>
      <c r="B2080" s="8" t="s">
        <v>8878</v>
      </c>
      <c r="C2080" s="9" t="s">
        <v>8879</v>
      </c>
      <c r="D2080" s="10" t="str">
        <f>HYPERLINK("https://facebook.com/367089020688300_435700280493840", "367089020688300_435700280493840")</f>
        <v>367089020688300_435700280493840</v>
      </c>
      <c r="E2080" s="11">
        <v>1986.0</v>
      </c>
      <c r="F2080" s="11">
        <v>200.0</v>
      </c>
      <c r="G2080" s="11">
        <v>1677.0</v>
      </c>
      <c r="H2080" s="9" t="s">
        <v>26</v>
      </c>
      <c r="I2080" s="9" t="s">
        <v>8880</v>
      </c>
      <c r="J2080" s="9" t="s">
        <v>8881</v>
      </c>
      <c r="K2080" s="9" t="s">
        <v>8882</v>
      </c>
      <c r="L2080" s="9" t="s">
        <v>30</v>
      </c>
      <c r="M2080" s="9" t="s">
        <v>31</v>
      </c>
      <c r="N2080" s="9" t="s">
        <v>32</v>
      </c>
      <c r="O2080" s="12" t="s">
        <v>33</v>
      </c>
      <c r="P2080" s="12" t="s">
        <v>34</v>
      </c>
      <c r="Q2080" s="9"/>
      <c r="R2080" s="18"/>
      <c r="S2080" s="18"/>
      <c r="T2080" s="18"/>
      <c r="U2080" s="18"/>
      <c r="V2080" s="18"/>
      <c r="W2080" s="15"/>
      <c r="X2080" s="15"/>
    </row>
    <row r="2081">
      <c r="A2081" s="7">
        <v>2080.0</v>
      </c>
      <c r="B2081" s="8" t="s">
        <v>8883</v>
      </c>
      <c r="C2081" s="9" t="s">
        <v>8884</v>
      </c>
      <c r="D2081" s="10" t="str">
        <f>HYPERLINK("https://facebook.com/367089020688300_520858291978038", "367089020688300_520858291978038")</f>
        <v>367089020688300_520858291978038</v>
      </c>
      <c r="E2081" s="11">
        <v>1206.0</v>
      </c>
      <c r="F2081" s="11">
        <v>25.0</v>
      </c>
      <c r="G2081" s="11">
        <v>478.0</v>
      </c>
      <c r="H2081" s="9" t="s">
        <v>26</v>
      </c>
      <c r="I2081" s="9" t="s">
        <v>8885</v>
      </c>
      <c r="J2081" s="9" t="s">
        <v>8886</v>
      </c>
      <c r="K2081" s="9" t="s">
        <v>8887</v>
      </c>
      <c r="L2081" s="9" t="s">
        <v>30</v>
      </c>
      <c r="M2081" s="9" t="s">
        <v>31</v>
      </c>
      <c r="N2081" s="9" t="s">
        <v>32</v>
      </c>
      <c r="O2081" s="12" t="s">
        <v>33</v>
      </c>
      <c r="P2081" s="12" t="s">
        <v>34</v>
      </c>
      <c r="Q2081" s="9"/>
      <c r="R2081" s="18"/>
      <c r="S2081" s="18"/>
      <c r="T2081" s="18"/>
      <c r="U2081" s="18"/>
      <c r="V2081" s="18"/>
      <c r="W2081" s="15"/>
      <c r="X2081" s="15"/>
    </row>
    <row r="2082">
      <c r="A2082" s="7">
        <v>2081.0</v>
      </c>
      <c r="B2082" s="8" t="s">
        <v>8888</v>
      </c>
      <c r="C2082" s="9" t="s">
        <v>8889</v>
      </c>
      <c r="D2082" s="10" t="str">
        <f>HYPERLINK("https://facebook.com/367089020688300_561031231294077", "367089020688300_561031231294077")</f>
        <v>367089020688300_561031231294077</v>
      </c>
      <c r="E2082" s="11">
        <v>50.0</v>
      </c>
      <c r="F2082" s="11">
        <v>1.0</v>
      </c>
      <c r="G2082" s="11">
        <v>29.0</v>
      </c>
      <c r="H2082" s="9" t="s">
        <v>26</v>
      </c>
      <c r="I2082" s="9" t="s">
        <v>1303</v>
      </c>
      <c r="J2082" s="9" t="s">
        <v>1304</v>
      </c>
      <c r="K2082" s="9" t="s">
        <v>8890</v>
      </c>
      <c r="L2082" s="9" t="s">
        <v>30</v>
      </c>
      <c r="M2082" s="9" t="s">
        <v>31</v>
      </c>
      <c r="N2082" s="9" t="s">
        <v>32</v>
      </c>
      <c r="O2082" s="12" t="s">
        <v>33</v>
      </c>
      <c r="P2082" s="12" t="s">
        <v>34</v>
      </c>
      <c r="Q2082" s="9"/>
      <c r="R2082" s="18"/>
      <c r="S2082" s="18"/>
      <c r="T2082" s="18"/>
      <c r="U2082" s="18"/>
      <c r="V2082" s="18"/>
      <c r="W2082" s="15"/>
      <c r="X2082" s="15"/>
    </row>
    <row r="2083">
      <c r="A2083" s="7">
        <v>2082.0</v>
      </c>
      <c r="B2083" s="8" t="s">
        <v>8891</v>
      </c>
      <c r="C2083" s="9" t="s">
        <v>8892</v>
      </c>
      <c r="D2083" s="10" t="str">
        <f>HYPERLINK("https://facebook.com/367089020688300_509732773090590", "367089020688300_509732773090590")</f>
        <v>367089020688300_509732773090590</v>
      </c>
      <c r="E2083" s="11">
        <v>9.0</v>
      </c>
      <c r="F2083" s="11">
        <v>1.0</v>
      </c>
      <c r="G2083" s="11">
        <v>19.0</v>
      </c>
      <c r="H2083" s="9" t="s">
        <v>26</v>
      </c>
      <c r="I2083" s="9" t="s">
        <v>8893</v>
      </c>
      <c r="J2083" s="9" t="s">
        <v>8894</v>
      </c>
      <c r="K2083" s="9" t="s">
        <v>8895</v>
      </c>
      <c r="L2083" s="9" t="s">
        <v>30</v>
      </c>
      <c r="M2083" s="9" t="s">
        <v>31</v>
      </c>
      <c r="N2083" s="9" t="s">
        <v>32</v>
      </c>
      <c r="O2083" s="12" t="s">
        <v>33</v>
      </c>
      <c r="P2083" s="12" t="s">
        <v>34</v>
      </c>
      <c r="Q2083" s="9"/>
      <c r="R2083" s="18"/>
      <c r="S2083" s="18"/>
      <c r="T2083" s="18"/>
      <c r="U2083" s="18"/>
      <c r="V2083" s="18"/>
      <c r="W2083" s="15"/>
      <c r="X2083" s="15"/>
    </row>
    <row r="2084">
      <c r="A2084" s="7">
        <v>2083.0</v>
      </c>
      <c r="B2084" s="8" t="s">
        <v>8896</v>
      </c>
      <c r="C2084" s="9" t="s">
        <v>8897</v>
      </c>
      <c r="D2084" s="10" t="str">
        <f>HYPERLINK("https://facebook.com/367089020688300_534792877251246", "367089020688300_534792877251246")</f>
        <v>367089020688300_534792877251246</v>
      </c>
      <c r="E2084" s="11">
        <v>79.0</v>
      </c>
      <c r="F2084" s="11">
        <v>2.0</v>
      </c>
      <c r="G2084" s="11">
        <v>20.0</v>
      </c>
      <c r="H2084" s="9" t="s">
        <v>26</v>
      </c>
      <c r="I2084" s="9" t="s">
        <v>5461</v>
      </c>
      <c r="J2084" s="9" t="s">
        <v>5462</v>
      </c>
      <c r="K2084" s="9" t="s">
        <v>8898</v>
      </c>
      <c r="L2084" s="9" t="s">
        <v>30</v>
      </c>
      <c r="M2084" s="9" t="s">
        <v>31</v>
      </c>
      <c r="N2084" s="9" t="s">
        <v>32</v>
      </c>
      <c r="O2084" s="12" t="s">
        <v>33</v>
      </c>
      <c r="P2084" s="12" t="s">
        <v>34</v>
      </c>
      <c r="Q2084" s="9"/>
      <c r="R2084" s="18"/>
      <c r="S2084" s="18"/>
      <c r="T2084" s="18"/>
      <c r="U2084" s="18"/>
      <c r="V2084" s="18"/>
      <c r="W2084" s="15"/>
      <c r="X2084" s="15"/>
    </row>
    <row r="2085">
      <c r="A2085" s="7">
        <v>2084.0</v>
      </c>
      <c r="B2085" s="8" t="s">
        <v>8899</v>
      </c>
      <c r="C2085" s="9" t="s">
        <v>8900</v>
      </c>
      <c r="D2085" s="10" t="str">
        <f>HYPERLINK("https://facebook.com/367089020688300_508259353237932", "367089020688300_508259353237932")</f>
        <v>367089020688300_508259353237932</v>
      </c>
      <c r="E2085" s="11">
        <v>38.0</v>
      </c>
      <c r="F2085" s="11">
        <v>0.0</v>
      </c>
      <c r="G2085" s="11">
        <v>30.0</v>
      </c>
      <c r="H2085" s="9" t="s">
        <v>26</v>
      </c>
      <c r="I2085" s="9" t="s">
        <v>2655</v>
      </c>
      <c r="J2085" s="16" t="s">
        <v>8901</v>
      </c>
      <c r="K2085" s="9"/>
      <c r="L2085" s="9" t="s">
        <v>30</v>
      </c>
      <c r="M2085" s="9" t="s">
        <v>31</v>
      </c>
      <c r="N2085" s="9" t="s">
        <v>32</v>
      </c>
      <c r="O2085" s="12" t="s">
        <v>33</v>
      </c>
      <c r="P2085" s="12" t="s">
        <v>34</v>
      </c>
      <c r="Q2085" s="9"/>
      <c r="R2085" s="18"/>
      <c r="S2085" s="18"/>
      <c r="T2085" s="18"/>
      <c r="U2085" s="18"/>
      <c r="V2085" s="18"/>
      <c r="W2085" s="15"/>
      <c r="X2085" s="15"/>
    </row>
    <row r="2086">
      <c r="A2086" s="7">
        <v>2085.0</v>
      </c>
      <c r="B2086" s="8" t="s">
        <v>8902</v>
      </c>
      <c r="C2086" s="9" t="s">
        <v>8903</v>
      </c>
      <c r="D2086" s="10" t="str">
        <f>HYPERLINK("https://facebook.com/367089020688300_550835875646946", "367089020688300_550835875646946")</f>
        <v>367089020688300_550835875646946</v>
      </c>
      <c r="E2086" s="11">
        <v>132.0</v>
      </c>
      <c r="F2086" s="11">
        <v>2.0</v>
      </c>
      <c r="G2086" s="11">
        <v>157.0</v>
      </c>
      <c r="H2086" s="9" t="s">
        <v>26</v>
      </c>
      <c r="I2086" s="9" t="s">
        <v>8904</v>
      </c>
      <c r="J2086" s="9" t="s">
        <v>8905</v>
      </c>
      <c r="K2086" s="9" t="s">
        <v>8906</v>
      </c>
      <c r="L2086" s="9" t="s">
        <v>30</v>
      </c>
      <c r="M2086" s="9" t="s">
        <v>31</v>
      </c>
      <c r="N2086" s="9" t="s">
        <v>32</v>
      </c>
      <c r="O2086" s="12" t="s">
        <v>33</v>
      </c>
      <c r="P2086" s="12" t="s">
        <v>34</v>
      </c>
      <c r="Q2086" s="9"/>
      <c r="R2086" s="18"/>
      <c r="S2086" s="18"/>
      <c r="T2086" s="18"/>
      <c r="U2086" s="18"/>
      <c r="V2086" s="18"/>
      <c r="W2086" s="15"/>
      <c r="X2086" s="15"/>
    </row>
    <row r="2087">
      <c r="A2087" s="7">
        <v>2086.0</v>
      </c>
      <c r="B2087" s="8" t="s">
        <v>8907</v>
      </c>
      <c r="C2087" s="9" t="s">
        <v>8908</v>
      </c>
      <c r="D2087" s="10" t="str">
        <f>HYPERLINK("https://facebook.com/367089020688300_511931736204027", "367089020688300_511931736204027")</f>
        <v>367089020688300_511931736204027</v>
      </c>
      <c r="E2087" s="11">
        <v>14.0</v>
      </c>
      <c r="F2087" s="11">
        <v>0.0</v>
      </c>
      <c r="G2087" s="11">
        <v>25.0</v>
      </c>
      <c r="H2087" s="9" t="s">
        <v>26</v>
      </c>
      <c r="I2087" s="9" t="s">
        <v>8909</v>
      </c>
      <c r="J2087" s="9" t="s">
        <v>8910</v>
      </c>
      <c r="K2087" s="9" t="s">
        <v>8911</v>
      </c>
      <c r="L2087" s="9" t="s">
        <v>30</v>
      </c>
      <c r="M2087" s="9" t="s">
        <v>31</v>
      </c>
      <c r="N2087" s="9" t="s">
        <v>32</v>
      </c>
      <c r="O2087" s="12" t="s">
        <v>33</v>
      </c>
      <c r="P2087" s="12" t="s">
        <v>34</v>
      </c>
      <c r="Q2087" s="9"/>
      <c r="R2087" s="18"/>
      <c r="S2087" s="18"/>
      <c r="T2087" s="18"/>
      <c r="U2087" s="18"/>
      <c r="V2087" s="18"/>
      <c r="W2087" s="15"/>
      <c r="X2087" s="15"/>
    </row>
    <row r="2088">
      <c r="A2088" s="7">
        <v>2087.0</v>
      </c>
      <c r="B2088" s="8" t="s">
        <v>8912</v>
      </c>
      <c r="C2088" s="9" t="s">
        <v>8913</v>
      </c>
      <c r="D2088" s="10" t="str">
        <f>HYPERLINK("https://facebook.com/367089020688300_548132629250604", "367089020688300_548132629250604")</f>
        <v>367089020688300_548132629250604</v>
      </c>
      <c r="E2088" s="11">
        <v>577.0</v>
      </c>
      <c r="F2088" s="11">
        <v>19.0</v>
      </c>
      <c r="G2088" s="11">
        <v>180.0</v>
      </c>
      <c r="H2088" s="9" t="s">
        <v>26</v>
      </c>
      <c r="I2088" s="9" t="s">
        <v>8914</v>
      </c>
      <c r="J2088" s="16" t="s">
        <v>8915</v>
      </c>
      <c r="K2088" s="9"/>
      <c r="L2088" s="9" t="s">
        <v>30</v>
      </c>
      <c r="M2088" s="9" t="s">
        <v>31</v>
      </c>
      <c r="N2088" s="9" t="s">
        <v>32</v>
      </c>
      <c r="O2088" s="12" t="s">
        <v>33</v>
      </c>
      <c r="P2088" s="12" t="s">
        <v>34</v>
      </c>
      <c r="Q2088" s="9"/>
      <c r="R2088" s="18"/>
      <c r="S2088" s="18"/>
      <c r="T2088" s="18"/>
      <c r="U2088" s="18"/>
      <c r="V2088" s="18"/>
      <c r="W2088" s="15"/>
      <c r="X2088" s="15"/>
    </row>
    <row r="2089">
      <c r="A2089" s="7">
        <v>2088.0</v>
      </c>
      <c r="B2089" s="8" t="s">
        <v>8916</v>
      </c>
      <c r="C2089" s="9" t="s">
        <v>8917</v>
      </c>
      <c r="D2089" s="10" t="str">
        <f>HYPERLINK("https://facebook.com/367089020688300_504330186964182", "367089020688300_504330186964182")</f>
        <v>367089020688300_504330186964182</v>
      </c>
      <c r="E2089" s="11">
        <v>93.0</v>
      </c>
      <c r="F2089" s="11">
        <v>3.0</v>
      </c>
      <c r="G2089" s="11">
        <v>217.0</v>
      </c>
      <c r="H2089" s="9" t="s">
        <v>26</v>
      </c>
      <c r="I2089" s="9" t="s">
        <v>5066</v>
      </c>
      <c r="J2089" s="9" t="s">
        <v>5067</v>
      </c>
      <c r="K2089" s="9" t="s">
        <v>8918</v>
      </c>
      <c r="L2089" s="9" t="s">
        <v>30</v>
      </c>
      <c r="M2089" s="9" t="s">
        <v>31</v>
      </c>
      <c r="N2089" s="9" t="s">
        <v>32</v>
      </c>
      <c r="O2089" s="12" t="s">
        <v>33</v>
      </c>
      <c r="P2089" s="12" t="s">
        <v>34</v>
      </c>
      <c r="Q2089" s="9"/>
      <c r="R2089" s="18"/>
      <c r="S2089" s="18"/>
      <c r="T2089" s="18"/>
      <c r="U2089" s="18"/>
      <c r="V2089" s="18"/>
      <c r="W2089" s="15"/>
      <c r="X2089" s="15"/>
    </row>
    <row r="2090">
      <c r="A2090" s="7">
        <v>2089.0</v>
      </c>
      <c r="B2090" s="8" t="s">
        <v>8919</v>
      </c>
      <c r="C2090" s="9" t="s">
        <v>8920</v>
      </c>
      <c r="D2090" s="10" t="str">
        <f>HYPERLINK("https://facebook.com/367089020688300_532519344145266", "367089020688300_532519344145266")</f>
        <v>367089020688300_532519344145266</v>
      </c>
      <c r="E2090" s="11">
        <v>8.0</v>
      </c>
      <c r="F2090" s="11">
        <v>0.0</v>
      </c>
      <c r="G2090" s="11">
        <v>17.0</v>
      </c>
      <c r="H2090" s="9" t="s">
        <v>26</v>
      </c>
      <c r="I2090" s="9" t="s">
        <v>8921</v>
      </c>
      <c r="J2090" s="9" t="s">
        <v>8922</v>
      </c>
      <c r="K2090" s="9" t="s">
        <v>8923</v>
      </c>
      <c r="L2090" s="9" t="s">
        <v>30</v>
      </c>
      <c r="M2090" s="9" t="s">
        <v>31</v>
      </c>
      <c r="N2090" s="9" t="s">
        <v>32</v>
      </c>
      <c r="O2090" s="12" t="s">
        <v>33</v>
      </c>
      <c r="P2090" s="12" t="s">
        <v>34</v>
      </c>
      <c r="Q2090" s="9"/>
      <c r="R2090" s="18"/>
      <c r="S2090" s="18"/>
      <c r="T2090" s="18"/>
      <c r="U2090" s="18"/>
      <c r="V2090" s="18"/>
      <c r="W2090" s="15"/>
      <c r="X2090" s="15"/>
    </row>
    <row r="2091">
      <c r="A2091" s="7">
        <v>2090.0</v>
      </c>
      <c r="B2091" s="8" t="s">
        <v>8924</v>
      </c>
      <c r="C2091" s="9" t="s">
        <v>8925</v>
      </c>
      <c r="D2091" s="10" t="str">
        <f>HYPERLINK("https://facebook.com/367089020688300_529905337740000", "367089020688300_529905337740000")</f>
        <v>367089020688300_529905337740000</v>
      </c>
      <c r="E2091" s="11">
        <v>154.0</v>
      </c>
      <c r="F2091" s="11">
        <v>1.0</v>
      </c>
      <c r="G2091" s="11">
        <v>175.0</v>
      </c>
      <c r="H2091" s="9" t="s">
        <v>26</v>
      </c>
      <c r="I2091" s="9" t="s">
        <v>8926</v>
      </c>
      <c r="J2091" s="16" t="s">
        <v>8927</v>
      </c>
      <c r="K2091" s="9"/>
      <c r="L2091" s="9" t="s">
        <v>30</v>
      </c>
      <c r="M2091" s="9" t="s">
        <v>31</v>
      </c>
      <c r="N2091" s="9" t="s">
        <v>32</v>
      </c>
      <c r="O2091" s="12" t="s">
        <v>33</v>
      </c>
      <c r="P2091" s="12" t="s">
        <v>34</v>
      </c>
      <c r="Q2091" s="9"/>
      <c r="R2091" s="18"/>
      <c r="S2091" s="18"/>
      <c r="T2091" s="18"/>
      <c r="U2091" s="18"/>
      <c r="V2091" s="18"/>
      <c r="W2091" s="15"/>
      <c r="X2091" s="15"/>
    </row>
    <row r="2092">
      <c r="A2092" s="7">
        <v>2091.0</v>
      </c>
      <c r="B2092" s="8" t="s">
        <v>8928</v>
      </c>
      <c r="C2092" s="9" t="s">
        <v>8929</v>
      </c>
      <c r="D2092" s="10" t="str">
        <f>HYPERLINK("https://facebook.com/367089020688300_531718510892016", "367089020688300_531718510892016")</f>
        <v>367089020688300_531718510892016</v>
      </c>
      <c r="E2092" s="11">
        <v>76.0</v>
      </c>
      <c r="F2092" s="11">
        <v>0.0</v>
      </c>
      <c r="G2092" s="11">
        <v>123.0</v>
      </c>
      <c r="H2092" s="9" t="s">
        <v>26</v>
      </c>
      <c r="I2092" s="9" t="s">
        <v>8930</v>
      </c>
      <c r="J2092" s="16" t="s">
        <v>8931</v>
      </c>
      <c r="K2092" s="9"/>
      <c r="L2092" s="9" t="s">
        <v>30</v>
      </c>
      <c r="M2092" s="9" t="s">
        <v>31</v>
      </c>
      <c r="N2092" s="9" t="s">
        <v>32</v>
      </c>
      <c r="O2092" s="12" t="s">
        <v>33</v>
      </c>
      <c r="P2092" s="12" t="s">
        <v>34</v>
      </c>
      <c r="Q2092" s="9"/>
      <c r="R2092" s="18"/>
      <c r="S2092" s="18"/>
      <c r="T2092" s="18"/>
      <c r="U2092" s="18"/>
      <c r="V2092" s="18"/>
      <c r="W2092" s="15"/>
      <c r="X2092" s="15"/>
    </row>
    <row r="2093">
      <c r="A2093" s="7">
        <v>2092.0</v>
      </c>
      <c r="B2093" s="8" t="s">
        <v>8932</v>
      </c>
      <c r="C2093" s="9" t="s">
        <v>8933</v>
      </c>
      <c r="D2093" s="10" t="str">
        <f>HYPERLINK("https://facebook.com/367089020688300_547745949289272", "367089020688300_547745949289272")</f>
        <v>367089020688300_547745949289272</v>
      </c>
      <c r="E2093" s="11">
        <v>22.0</v>
      </c>
      <c r="F2093" s="11">
        <v>0.0</v>
      </c>
      <c r="G2093" s="11">
        <v>17.0</v>
      </c>
      <c r="H2093" s="9" t="s">
        <v>26</v>
      </c>
      <c r="I2093" s="9" t="s">
        <v>1173</v>
      </c>
      <c r="J2093" s="16" t="s">
        <v>8934</v>
      </c>
      <c r="K2093" s="9"/>
      <c r="L2093" s="9" t="s">
        <v>30</v>
      </c>
      <c r="M2093" s="9" t="s">
        <v>31</v>
      </c>
      <c r="N2093" s="9" t="s">
        <v>32</v>
      </c>
      <c r="O2093" s="12" t="s">
        <v>33</v>
      </c>
      <c r="P2093" s="12" t="s">
        <v>34</v>
      </c>
      <c r="Q2093" s="9"/>
      <c r="R2093" s="18"/>
      <c r="S2093" s="18"/>
      <c r="T2093" s="18"/>
      <c r="U2093" s="18"/>
      <c r="V2093" s="18"/>
      <c r="W2093" s="15"/>
      <c r="X2093" s="15"/>
    </row>
    <row r="2094">
      <c r="A2094" s="7">
        <v>2093.0</v>
      </c>
      <c r="B2094" s="8" t="s">
        <v>8935</v>
      </c>
      <c r="C2094" s="9" t="s">
        <v>8936</v>
      </c>
      <c r="D2094" s="10" t="str">
        <f>HYPERLINK("https://facebook.com/367089020688300_541936586536875", "367089020688300_541936586536875")</f>
        <v>367089020688300_541936586536875</v>
      </c>
      <c r="E2094" s="11">
        <v>4.0</v>
      </c>
      <c r="F2094" s="11">
        <v>0.0</v>
      </c>
      <c r="G2094" s="11">
        <v>1.0</v>
      </c>
      <c r="H2094" s="9" t="s">
        <v>26</v>
      </c>
      <c r="I2094" s="9" t="s">
        <v>5749</v>
      </c>
      <c r="J2094" s="9" t="s">
        <v>8937</v>
      </c>
      <c r="K2094" s="9" t="s">
        <v>214</v>
      </c>
      <c r="L2094" s="9" t="s">
        <v>30</v>
      </c>
      <c r="M2094" s="9" t="s">
        <v>31</v>
      </c>
      <c r="N2094" s="9" t="s">
        <v>32</v>
      </c>
      <c r="O2094" s="12" t="s">
        <v>33</v>
      </c>
      <c r="P2094" s="12" t="s">
        <v>34</v>
      </c>
      <c r="Q2094" s="9"/>
      <c r="R2094" s="18"/>
      <c r="S2094" s="18"/>
      <c r="T2094" s="18"/>
      <c r="U2094" s="18"/>
      <c r="V2094" s="18"/>
      <c r="W2094" s="15"/>
      <c r="X2094" s="15"/>
    </row>
    <row r="2095">
      <c r="A2095" s="7">
        <v>2094.0</v>
      </c>
      <c r="B2095" s="8" t="s">
        <v>8938</v>
      </c>
      <c r="C2095" s="9" t="s">
        <v>8939</v>
      </c>
      <c r="D2095" s="10" t="str">
        <f>HYPERLINK("https://facebook.com/367089020688300_558713111525889", "367089020688300_558713111525889")</f>
        <v>367089020688300_558713111525889</v>
      </c>
      <c r="E2095" s="11">
        <v>17.0</v>
      </c>
      <c r="F2095" s="11">
        <v>0.0</v>
      </c>
      <c r="G2095" s="11">
        <v>4.0</v>
      </c>
      <c r="H2095" s="9" t="s">
        <v>26</v>
      </c>
      <c r="I2095" s="9" t="s">
        <v>8940</v>
      </c>
      <c r="J2095" s="9" t="s">
        <v>8941</v>
      </c>
      <c r="K2095" s="9" t="s">
        <v>2826</v>
      </c>
      <c r="L2095" s="9" t="s">
        <v>30</v>
      </c>
      <c r="M2095" s="9" t="s">
        <v>31</v>
      </c>
      <c r="N2095" s="9" t="s">
        <v>32</v>
      </c>
      <c r="O2095" s="12" t="s">
        <v>33</v>
      </c>
      <c r="P2095" s="12" t="s">
        <v>34</v>
      </c>
      <c r="Q2095" s="9"/>
      <c r="R2095" s="18"/>
      <c r="S2095" s="18"/>
      <c r="T2095" s="18"/>
      <c r="U2095" s="18"/>
      <c r="V2095" s="18"/>
      <c r="W2095" s="15"/>
      <c r="X2095" s="15"/>
    </row>
    <row r="2096">
      <c r="A2096" s="7">
        <v>2095.0</v>
      </c>
      <c r="B2096" s="8" t="s">
        <v>8942</v>
      </c>
      <c r="C2096" s="9" t="s">
        <v>8943</v>
      </c>
      <c r="D2096" s="10" t="str">
        <f>HYPERLINK("https://facebook.com/367089020688300_454956615234873", "367089020688300_454956615234873")</f>
        <v>367089020688300_454956615234873</v>
      </c>
      <c r="E2096" s="11">
        <v>130.0</v>
      </c>
      <c r="F2096" s="11">
        <v>0.0</v>
      </c>
      <c r="G2096" s="11">
        <v>78.0</v>
      </c>
      <c r="H2096" s="9" t="s">
        <v>26</v>
      </c>
      <c r="I2096" s="9" t="s">
        <v>6481</v>
      </c>
      <c r="J2096" s="9" t="s">
        <v>8944</v>
      </c>
      <c r="K2096" s="9" t="s">
        <v>8945</v>
      </c>
      <c r="L2096" s="9" t="s">
        <v>30</v>
      </c>
      <c r="M2096" s="9" t="s">
        <v>31</v>
      </c>
      <c r="N2096" s="9" t="s">
        <v>32</v>
      </c>
      <c r="O2096" s="12" t="s">
        <v>33</v>
      </c>
      <c r="P2096" s="12" t="s">
        <v>34</v>
      </c>
      <c r="Q2096" s="9"/>
      <c r="R2096" s="18"/>
      <c r="S2096" s="18"/>
      <c r="T2096" s="18"/>
      <c r="U2096" s="18"/>
      <c r="V2096" s="18"/>
      <c r="W2096" s="15"/>
      <c r="X2096" s="15"/>
    </row>
    <row r="2097">
      <c r="A2097" s="7">
        <v>2096.0</v>
      </c>
      <c r="B2097" s="8" t="s">
        <v>8946</v>
      </c>
      <c r="C2097" s="9" t="s">
        <v>8947</v>
      </c>
      <c r="D2097" s="10" t="str">
        <f>HYPERLINK("https://facebook.com/367089020688300_426695764727625", "367089020688300_426695764727625")</f>
        <v>367089020688300_426695764727625</v>
      </c>
      <c r="E2097" s="11">
        <v>686.0</v>
      </c>
      <c r="F2097" s="11">
        <v>10.0</v>
      </c>
      <c r="G2097" s="11">
        <v>372.0</v>
      </c>
      <c r="H2097" s="9" t="s">
        <v>26</v>
      </c>
      <c r="I2097" s="9" t="s">
        <v>8948</v>
      </c>
      <c r="J2097" s="9" t="s">
        <v>8949</v>
      </c>
      <c r="K2097" s="9" t="s">
        <v>8950</v>
      </c>
      <c r="L2097" s="9" t="s">
        <v>30</v>
      </c>
      <c r="M2097" s="9" t="s">
        <v>31</v>
      </c>
      <c r="N2097" s="9" t="s">
        <v>32</v>
      </c>
      <c r="O2097" s="12" t="s">
        <v>33</v>
      </c>
      <c r="P2097" s="12" t="s">
        <v>34</v>
      </c>
      <c r="Q2097" s="9"/>
      <c r="R2097" s="18"/>
      <c r="S2097" s="18"/>
      <c r="T2097" s="18"/>
      <c r="U2097" s="18"/>
      <c r="V2097" s="18"/>
      <c r="W2097" s="15"/>
      <c r="X2097" s="15"/>
    </row>
    <row r="2098">
      <c r="A2098" s="7">
        <v>2097.0</v>
      </c>
      <c r="B2098" s="8" t="s">
        <v>8951</v>
      </c>
      <c r="C2098" s="9" t="s">
        <v>8952</v>
      </c>
      <c r="D2098" s="10" t="str">
        <f>HYPERLINK("https://facebook.com/367089020688300_544640786266455", "367089020688300_544640786266455")</f>
        <v>367089020688300_544640786266455</v>
      </c>
      <c r="E2098" s="11">
        <v>14.0</v>
      </c>
      <c r="F2098" s="11">
        <v>0.0</v>
      </c>
      <c r="G2098" s="11">
        <v>9.0</v>
      </c>
      <c r="H2098" s="9" t="s">
        <v>26</v>
      </c>
      <c r="I2098" s="9" t="s">
        <v>8953</v>
      </c>
      <c r="J2098" s="9" t="s">
        <v>8954</v>
      </c>
      <c r="K2098" s="9" t="s">
        <v>8955</v>
      </c>
      <c r="L2098" s="9" t="s">
        <v>30</v>
      </c>
      <c r="M2098" s="9" t="s">
        <v>31</v>
      </c>
      <c r="N2098" s="9" t="s">
        <v>32</v>
      </c>
      <c r="O2098" s="12" t="s">
        <v>33</v>
      </c>
      <c r="P2098" s="12" t="s">
        <v>34</v>
      </c>
      <c r="Q2098" s="9"/>
      <c r="R2098" s="18"/>
      <c r="S2098" s="18"/>
      <c r="T2098" s="18"/>
      <c r="U2098" s="18"/>
      <c r="V2098" s="18"/>
      <c r="W2098" s="15"/>
      <c r="X2098" s="15"/>
    </row>
    <row r="2099">
      <c r="A2099" s="7">
        <v>2098.0</v>
      </c>
      <c r="B2099" s="8" t="s">
        <v>8956</v>
      </c>
      <c r="C2099" s="9" t="s">
        <v>8957</v>
      </c>
      <c r="D2099" s="10" t="str">
        <f>HYPERLINK("https://facebook.com/367089020688300_561895441207656", "367089020688300_561895441207656")</f>
        <v>367089020688300_561895441207656</v>
      </c>
      <c r="E2099" s="11">
        <v>26.0</v>
      </c>
      <c r="F2099" s="11">
        <v>0.0</v>
      </c>
      <c r="G2099" s="11">
        <v>18.0</v>
      </c>
      <c r="H2099" s="9" t="s">
        <v>26</v>
      </c>
      <c r="I2099" s="9" t="s">
        <v>8958</v>
      </c>
      <c r="J2099" s="9" t="s">
        <v>8959</v>
      </c>
      <c r="K2099" s="9" t="s">
        <v>8960</v>
      </c>
      <c r="L2099" s="9" t="s">
        <v>30</v>
      </c>
      <c r="M2099" s="9" t="s">
        <v>31</v>
      </c>
      <c r="N2099" s="9" t="s">
        <v>32</v>
      </c>
      <c r="O2099" s="12" t="s">
        <v>33</v>
      </c>
      <c r="P2099" s="12" t="s">
        <v>34</v>
      </c>
      <c r="Q2099" s="9"/>
      <c r="R2099" s="18"/>
      <c r="S2099" s="18"/>
      <c r="T2099" s="18"/>
      <c r="U2099" s="18"/>
      <c r="V2099" s="18"/>
      <c r="W2099" s="15"/>
      <c r="X2099" s="15"/>
    </row>
    <row r="2100">
      <c r="A2100" s="7">
        <v>2099.0</v>
      </c>
      <c r="B2100" s="8" t="s">
        <v>8961</v>
      </c>
      <c r="C2100" s="9" t="s">
        <v>8962</v>
      </c>
      <c r="D2100" s="10" t="str">
        <f>HYPERLINK("https://facebook.com/367089020688300_490412295022638", "367089020688300_490412295022638")</f>
        <v>367089020688300_490412295022638</v>
      </c>
      <c r="E2100" s="11">
        <v>926.0</v>
      </c>
      <c r="F2100" s="11">
        <v>3.0</v>
      </c>
      <c r="G2100" s="11">
        <v>765.0</v>
      </c>
      <c r="H2100" s="9" t="s">
        <v>26</v>
      </c>
      <c r="I2100" s="9" t="s">
        <v>8963</v>
      </c>
      <c r="J2100" s="9" t="s">
        <v>8964</v>
      </c>
      <c r="K2100" s="9" t="s">
        <v>8965</v>
      </c>
      <c r="L2100" s="9" t="s">
        <v>30</v>
      </c>
      <c r="M2100" s="9" t="s">
        <v>31</v>
      </c>
      <c r="N2100" s="9" t="s">
        <v>32</v>
      </c>
      <c r="O2100" s="12" t="s">
        <v>33</v>
      </c>
      <c r="P2100" s="12" t="s">
        <v>34</v>
      </c>
      <c r="Q2100" s="9"/>
      <c r="R2100" s="18"/>
      <c r="S2100" s="18"/>
      <c r="T2100" s="18"/>
      <c r="U2100" s="18"/>
      <c r="V2100" s="18"/>
      <c r="W2100" s="15"/>
      <c r="X2100" s="15"/>
    </row>
    <row r="2101">
      <c r="A2101" s="7">
        <v>2100.0</v>
      </c>
      <c r="B2101" s="8" t="s">
        <v>8966</v>
      </c>
      <c r="C2101" s="9" t="s">
        <v>8967</v>
      </c>
      <c r="D2101" s="10" t="str">
        <f>HYPERLINK("https://facebook.com/367089020688300_531843634212837", "367089020688300_531843634212837")</f>
        <v>367089020688300_531843634212837</v>
      </c>
      <c r="E2101" s="11">
        <v>112.0</v>
      </c>
      <c r="F2101" s="11">
        <v>6.0</v>
      </c>
      <c r="G2101" s="11">
        <v>86.0</v>
      </c>
      <c r="H2101" s="9" t="s">
        <v>26</v>
      </c>
      <c r="I2101" s="9" t="s">
        <v>8968</v>
      </c>
      <c r="J2101" s="9" t="s">
        <v>8969</v>
      </c>
      <c r="K2101" s="9" t="s">
        <v>2266</v>
      </c>
      <c r="L2101" s="9" t="s">
        <v>30</v>
      </c>
      <c r="M2101" s="9" t="s">
        <v>31</v>
      </c>
      <c r="N2101" s="9" t="s">
        <v>32</v>
      </c>
      <c r="O2101" s="12" t="s">
        <v>33</v>
      </c>
      <c r="P2101" s="12" t="s">
        <v>34</v>
      </c>
      <c r="Q2101" s="9"/>
      <c r="R2101" s="18"/>
      <c r="S2101" s="18"/>
      <c r="T2101" s="18"/>
      <c r="U2101" s="18"/>
      <c r="V2101" s="18"/>
      <c r="W2101" s="15"/>
      <c r="X2101" s="15"/>
    </row>
    <row r="2102">
      <c r="A2102" s="7">
        <v>2101.0</v>
      </c>
      <c r="B2102" s="8" t="s">
        <v>8970</v>
      </c>
      <c r="C2102" s="9" t="s">
        <v>8971</v>
      </c>
      <c r="D2102" s="10" t="str">
        <f>HYPERLINK("https://facebook.com/367089020688300_555187445211789", "367089020688300_555187445211789")</f>
        <v>367089020688300_555187445211789</v>
      </c>
      <c r="E2102" s="11">
        <v>349.0</v>
      </c>
      <c r="F2102" s="11">
        <v>4.0</v>
      </c>
      <c r="G2102" s="11">
        <v>324.0</v>
      </c>
      <c r="H2102" s="9" t="s">
        <v>26</v>
      </c>
      <c r="I2102" s="9" t="s">
        <v>8972</v>
      </c>
      <c r="J2102" s="9" t="s">
        <v>8973</v>
      </c>
      <c r="K2102" s="9" t="s">
        <v>7336</v>
      </c>
      <c r="L2102" s="9" t="s">
        <v>30</v>
      </c>
      <c r="M2102" s="9" t="s">
        <v>31</v>
      </c>
      <c r="N2102" s="9" t="s">
        <v>32</v>
      </c>
      <c r="O2102" s="12" t="s">
        <v>33</v>
      </c>
      <c r="P2102" s="12" t="s">
        <v>34</v>
      </c>
      <c r="Q2102" s="9"/>
      <c r="R2102" s="18"/>
      <c r="S2102" s="18"/>
      <c r="T2102" s="18"/>
      <c r="U2102" s="18"/>
      <c r="V2102" s="18"/>
      <c r="W2102" s="15"/>
      <c r="X2102" s="15"/>
    </row>
    <row r="2103">
      <c r="A2103" s="7">
        <v>2102.0</v>
      </c>
      <c r="B2103" s="8" t="s">
        <v>8974</v>
      </c>
      <c r="C2103" s="9" t="s">
        <v>8975</v>
      </c>
      <c r="D2103" s="10" t="str">
        <f>HYPERLINK("https://facebook.com/367089020688300_560366458027221", "367089020688300_560366458027221")</f>
        <v>367089020688300_560366458027221</v>
      </c>
      <c r="E2103" s="11">
        <v>73.0</v>
      </c>
      <c r="F2103" s="11">
        <v>0.0</v>
      </c>
      <c r="G2103" s="11">
        <v>116.0</v>
      </c>
      <c r="H2103" s="9" t="s">
        <v>26</v>
      </c>
      <c r="I2103" s="9" t="s">
        <v>3515</v>
      </c>
      <c r="J2103" s="9" t="s">
        <v>3516</v>
      </c>
      <c r="K2103" s="9" t="s">
        <v>8976</v>
      </c>
      <c r="L2103" s="9" t="s">
        <v>30</v>
      </c>
      <c r="M2103" s="9" t="s">
        <v>31</v>
      </c>
      <c r="N2103" s="9" t="s">
        <v>32</v>
      </c>
      <c r="O2103" s="12" t="s">
        <v>33</v>
      </c>
      <c r="P2103" s="12" t="s">
        <v>34</v>
      </c>
      <c r="Q2103" s="9"/>
      <c r="R2103" s="18"/>
      <c r="S2103" s="18"/>
      <c r="T2103" s="18"/>
      <c r="U2103" s="18"/>
      <c r="V2103" s="18"/>
      <c r="W2103" s="15"/>
      <c r="X2103" s="15"/>
    </row>
    <row r="2104">
      <c r="A2104" s="7">
        <v>2103.0</v>
      </c>
      <c r="B2104" s="8" t="s">
        <v>8977</v>
      </c>
      <c r="C2104" s="9" t="s">
        <v>8978</v>
      </c>
      <c r="D2104" s="10" t="str">
        <f>HYPERLINK("https://facebook.com/367089020688300_544951499568717", "367089020688300_544951499568717")</f>
        <v>367089020688300_544951499568717</v>
      </c>
      <c r="E2104" s="11">
        <v>2.0</v>
      </c>
      <c r="F2104" s="11">
        <v>0.0</v>
      </c>
      <c r="G2104" s="11">
        <v>2.0</v>
      </c>
      <c r="H2104" s="9" t="s">
        <v>26</v>
      </c>
      <c r="I2104" s="9" t="s">
        <v>8979</v>
      </c>
      <c r="J2104" s="9" t="s">
        <v>8980</v>
      </c>
      <c r="K2104" s="9" t="s">
        <v>249</v>
      </c>
      <c r="L2104" s="9" t="s">
        <v>30</v>
      </c>
      <c r="M2104" s="9" t="s">
        <v>31</v>
      </c>
      <c r="N2104" s="9" t="s">
        <v>32</v>
      </c>
      <c r="O2104" s="12" t="s">
        <v>33</v>
      </c>
      <c r="P2104" s="12" t="s">
        <v>34</v>
      </c>
      <c r="Q2104" s="9"/>
      <c r="R2104" s="18"/>
      <c r="S2104" s="18"/>
      <c r="T2104" s="18"/>
      <c r="U2104" s="18"/>
      <c r="V2104" s="18"/>
      <c r="W2104" s="15"/>
      <c r="X2104" s="15"/>
    </row>
    <row r="2105">
      <c r="A2105" s="7">
        <v>2104.0</v>
      </c>
      <c r="B2105" s="8" t="s">
        <v>8981</v>
      </c>
      <c r="C2105" s="9" t="s">
        <v>8982</v>
      </c>
      <c r="D2105" s="10" t="str">
        <f>HYPERLINK("https://facebook.com/367089020688300_519816922082175", "367089020688300_519816922082175")</f>
        <v>367089020688300_519816922082175</v>
      </c>
      <c r="E2105" s="11">
        <v>37.0</v>
      </c>
      <c r="F2105" s="11">
        <v>0.0</v>
      </c>
      <c r="G2105" s="11">
        <v>51.0</v>
      </c>
      <c r="H2105" s="9" t="s">
        <v>26</v>
      </c>
      <c r="I2105" s="9" t="s">
        <v>8983</v>
      </c>
      <c r="J2105" s="9" t="s">
        <v>8984</v>
      </c>
      <c r="K2105" s="9" t="s">
        <v>249</v>
      </c>
      <c r="L2105" s="9" t="s">
        <v>30</v>
      </c>
      <c r="M2105" s="9" t="s">
        <v>31</v>
      </c>
      <c r="N2105" s="9" t="s">
        <v>32</v>
      </c>
      <c r="O2105" s="12" t="s">
        <v>33</v>
      </c>
      <c r="P2105" s="12" t="s">
        <v>34</v>
      </c>
      <c r="Q2105" s="9"/>
      <c r="R2105" s="18"/>
      <c r="S2105" s="18"/>
      <c r="T2105" s="18"/>
      <c r="U2105" s="18"/>
      <c r="V2105" s="18"/>
      <c r="W2105" s="15"/>
      <c r="X2105" s="15"/>
    </row>
    <row r="2106">
      <c r="A2106" s="7">
        <v>2105.0</v>
      </c>
      <c r="B2106" s="8" t="s">
        <v>8985</v>
      </c>
      <c r="C2106" s="9" t="s">
        <v>8986</v>
      </c>
      <c r="D2106" s="10" t="str">
        <f>HYPERLINK("https://facebook.com/367089020688300_556349885095545", "367089020688300_556349885095545")</f>
        <v>367089020688300_556349885095545</v>
      </c>
      <c r="E2106" s="11">
        <v>36.0</v>
      </c>
      <c r="F2106" s="11">
        <v>0.0</v>
      </c>
      <c r="G2106" s="11">
        <v>11.0</v>
      </c>
      <c r="H2106" s="9" t="s">
        <v>26</v>
      </c>
      <c r="I2106" s="9" t="s">
        <v>8987</v>
      </c>
      <c r="J2106" s="16" t="s">
        <v>8988</v>
      </c>
      <c r="K2106" s="9"/>
      <c r="L2106" s="9" t="s">
        <v>30</v>
      </c>
      <c r="M2106" s="9" t="s">
        <v>31</v>
      </c>
      <c r="N2106" s="9" t="s">
        <v>32</v>
      </c>
      <c r="O2106" s="12" t="s">
        <v>33</v>
      </c>
      <c r="P2106" s="12" t="s">
        <v>34</v>
      </c>
      <c r="Q2106" s="9"/>
      <c r="R2106" s="18"/>
      <c r="S2106" s="18"/>
      <c r="T2106" s="18"/>
      <c r="U2106" s="18"/>
      <c r="V2106" s="18"/>
      <c r="W2106" s="15"/>
      <c r="X2106" s="15"/>
    </row>
    <row r="2107">
      <c r="A2107" s="7">
        <v>2106.0</v>
      </c>
      <c r="B2107" s="8" t="s">
        <v>8989</v>
      </c>
      <c r="C2107" s="9" t="s">
        <v>8990</v>
      </c>
      <c r="D2107" s="10" t="str">
        <f>HYPERLINK("https://facebook.com/367089020688300_541961273201073", "367089020688300_541961273201073")</f>
        <v>367089020688300_541961273201073</v>
      </c>
      <c r="E2107" s="11">
        <v>10.0</v>
      </c>
      <c r="F2107" s="11">
        <v>0.0</v>
      </c>
      <c r="G2107" s="11">
        <v>0.0</v>
      </c>
      <c r="H2107" s="9" t="s">
        <v>26</v>
      </c>
      <c r="I2107" s="9" t="s">
        <v>1057</v>
      </c>
      <c r="J2107" s="16" t="s">
        <v>8991</v>
      </c>
      <c r="K2107" s="9"/>
      <c r="L2107" s="9" t="s">
        <v>30</v>
      </c>
      <c r="M2107" s="9" t="s">
        <v>31</v>
      </c>
      <c r="N2107" s="9" t="s">
        <v>32</v>
      </c>
      <c r="O2107" s="12" t="s">
        <v>33</v>
      </c>
      <c r="P2107" s="12" t="s">
        <v>34</v>
      </c>
      <c r="Q2107" s="9"/>
      <c r="R2107" s="18"/>
      <c r="S2107" s="18"/>
      <c r="T2107" s="18"/>
      <c r="U2107" s="18"/>
      <c r="V2107" s="18"/>
      <c r="W2107" s="15"/>
      <c r="X2107" s="15"/>
    </row>
    <row r="2108">
      <c r="A2108" s="7">
        <v>2107.0</v>
      </c>
      <c r="B2108" s="8" t="s">
        <v>8992</v>
      </c>
      <c r="C2108" s="9" t="s">
        <v>8993</v>
      </c>
      <c r="D2108" s="10" t="str">
        <f>HYPERLINK("https://facebook.com/367089020688300_539550213442179", "367089020688300_539550213442179")</f>
        <v>367089020688300_539550213442179</v>
      </c>
      <c r="E2108" s="11">
        <v>20.0</v>
      </c>
      <c r="F2108" s="11">
        <v>0.0</v>
      </c>
      <c r="G2108" s="11">
        <v>20.0</v>
      </c>
      <c r="H2108" s="9" t="s">
        <v>26</v>
      </c>
      <c r="I2108" s="9" t="s">
        <v>8994</v>
      </c>
      <c r="J2108" s="16" t="s">
        <v>8995</v>
      </c>
      <c r="K2108" s="9"/>
      <c r="L2108" s="9" t="s">
        <v>30</v>
      </c>
      <c r="M2108" s="9" t="s">
        <v>31</v>
      </c>
      <c r="N2108" s="9" t="s">
        <v>32</v>
      </c>
      <c r="O2108" s="12" t="s">
        <v>33</v>
      </c>
      <c r="P2108" s="12" t="s">
        <v>34</v>
      </c>
      <c r="Q2108" s="9"/>
      <c r="R2108" s="18"/>
      <c r="S2108" s="18"/>
      <c r="T2108" s="18"/>
      <c r="U2108" s="18"/>
      <c r="V2108" s="18"/>
      <c r="W2108" s="15"/>
      <c r="X2108" s="15"/>
    </row>
    <row r="2109">
      <c r="A2109" s="7">
        <v>2108.0</v>
      </c>
      <c r="B2109" s="8" t="s">
        <v>8996</v>
      </c>
      <c r="C2109" s="9" t="s">
        <v>8997</v>
      </c>
      <c r="D2109" s="10" t="str">
        <f>HYPERLINK("https://facebook.com/367089020688300_551383305592203", "367089020688300_551383305592203")</f>
        <v>367089020688300_551383305592203</v>
      </c>
      <c r="E2109" s="11">
        <v>19.0</v>
      </c>
      <c r="F2109" s="11">
        <v>0.0</v>
      </c>
      <c r="G2109" s="11">
        <v>15.0</v>
      </c>
      <c r="H2109" s="9" t="s">
        <v>26</v>
      </c>
      <c r="I2109" s="9" t="s">
        <v>8998</v>
      </c>
      <c r="J2109" s="9" t="s">
        <v>8999</v>
      </c>
      <c r="K2109" s="9" t="s">
        <v>577</v>
      </c>
      <c r="L2109" s="9" t="s">
        <v>30</v>
      </c>
      <c r="M2109" s="9" t="s">
        <v>31</v>
      </c>
      <c r="N2109" s="9" t="s">
        <v>32</v>
      </c>
      <c r="O2109" s="12" t="s">
        <v>33</v>
      </c>
      <c r="P2109" s="12" t="s">
        <v>34</v>
      </c>
      <c r="Q2109" s="9"/>
      <c r="R2109" s="18"/>
      <c r="S2109" s="18"/>
      <c r="T2109" s="18"/>
      <c r="U2109" s="18"/>
      <c r="V2109" s="18"/>
      <c r="W2109" s="15"/>
      <c r="X2109" s="15"/>
    </row>
    <row r="2110">
      <c r="A2110" s="7">
        <v>2109.0</v>
      </c>
      <c r="B2110" s="8" t="s">
        <v>9000</v>
      </c>
      <c r="C2110" s="9" t="s">
        <v>9001</v>
      </c>
      <c r="D2110" s="10" t="str">
        <f>HYPERLINK("https://facebook.com/367089020688300_478910636172804", "367089020688300_478910636172804")</f>
        <v>367089020688300_478910636172804</v>
      </c>
      <c r="E2110" s="11">
        <v>213.0</v>
      </c>
      <c r="F2110" s="11">
        <v>10.0</v>
      </c>
      <c r="G2110" s="11">
        <v>289.0</v>
      </c>
      <c r="H2110" s="9" t="s">
        <v>26</v>
      </c>
      <c r="I2110" s="9" t="s">
        <v>9002</v>
      </c>
      <c r="J2110" s="9" t="s">
        <v>9003</v>
      </c>
      <c r="K2110" s="9" t="s">
        <v>9004</v>
      </c>
      <c r="L2110" s="9" t="s">
        <v>30</v>
      </c>
      <c r="M2110" s="9" t="s">
        <v>31</v>
      </c>
      <c r="N2110" s="9" t="s">
        <v>32</v>
      </c>
      <c r="O2110" s="12" t="s">
        <v>33</v>
      </c>
      <c r="P2110" s="12" t="s">
        <v>34</v>
      </c>
      <c r="Q2110" s="9"/>
      <c r="R2110" s="18"/>
      <c r="S2110" s="18"/>
      <c r="T2110" s="18"/>
      <c r="U2110" s="18"/>
      <c r="V2110" s="18"/>
      <c r="W2110" s="15"/>
      <c r="X2110" s="15"/>
    </row>
    <row r="2111">
      <c r="A2111" s="7">
        <v>2110.0</v>
      </c>
      <c r="B2111" s="8" t="s">
        <v>9005</v>
      </c>
      <c r="C2111" s="9" t="s">
        <v>9006</v>
      </c>
      <c r="D2111" s="10" t="str">
        <f>HYPERLINK("https://facebook.com/367089020688300_481448552585679", "367089020688300_481448552585679")</f>
        <v>367089020688300_481448552585679</v>
      </c>
      <c r="E2111" s="11">
        <v>279.0</v>
      </c>
      <c r="F2111" s="11">
        <v>2.0</v>
      </c>
      <c r="G2111" s="11">
        <v>132.0</v>
      </c>
      <c r="H2111" s="9" t="s">
        <v>26</v>
      </c>
      <c r="I2111" s="9" t="s">
        <v>2577</v>
      </c>
      <c r="J2111" s="9" t="s">
        <v>9007</v>
      </c>
      <c r="K2111" s="9" t="s">
        <v>9008</v>
      </c>
      <c r="L2111" s="9" t="s">
        <v>30</v>
      </c>
      <c r="M2111" s="9" t="s">
        <v>31</v>
      </c>
      <c r="N2111" s="9" t="s">
        <v>32</v>
      </c>
      <c r="O2111" s="12" t="s">
        <v>33</v>
      </c>
      <c r="P2111" s="12" t="s">
        <v>34</v>
      </c>
      <c r="Q2111" s="9"/>
      <c r="R2111" s="18"/>
      <c r="S2111" s="18"/>
      <c r="T2111" s="18"/>
      <c r="U2111" s="18"/>
      <c r="V2111" s="18"/>
      <c r="W2111" s="15"/>
      <c r="X2111" s="15"/>
    </row>
    <row r="2112">
      <c r="A2112" s="7">
        <v>2111.0</v>
      </c>
      <c r="B2112" s="8" t="s">
        <v>9009</v>
      </c>
      <c r="C2112" s="9" t="s">
        <v>9010</v>
      </c>
      <c r="D2112" s="10" t="str">
        <f>HYPERLINK("https://facebook.com/367089020688300_544587396271794", "367089020688300_544587396271794")</f>
        <v>367089020688300_544587396271794</v>
      </c>
      <c r="E2112" s="11">
        <v>6.0</v>
      </c>
      <c r="F2112" s="11">
        <v>0.0</v>
      </c>
      <c r="G2112" s="11">
        <v>5.0</v>
      </c>
      <c r="H2112" s="9" t="s">
        <v>26</v>
      </c>
      <c r="I2112" s="9" t="s">
        <v>9011</v>
      </c>
      <c r="J2112" s="9" t="s">
        <v>9012</v>
      </c>
      <c r="K2112" s="9" t="s">
        <v>9013</v>
      </c>
      <c r="L2112" s="9" t="s">
        <v>30</v>
      </c>
      <c r="M2112" s="9" t="s">
        <v>31</v>
      </c>
      <c r="N2112" s="9" t="s">
        <v>32</v>
      </c>
      <c r="O2112" s="12" t="s">
        <v>33</v>
      </c>
      <c r="P2112" s="12" t="s">
        <v>34</v>
      </c>
      <c r="Q2112" s="9"/>
      <c r="R2112" s="18"/>
      <c r="S2112" s="18"/>
      <c r="T2112" s="18"/>
      <c r="U2112" s="18"/>
      <c r="V2112" s="18"/>
      <c r="W2112" s="15"/>
      <c r="X2112" s="15"/>
    </row>
    <row r="2113">
      <c r="A2113" s="7">
        <v>2112.0</v>
      </c>
      <c r="B2113" s="8" t="s">
        <v>9014</v>
      </c>
      <c r="C2113" s="9" t="s">
        <v>9015</v>
      </c>
      <c r="D2113" s="10" t="str">
        <f>HYPERLINK("https://facebook.com/367089020688300_550706062326594", "367089020688300_550706062326594")</f>
        <v>367089020688300_550706062326594</v>
      </c>
      <c r="E2113" s="11">
        <v>153.0</v>
      </c>
      <c r="F2113" s="11">
        <v>2.0</v>
      </c>
      <c r="G2113" s="11">
        <v>134.0</v>
      </c>
      <c r="H2113" s="9" t="s">
        <v>26</v>
      </c>
      <c r="I2113" s="9" t="s">
        <v>9016</v>
      </c>
      <c r="J2113" s="9" t="s">
        <v>9017</v>
      </c>
      <c r="K2113" s="9" t="s">
        <v>249</v>
      </c>
      <c r="L2113" s="9" t="s">
        <v>30</v>
      </c>
      <c r="M2113" s="9" t="s">
        <v>31</v>
      </c>
      <c r="N2113" s="9" t="s">
        <v>32</v>
      </c>
      <c r="O2113" s="12" t="s">
        <v>33</v>
      </c>
      <c r="P2113" s="12" t="s">
        <v>34</v>
      </c>
      <c r="Q2113" s="9"/>
      <c r="R2113" s="18"/>
      <c r="S2113" s="18"/>
      <c r="T2113" s="18"/>
      <c r="U2113" s="18"/>
      <c r="V2113" s="18"/>
      <c r="W2113" s="15"/>
      <c r="X2113" s="15"/>
    </row>
    <row r="2114">
      <c r="A2114" s="7">
        <v>2113.0</v>
      </c>
      <c r="B2114" s="8" t="s">
        <v>9018</v>
      </c>
      <c r="C2114" s="9" t="s">
        <v>9019</v>
      </c>
      <c r="D2114" s="10" t="str">
        <f>HYPERLINK("https://facebook.com/367089020688300_531984504198750", "367089020688300_531984504198750")</f>
        <v>367089020688300_531984504198750</v>
      </c>
      <c r="E2114" s="11">
        <v>489.0</v>
      </c>
      <c r="F2114" s="11">
        <v>0.0</v>
      </c>
      <c r="G2114" s="11">
        <v>132.0</v>
      </c>
      <c r="H2114" s="9" t="s">
        <v>26</v>
      </c>
      <c r="I2114" s="9" t="s">
        <v>9020</v>
      </c>
      <c r="J2114" s="16" t="s">
        <v>9021</v>
      </c>
      <c r="K2114" s="9"/>
      <c r="L2114" s="9" t="s">
        <v>30</v>
      </c>
      <c r="M2114" s="9" t="s">
        <v>31</v>
      </c>
      <c r="N2114" s="9" t="s">
        <v>32</v>
      </c>
      <c r="O2114" s="12" t="s">
        <v>33</v>
      </c>
      <c r="P2114" s="12" t="s">
        <v>34</v>
      </c>
      <c r="Q2114" s="9"/>
      <c r="R2114" s="18"/>
      <c r="S2114" s="18"/>
      <c r="T2114" s="18"/>
      <c r="U2114" s="18"/>
      <c r="V2114" s="18"/>
      <c r="W2114" s="15"/>
      <c r="X2114" s="15"/>
    </row>
    <row r="2115">
      <c r="A2115" s="7">
        <v>2114.0</v>
      </c>
      <c r="B2115" s="8" t="s">
        <v>9022</v>
      </c>
      <c r="C2115" s="9" t="s">
        <v>9023</v>
      </c>
      <c r="D2115" s="10" t="str">
        <f>HYPERLINK("https://facebook.com/367089020688300_558791674851366", "367089020688300_558791674851366")</f>
        <v>367089020688300_558791674851366</v>
      </c>
      <c r="E2115" s="11">
        <v>17.0</v>
      </c>
      <c r="F2115" s="11">
        <v>0.0</v>
      </c>
      <c r="G2115" s="11">
        <v>11.0</v>
      </c>
      <c r="H2115" s="9" t="s">
        <v>26</v>
      </c>
      <c r="I2115" s="9" t="s">
        <v>9024</v>
      </c>
      <c r="J2115" s="9" t="s">
        <v>9025</v>
      </c>
      <c r="K2115" s="9" t="s">
        <v>2266</v>
      </c>
      <c r="L2115" s="9" t="s">
        <v>30</v>
      </c>
      <c r="M2115" s="9" t="s">
        <v>31</v>
      </c>
      <c r="N2115" s="9" t="s">
        <v>32</v>
      </c>
      <c r="O2115" s="12" t="s">
        <v>33</v>
      </c>
      <c r="P2115" s="12" t="s">
        <v>34</v>
      </c>
      <c r="Q2115" s="9"/>
      <c r="R2115" s="18"/>
      <c r="S2115" s="18"/>
      <c r="T2115" s="18"/>
      <c r="U2115" s="18"/>
      <c r="V2115" s="18"/>
      <c r="W2115" s="15"/>
      <c r="X2115" s="15"/>
    </row>
    <row r="2116">
      <c r="A2116" s="7">
        <v>2115.0</v>
      </c>
      <c r="B2116" s="8" t="s">
        <v>9026</v>
      </c>
      <c r="C2116" s="9" t="s">
        <v>9027</v>
      </c>
      <c r="D2116" s="10" t="str">
        <f>HYPERLINK("https://facebook.com/367089020688300_533830894014111", "367089020688300_533830894014111")</f>
        <v>367089020688300_533830894014111</v>
      </c>
      <c r="E2116" s="11">
        <v>213.0</v>
      </c>
      <c r="F2116" s="11">
        <v>1.0</v>
      </c>
      <c r="G2116" s="11">
        <v>59.0</v>
      </c>
      <c r="H2116" s="9" t="s">
        <v>26</v>
      </c>
      <c r="I2116" s="9" t="s">
        <v>1868</v>
      </c>
      <c r="J2116" s="9" t="s">
        <v>9028</v>
      </c>
      <c r="K2116" s="9" t="s">
        <v>6858</v>
      </c>
      <c r="L2116" s="9" t="s">
        <v>30</v>
      </c>
      <c r="M2116" s="9" t="s">
        <v>31</v>
      </c>
      <c r="N2116" s="9" t="s">
        <v>32</v>
      </c>
      <c r="O2116" s="12" t="s">
        <v>33</v>
      </c>
      <c r="P2116" s="12" t="s">
        <v>34</v>
      </c>
      <c r="Q2116" s="9"/>
      <c r="R2116" s="18"/>
      <c r="S2116" s="18"/>
      <c r="T2116" s="18"/>
      <c r="U2116" s="18"/>
      <c r="V2116" s="18"/>
      <c r="W2116" s="15"/>
      <c r="X2116" s="15"/>
    </row>
    <row r="2117">
      <c r="A2117" s="7">
        <v>2116.0</v>
      </c>
      <c r="B2117" s="8" t="s">
        <v>9029</v>
      </c>
      <c r="C2117" s="9" t="s">
        <v>9030</v>
      </c>
      <c r="D2117" s="10" t="str">
        <f>HYPERLINK("https://facebook.com/367089020688300_545813566149177", "367089020688300_545813566149177")</f>
        <v>367089020688300_545813566149177</v>
      </c>
      <c r="E2117" s="11">
        <v>10.0</v>
      </c>
      <c r="F2117" s="11">
        <v>0.0</v>
      </c>
      <c r="G2117" s="11">
        <v>1.0</v>
      </c>
      <c r="H2117" s="9" t="s">
        <v>26</v>
      </c>
      <c r="I2117" s="9" t="s">
        <v>9031</v>
      </c>
      <c r="J2117" s="9" t="s">
        <v>9032</v>
      </c>
      <c r="K2117" s="9" t="s">
        <v>9033</v>
      </c>
      <c r="L2117" s="9" t="s">
        <v>30</v>
      </c>
      <c r="M2117" s="9" t="s">
        <v>31</v>
      </c>
      <c r="N2117" s="9" t="s">
        <v>32</v>
      </c>
      <c r="O2117" s="12" t="s">
        <v>33</v>
      </c>
      <c r="P2117" s="12" t="s">
        <v>34</v>
      </c>
      <c r="Q2117" s="9"/>
      <c r="R2117" s="18"/>
      <c r="S2117" s="18"/>
      <c r="T2117" s="18"/>
      <c r="U2117" s="18"/>
      <c r="V2117" s="18"/>
      <c r="W2117" s="15"/>
      <c r="X2117" s="15"/>
    </row>
    <row r="2118">
      <c r="A2118" s="7">
        <v>2117.0</v>
      </c>
      <c r="B2118" s="8" t="s">
        <v>9034</v>
      </c>
      <c r="C2118" s="9" t="s">
        <v>9035</v>
      </c>
      <c r="D2118" s="10" t="str">
        <f>HYPERLINK("https://facebook.com/367089020688300_403087857088416", "367089020688300_403087857088416")</f>
        <v>367089020688300_403087857088416</v>
      </c>
      <c r="E2118" s="11">
        <v>1173.0</v>
      </c>
      <c r="F2118" s="11">
        <v>34.0</v>
      </c>
      <c r="G2118" s="11">
        <v>535.0</v>
      </c>
      <c r="H2118" s="9" t="s">
        <v>26</v>
      </c>
      <c r="I2118" s="9" t="s">
        <v>9036</v>
      </c>
      <c r="J2118" s="9" t="s">
        <v>9037</v>
      </c>
      <c r="K2118" s="9" t="s">
        <v>9038</v>
      </c>
      <c r="L2118" s="9" t="s">
        <v>30</v>
      </c>
      <c r="M2118" s="9" t="s">
        <v>31</v>
      </c>
      <c r="N2118" s="9" t="s">
        <v>32</v>
      </c>
      <c r="O2118" s="12" t="s">
        <v>33</v>
      </c>
      <c r="P2118" s="12" t="s">
        <v>34</v>
      </c>
      <c r="Q2118" s="9"/>
      <c r="R2118" s="18"/>
      <c r="S2118" s="18"/>
      <c r="T2118" s="18"/>
      <c r="U2118" s="18"/>
      <c r="V2118" s="18"/>
      <c r="W2118" s="15"/>
      <c r="X2118" s="15"/>
    </row>
    <row r="2119">
      <c r="A2119" s="7">
        <v>2118.0</v>
      </c>
      <c r="B2119" s="8" t="s">
        <v>9039</v>
      </c>
      <c r="C2119" s="9" t="s">
        <v>9040</v>
      </c>
      <c r="D2119" s="10" t="str">
        <f>HYPERLINK("https://facebook.com/367089020688300_530331747697359", "367089020688300_530331747697359")</f>
        <v>367089020688300_530331747697359</v>
      </c>
      <c r="E2119" s="11">
        <v>58.0</v>
      </c>
      <c r="F2119" s="11">
        <v>0.0</v>
      </c>
      <c r="G2119" s="11">
        <v>37.0</v>
      </c>
      <c r="H2119" s="9" t="s">
        <v>26</v>
      </c>
      <c r="I2119" s="9" t="s">
        <v>3018</v>
      </c>
      <c r="J2119" s="16" t="s">
        <v>9041</v>
      </c>
      <c r="K2119" s="9"/>
      <c r="L2119" s="9" t="s">
        <v>30</v>
      </c>
      <c r="M2119" s="9" t="s">
        <v>31</v>
      </c>
      <c r="N2119" s="9" t="s">
        <v>32</v>
      </c>
      <c r="O2119" s="12" t="s">
        <v>33</v>
      </c>
      <c r="P2119" s="12" t="s">
        <v>34</v>
      </c>
      <c r="Q2119" s="9"/>
      <c r="R2119" s="18"/>
      <c r="S2119" s="18"/>
      <c r="T2119" s="18"/>
      <c r="U2119" s="18"/>
      <c r="V2119" s="18"/>
      <c r="W2119" s="15"/>
      <c r="X2119" s="15"/>
    </row>
    <row r="2120">
      <c r="A2120" s="7">
        <v>2119.0</v>
      </c>
      <c r="B2120" s="8" t="s">
        <v>9042</v>
      </c>
      <c r="C2120" s="9" t="s">
        <v>9043</v>
      </c>
      <c r="D2120" s="10" t="str">
        <f>HYPERLINK("https://facebook.com/367089020688300_525506724846528", "367089020688300_525506724846528")</f>
        <v>367089020688300_525506724846528</v>
      </c>
      <c r="E2120" s="11">
        <v>155.0</v>
      </c>
      <c r="F2120" s="11">
        <v>11.0</v>
      </c>
      <c r="G2120" s="11">
        <v>294.0</v>
      </c>
      <c r="H2120" s="9" t="s">
        <v>26</v>
      </c>
      <c r="I2120" s="9" t="s">
        <v>9044</v>
      </c>
      <c r="J2120" s="16" t="s">
        <v>9045</v>
      </c>
      <c r="K2120" s="9"/>
      <c r="L2120" s="9" t="s">
        <v>30</v>
      </c>
      <c r="M2120" s="9" t="s">
        <v>31</v>
      </c>
      <c r="N2120" s="9" t="s">
        <v>32</v>
      </c>
      <c r="O2120" s="12" t="s">
        <v>33</v>
      </c>
      <c r="P2120" s="12" t="s">
        <v>34</v>
      </c>
      <c r="Q2120" s="9"/>
      <c r="R2120" s="18"/>
      <c r="S2120" s="18"/>
      <c r="T2120" s="18"/>
      <c r="U2120" s="18"/>
      <c r="V2120" s="18"/>
      <c r="W2120" s="15"/>
      <c r="X2120" s="15"/>
    </row>
    <row r="2121">
      <c r="A2121" s="7">
        <v>2120.0</v>
      </c>
      <c r="B2121" s="8" t="s">
        <v>9046</v>
      </c>
      <c r="C2121" s="9" t="s">
        <v>9047</v>
      </c>
      <c r="D2121" s="10" t="str">
        <f>HYPERLINK("https://facebook.com/367089020688300_449041829159685", "367089020688300_449041829159685")</f>
        <v>367089020688300_449041829159685</v>
      </c>
      <c r="E2121" s="11">
        <v>161.0</v>
      </c>
      <c r="F2121" s="11">
        <v>17.0</v>
      </c>
      <c r="G2121" s="11">
        <v>352.0</v>
      </c>
      <c r="H2121" s="9" t="s">
        <v>26</v>
      </c>
      <c r="I2121" s="9" t="s">
        <v>9048</v>
      </c>
      <c r="J2121" s="9" t="s">
        <v>9049</v>
      </c>
      <c r="K2121" s="9" t="s">
        <v>9050</v>
      </c>
      <c r="L2121" s="9" t="s">
        <v>30</v>
      </c>
      <c r="M2121" s="9" t="s">
        <v>31</v>
      </c>
      <c r="N2121" s="9" t="s">
        <v>32</v>
      </c>
      <c r="O2121" s="12" t="s">
        <v>33</v>
      </c>
      <c r="P2121" s="12" t="s">
        <v>34</v>
      </c>
      <c r="Q2121" s="9"/>
      <c r="R2121" s="18"/>
      <c r="S2121" s="18"/>
      <c r="T2121" s="18"/>
      <c r="U2121" s="18"/>
      <c r="V2121" s="18"/>
      <c r="W2121" s="15"/>
      <c r="X2121" s="15"/>
    </row>
    <row r="2122">
      <c r="A2122" s="7">
        <v>2121.0</v>
      </c>
      <c r="B2122" s="8" t="s">
        <v>9051</v>
      </c>
      <c r="C2122" s="9" t="s">
        <v>9052</v>
      </c>
      <c r="D2122" s="10" t="str">
        <f>HYPERLINK("https://facebook.com/367089020688300_504925770237957", "367089020688300_504925770237957")</f>
        <v>367089020688300_504925770237957</v>
      </c>
      <c r="E2122" s="11">
        <v>1046.0</v>
      </c>
      <c r="F2122" s="11">
        <v>81.0</v>
      </c>
      <c r="G2122" s="11">
        <v>622.0</v>
      </c>
      <c r="H2122" s="9" t="s">
        <v>26</v>
      </c>
      <c r="I2122" s="9" t="s">
        <v>9053</v>
      </c>
      <c r="J2122" s="9" t="s">
        <v>9054</v>
      </c>
      <c r="K2122" s="9" t="s">
        <v>9055</v>
      </c>
      <c r="L2122" s="9" t="s">
        <v>30</v>
      </c>
      <c r="M2122" s="9" t="s">
        <v>31</v>
      </c>
      <c r="N2122" s="9" t="s">
        <v>32</v>
      </c>
      <c r="O2122" s="12" t="s">
        <v>33</v>
      </c>
      <c r="P2122" s="12" t="s">
        <v>34</v>
      </c>
      <c r="Q2122" s="9"/>
      <c r="R2122" s="18"/>
      <c r="S2122" s="18"/>
      <c r="T2122" s="18"/>
      <c r="U2122" s="18"/>
      <c r="V2122" s="18"/>
      <c r="W2122" s="15"/>
      <c r="X2122" s="15"/>
    </row>
    <row r="2123">
      <c r="A2123" s="7">
        <v>2122.0</v>
      </c>
      <c r="B2123" s="8" t="s">
        <v>9056</v>
      </c>
      <c r="C2123" s="9" t="s">
        <v>9057</v>
      </c>
      <c r="D2123" s="10" t="str">
        <f>HYPERLINK("https://facebook.com/367089020688300_490953971635137", "367089020688300_490953971635137")</f>
        <v>367089020688300_490953971635137</v>
      </c>
      <c r="E2123" s="11">
        <v>1797.0</v>
      </c>
      <c r="F2123" s="11">
        <v>178.0</v>
      </c>
      <c r="G2123" s="11">
        <v>246.0</v>
      </c>
      <c r="H2123" s="9" t="s">
        <v>26</v>
      </c>
      <c r="I2123" s="9" t="s">
        <v>6503</v>
      </c>
      <c r="J2123" s="9" t="s">
        <v>6504</v>
      </c>
      <c r="K2123" s="9" t="s">
        <v>9058</v>
      </c>
      <c r="L2123" s="9" t="s">
        <v>30</v>
      </c>
      <c r="M2123" s="9" t="s">
        <v>31</v>
      </c>
      <c r="N2123" s="9" t="s">
        <v>32</v>
      </c>
      <c r="O2123" s="12" t="s">
        <v>33</v>
      </c>
      <c r="P2123" s="12" t="s">
        <v>34</v>
      </c>
      <c r="Q2123" s="9"/>
      <c r="R2123" s="18"/>
      <c r="S2123" s="18"/>
      <c r="T2123" s="18"/>
      <c r="U2123" s="18"/>
      <c r="V2123" s="18"/>
      <c r="W2123" s="15"/>
      <c r="X2123" s="15"/>
    </row>
    <row r="2124">
      <c r="A2124" s="7">
        <v>2123.0</v>
      </c>
      <c r="B2124" s="8" t="s">
        <v>9059</v>
      </c>
      <c r="C2124" s="9" t="s">
        <v>9060</v>
      </c>
      <c r="D2124" s="10" t="str">
        <f>HYPERLINK("https://facebook.com/367089020688300_522436958486838", "367089020688300_522436958486838")</f>
        <v>367089020688300_522436958486838</v>
      </c>
      <c r="E2124" s="11">
        <v>863.0</v>
      </c>
      <c r="F2124" s="11">
        <v>6.0</v>
      </c>
      <c r="G2124" s="11">
        <v>631.0</v>
      </c>
      <c r="H2124" s="9" t="s">
        <v>26</v>
      </c>
      <c r="I2124" s="9" t="s">
        <v>9061</v>
      </c>
      <c r="J2124" s="9" t="s">
        <v>9062</v>
      </c>
      <c r="K2124" s="9" t="s">
        <v>9063</v>
      </c>
      <c r="L2124" s="9" t="s">
        <v>30</v>
      </c>
      <c r="M2124" s="9" t="s">
        <v>31</v>
      </c>
      <c r="N2124" s="9" t="s">
        <v>32</v>
      </c>
      <c r="O2124" s="12" t="s">
        <v>33</v>
      </c>
      <c r="P2124" s="12" t="s">
        <v>34</v>
      </c>
      <c r="Q2124" s="9"/>
      <c r="R2124" s="18"/>
      <c r="S2124" s="18"/>
      <c r="T2124" s="18"/>
      <c r="U2124" s="18"/>
      <c r="V2124" s="18"/>
      <c r="W2124" s="15"/>
      <c r="X2124" s="15"/>
    </row>
    <row r="2125">
      <c r="A2125" s="7">
        <v>2124.0</v>
      </c>
      <c r="B2125" s="8" t="s">
        <v>9064</v>
      </c>
      <c r="C2125" s="9" t="s">
        <v>9065</v>
      </c>
      <c r="D2125" s="10" t="str">
        <f>HYPERLINK("https://facebook.com/367089020688300_548576962539504", "367089020688300_548576962539504")</f>
        <v>367089020688300_548576962539504</v>
      </c>
      <c r="E2125" s="11">
        <v>23.0</v>
      </c>
      <c r="F2125" s="11">
        <v>0.0</v>
      </c>
      <c r="G2125" s="11">
        <v>10.0</v>
      </c>
      <c r="H2125" s="9" t="s">
        <v>26</v>
      </c>
      <c r="I2125" s="9" t="s">
        <v>9066</v>
      </c>
      <c r="J2125" s="9" t="s">
        <v>9067</v>
      </c>
      <c r="K2125" s="9" t="s">
        <v>214</v>
      </c>
      <c r="L2125" s="9" t="s">
        <v>30</v>
      </c>
      <c r="M2125" s="9" t="s">
        <v>31</v>
      </c>
      <c r="N2125" s="9" t="s">
        <v>32</v>
      </c>
      <c r="O2125" s="12" t="s">
        <v>33</v>
      </c>
      <c r="P2125" s="12" t="s">
        <v>34</v>
      </c>
      <c r="Q2125" s="9"/>
      <c r="R2125" s="18"/>
      <c r="S2125" s="18"/>
      <c r="T2125" s="18"/>
      <c r="U2125" s="18"/>
      <c r="V2125" s="18"/>
      <c r="W2125" s="15"/>
      <c r="X2125" s="15"/>
    </row>
    <row r="2126">
      <c r="A2126" s="7">
        <v>2125.0</v>
      </c>
      <c r="B2126" s="8" t="s">
        <v>9068</v>
      </c>
      <c r="C2126" s="9" t="s">
        <v>9069</v>
      </c>
      <c r="D2126" s="10" t="str">
        <f>HYPERLINK("https://facebook.com/367089020688300_399149117482290", "367089020688300_399149117482290")</f>
        <v>367089020688300_399149117482290</v>
      </c>
      <c r="E2126" s="11">
        <v>545.0</v>
      </c>
      <c r="F2126" s="11">
        <v>19.0</v>
      </c>
      <c r="G2126" s="11">
        <v>694.0</v>
      </c>
      <c r="H2126" s="9" t="s">
        <v>26</v>
      </c>
      <c r="I2126" s="9" t="s">
        <v>9070</v>
      </c>
      <c r="J2126" s="9" t="s">
        <v>9071</v>
      </c>
      <c r="K2126" s="9" t="s">
        <v>9072</v>
      </c>
      <c r="L2126" s="9" t="s">
        <v>30</v>
      </c>
      <c r="M2126" s="9" t="s">
        <v>31</v>
      </c>
      <c r="N2126" s="9" t="s">
        <v>32</v>
      </c>
      <c r="O2126" s="12" t="s">
        <v>33</v>
      </c>
      <c r="P2126" s="12" t="s">
        <v>34</v>
      </c>
      <c r="Q2126" s="9"/>
      <c r="R2126" s="18"/>
      <c r="S2126" s="18"/>
      <c r="T2126" s="18"/>
      <c r="U2126" s="18"/>
      <c r="V2126" s="18"/>
      <c r="W2126" s="15"/>
      <c r="X2126" s="15"/>
    </row>
    <row r="2127">
      <c r="A2127" s="7">
        <v>2126.0</v>
      </c>
      <c r="B2127" s="8" t="s">
        <v>9073</v>
      </c>
      <c r="C2127" s="9" t="s">
        <v>9074</v>
      </c>
      <c r="D2127" s="10" t="str">
        <f>HYPERLINK("https://facebook.com/367089020688300_425195408210994", "367089020688300_425195408210994")</f>
        <v>367089020688300_425195408210994</v>
      </c>
      <c r="E2127" s="11">
        <v>491.0</v>
      </c>
      <c r="F2127" s="11">
        <v>31.0</v>
      </c>
      <c r="G2127" s="11">
        <v>790.0</v>
      </c>
      <c r="H2127" s="9" t="s">
        <v>26</v>
      </c>
      <c r="I2127" s="9" t="s">
        <v>9075</v>
      </c>
      <c r="J2127" s="9" t="s">
        <v>9076</v>
      </c>
      <c r="K2127" s="9" t="s">
        <v>4812</v>
      </c>
      <c r="L2127" s="9" t="s">
        <v>30</v>
      </c>
      <c r="M2127" s="9" t="s">
        <v>31</v>
      </c>
      <c r="N2127" s="9" t="s">
        <v>32</v>
      </c>
      <c r="O2127" s="12" t="s">
        <v>33</v>
      </c>
      <c r="P2127" s="12" t="s">
        <v>34</v>
      </c>
      <c r="Q2127" s="9"/>
      <c r="R2127" s="18"/>
      <c r="S2127" s="18"/>
      <c r="T2127" s="18"/>
      <c r="U2127" s="18"/>
      <c r="V2127" s="18"/>
      <c r="W2127" s="15"/>
      <c r="X2127" s="15"/>
    </row>
    <row r="2128">
      <c r="A2128" s="7">
        <v>2127.0</v>
      </c>
      <c r="B2128" s="8" t="s">
        <v>9077</v>
      </c>
      <c r="C2128" s="9" t="s">
        <v>9078</v>
      </c>
      <c r="D2128" s="10" t="str">
        <f>HYPERLINK("https://facebook.com/367089020688300_549989702398230", "367089020688300_549989702398230")</f>
        <v>367089020688300_549989702398230</v>
      </c>
      <c r="E2128" s="11">
        <v>45.0</v>
      </c>
      <c r="F2128" s="11">
        <v>0.0</v>
      </c>
      <c r="G2128" s="11">
        <v>8.0</v>
      </c>
      <c r="H2128" s="9" t="s">
        <v>26</v>
      </c>
      <c r="I2128" s="9" t="s">
        <v>1868</v>
      </c>
      <c r="J2128" s="16" t="s">
        <v>9079</v>
      </c>
      <c r="K2128" s="9"/>
      <c r="L2128" s="9" t="s">
        <v>30</v>
      </c>
      <c r="M2128" s="9" t="s">
        <v>31</v>
      </c>
      <c r="N2128" s="9" t="s">
        <v>32</v>
      </c>
      <c r="O2128" s="12" t="s">
        <v>33</v>
      </c>
      <c r="P2128" s="12" t="s">
        <v>34</v>
      </c>
      <c r="Q2128" s="9"/>
      <c r="R2128" s="18"/>
      <c r="S2128" s="18"/>
      <c r="T2128" s="18"/>
      <c r="U2128" s="18"/>
      <c r="V2128" s="18"/>
      <c r="W2128" s="15"/>
      <c r="X2128" s="15"/>
    </row>
    <row r="2129">
      <c r="A2129" s="7">
        <v>2128.0</v>
      </c>
      <c r="B2129" s="8" t="s">
        <v>9080</v>
      </c>
      <c r="C2129" s="9" t="s">
        <v>9081</v>
      </c>
      <c r="D2129" s="10" t="str">
        <f>HYPERLINK("https://facebook.com/367089020688300_545975652799635", "367089020688300_545975652799635")</f>
        <v>367089020688300_545975652799635</v>
      </c>
      <c r="E2129" s="11">
        <v>67.0</v>
      </c>
      <c r="F2129" s="11">
        <v>1.0</v>
      </c>
      <c r="G2129" s="11">
        <v>48.0</v>
      </c>
      <c r="H2129" s="9" t="s">
        <v>26</v>
      </c>
      <c r="I2129" s="9" t="s">
        <v>9082</v>
      </c>
      <c r="J2129" s="16" t="s">
        <v>9083</v>
      </c>
      <c r="K2129" s="9"/>
      <c r="L2129" s="9" t="s">
        <v>30</v>
      </c>
      <c r="M2129" s="9" t="s">
        <v>31</v>
      </c>
      <c r="N2129" s="9" t="s">
        <v>32</v>
      </c>
      <c r="O2129" s="12" t="s">
        <v>33</v>
      </c>
      <c r="P2129" s="12" t="s">
        <v>34</v>
      </c>
      <c r="Q2129" s="9"/>
      <c r="R2129" s="18"/>
      <c r="S2129" s="18"/>
      <c r="T2129" s="18"/>
      <c r="U2129" s="18"/>
      <c r="V2129" s="18"/>
      <c r="W2129" s="15"/>
      <c r="X2129" s="15"/>
    </row>
    <row r="2130">
      <c r="A2130" s="7">
        <v>2129.0</v>
      </c>
      <c r="B2130" s="8" t="s">
        <v>9084</v>
      </c>
      <c r="C2130" s="9" t="s">
        <v>9085</v>
      </c>
      <c r="D2130" s="10" t="str">
        <f>HYPERLINK("https://facebook.com/367089020688300_549850825745451", "367089020688300_549850825745451")</f>
        <v>367089020688300_549850825745451</v>
      </c>
      <c r="E2130" s="11">
        <v>34.0</v>
      </c>
      <c r="F2130" s="11">
        <v>0.0</v>
      </c>
      <c r="G2130" s="11">
        <v>35.0</v>
      </c>
      <c r="H2130" s="9" t="s">
        <v>26</v>
      </c>
      <c r="I2130" s="9" t="s">
        <v>2243</v>
      </c>
      <c r="J2130" s="9" t="s">
        <v>9086</v>
      </c>
      <c r="K2130" s="9" t="s">
        <v>219</v>
      </c>
      <c r="L2130" s="9" t="s">
        <v>30</v>
      </c>
      <c r="M2130" s="9" t="s">
        <v>31</v>
      </c>
      <c r="N2130" s="9" t="s">
        <v>32</v>
      </c>
      <c r="O2130" s="12" t="s">
        <v>33</v>
      </c>
      <c r="P2130" s="12" t="s">
        <v>34</v>
      </c>
      <c r="Q2130" s="9"/>
      <c r="R2130" s="18"/>
      <c r="S2130" s="18"/>
      <c r="T2130" s="18"/>
      <c r="U2130" s="18"/>
      <c r="V2130" s="18"/>
      <c r="W2130" s="15"/>
      <c r="X2130" s="15"/>
    </row>
    <row r="2131">
      <c r="A2131" s="7">
        <v>2130.0</v>
      </c>
      <c r="B2131" s="8" t="s">
        <v>9087</v>
      </c>
      <c r="C2131" s="9" t="s">
        <v>9088</v>
      </c>
      <c r="D2131" s="10" t="str">
        <f>HYPERLINK("https://facebook.com/367089020688300_524922104904990", "367089020688300_524922104904990")</f>
        <v>367089020688300_524922104904990</v>
      </c>
      <c r="E2131" s="11">
        <v>314.0</v>
      </c>
      <c r="F2131" s="11">
        <v>7.0</v>
      </c>
      <c r="G2131" s="11">
        <v>448.0</v>
      </c>
      <c r="H2131" s="9" t="s">
        <v>26</v>
      </c>
      <c r="I2131" s="9" t="s">
        <v>9089</v>
      </c>
      <c r="J2131" s="16" t="s">
        <v>9090</v>
      </c>
      <c r="K2131" s="9"/>
      <c r="L2131" s="9" t="s">
        <v>30</v>
      </c>
      <c r="M2131" s="9" t="s">
        <v>31</v>
      </c>
      <c r="N2131" s="9" t="s">
        <v>32</v>
      </c>
      <c r="O2131" s="12" t="s">
        <v>33</v>
      </c>
      <c r="P2131" s="12" t="s">
        <v>34</v>
      </c>
      <c r="Q2131" s="9"/>
      <c r="R2131" s="18"/>
      <c r="S2131" s="18"/>
      <c r="T2131" s="18"/>
      <c r="U2131" s="18"/>
      <c r="V2131" s="18"/>
      <c r="W2131" s="15"/>
      <c r="X2131" s="15"/>
    </row>
    <row r="2132">
      <c r="A2132" s="7">
        <v>2131.0</v>
      </c>
      <c r="B2132" s="8" t="s">
        <v>9091</v>
      </c>
      <c r="C2132" s="9" t="s">
        <v>9092</v>
      </c>
      <c r="D2132" s="10" t="str">
        <f>HYPERLINK("https://facebook.com/367089020688300_395526904511178", "367089020688300_395526904511178")</f>
        <v>367089020688300_395526904511178</v>
      </c>
      <c r="E2132" s="11">
        <v>28.0</v>
      </c>
      <c r="F2132" s="11">
        <v>3.0</v>
      </c>
      <c r="G2132" s="11">
        <v>94.0</v>
      </c>
      <c r="H2132" s="9" t="s">
        <v>26</v>
      </c>
      <c r="I2132" s="9" t="s">
        <v>9093</v>
      </c>
      <c r="J2132" s="9" t="s">
        <v>9094</v>
      </c>
      <c r="K2132" s="9" t="s">
        <v>9095</v>
      </c>
      <c r="L2132" s="9" t="s">
        <v>30</v>
      </c>
      <c r="M2132" s="9" t="s">
        <v>31</v>
      </c>
      <c r="N2132" s="9" t="s">
        <v>32</v>
      </c>
      <c r="O2132" s="12" t="s">
        <v>33</v>
      </c>
      <c r="P2132" s="12" t="s">
        <v>34</v>
      </c>
      <c r="Q2132" s="9"/>
      <c r="R2132" s="18"/>
      <c r="S2132" s="18"/>
      <c r="T2132" s="18"/>
      <c r="U2132" s="18"/>
      <c r="V2132" s="18"/>
      <c r="W2132" s="15"/>
      <c r="X2132" s="15"/>
    </row>
    <row r="2133">
      <c r="A2133" s="7">
        <v>2132.0</v>
      </c>
      <c r="B2133" s="8" t="s">
        <v>9096</v>
      </c>
      <c r="C2133" s="9" t="s">
        <v>9097</v>
      </c>
      <c r="D2133" s="10" t="str">
        <f>HYPERLINK("https://facebook.com/367089020688300_535509707179563", "367089020688300_535509707179563")</f>
        <v>367089020688300_535509707179563</v>
      </c>
      <c r="E2133" s="11">
        <v>316.0</v>
      </c>
      <c r="F2133" s="11">
        <v>19.0</v>
      </c>
      <c r="G2133" s="11">
        <v>317.0</v>
      </c>
      <c r="H2133" s="9" t="s">
        <v>26</v>
      </c>
      <c r="I2133" s="9" t="s">
        <v>9098</v>
      </c>
      <c r="J2133" s="16" t="s">
        <v>9099</v>
      </c>
      <c r="K2133" s="9"/>
      <c r="L2133" s="9" t="s">
        <v>30</v>
      </c>
      <c r="M2133" s="9" t="s">
        <v>31</v>
      </c>
      <c r="N2133" s="9" t="s">
        <v>32</v>
      </c>
      <c r="O2133" s="12" t="s">
        <v>33</v>
      </c>
      <c r="P2133" s="12" t="s">
        <v>34</v>
      </c>
      <c r="Q2133" s="9"/>
      <c r="R2133" s="18"/>
      <c r="S2133" s="18"/>
      <c r="T2133" s="18"/>
      <c r="U2133" s="18"/>
      <c r="V2133" s="18"/>
      <c r="W2133" s="15"/>
      <c r="X2133" s="15"/>
    </row>
    <row r="2134">
      <c r="A2134" s="7">
        <v>2133.0</v>
      </c>
      <c r="B2134" s="8" t="s">
        <v>9100</v>
      </c>
      <c r="C2134" s="9" t="s">
        <v>9101</v>
      </c>
      <c r="D2134" s="10" t="str">
        <f>HYPERLINK("https://facebook.com/367089020688300_562021104528423", "367089020688300_562021104528423")</f>
        <v>367089020688300_562021104528423</v>
      </c>
      <c r="E2134" s="11">
        <v>93.0</v>
      </c>
      <c r="F2134" s="11">
        <v>0.0</v>
      </c>
      <c r="G2134" s="11">
        <v>39.0</v>
      </c>
      <c r="H2134" s="9" t="s">
        <v>26</v>
      </c>
      <c r="I2134" s="9" t="s">
        <v>9102</v>
      </c>
      <c r="J2134" s="9" t="s">
        <v>9103</v>
      </c>
      <c r="K2134" s="9" t="s">
        <v>5215</v>
      </c>
      <c r="L2134" s="9" t="s">
        <v>30</v>
      </c>
      <c r="M2134" s="9" t="s">
        <v>31</v>
      </c>
      <c r="N2134" s="9" t="s">
        <v>32</v>
      </c>
      <c r="O2134" s="12" t="s">
        <v>33</v>
      </c>
      <c r="P2134" s="12" t="s">
        <v>34</v>
      </c>
      <c r="Q2134" s="9"/>
      <c r="R2134" s="18"/>
      <c r="S2134" s="18"/>
      <c r="T2134" s="18"/>
      <c r="U2134" s="18"/>
      <c r="V2134" s="18"/>
      <c r="W2134" s="15"/>
      <c r="X2134" s="15"/>
    </row>
    <row r="2135">
      <c r="A2135" s="7">
        <v>2134.0</v>
      </c>
      <c r="B2135" s="8" t="s">
        <v>9104</v>
      </c>
      <c r="C2135" s="9" t="s">
        <v>9105</v>
      </c>
      <c r="D2135" s="10" t="str">
        <f>HYPERLINK("https://facebook.com/367089020688300_495453831185151", "367089020688300_495453831185151")</f>
        <v>367089020688300_495453831185151</v>
      </c>
      <c r="E2135" s="11">
        <v>263.0</v>
      </c>
      <c r="F2135" s="11">
        <v>7.0</v>
      </c>
      <c r="G2135" s="11">
        <v>502.0</v>
      </c>
      <c r="H2135" s="9" t="s">
        <v>26</v>
      </c>
      <c r="I2135" s="9" t="s">
        <v>7985</v>
      </c>
      <c r="J2135" s="16" t="s">
        <v>7986</v>
      </c>
      <c r="K2135" s="9"/>
      <c r="L2135" s="9" t="s">
        <v>30</v>
      </c>
      <c r="M2135" s="9" t="s">
        <v>31</v>
      </c>
      <c r="N2135" s="9" t="s">
        <v>32</v>
      </c>
      <c r="O2135" s="12" t="s">
        <v>33</v>
      </c>
      <c r="P2135" s="12" t="s">
        <v>34</v>
      </c>
      <c r="Q2135" s="9"/>
      <c r="R2135" s="18"/>
      <c r="S2135" s="18"/>
      <c r="T2135" s="18"/>
      <c r="U2135" s="18"/>
      <c r="V2135" s="18"/>
      <c r="W2135" s="15"/>
      <c r="X2135" s="15"/>
    </row>
    <row r="2136">
      <c r="A2136" s="7">
        <v>2135.0</v>
      </c>
      <c r="B2136" s="8" t="s">
        <v>9106</v>
      </c>
      <c r="C2136" s="9" t="s">
        <v>9107</v>
      </c>
      <c r="D2136" s="10" t="str">
        <f>HYPERLINK("https://facebook.com/367089020688300_547787582618442", "367089020688300_547787582618442")</f>
        <v>367089020688300_547787582618442</v>
      </c>
      <c r="E2136" s="11">
        <v>30.0</v>
      </c>
      <c r="F2136" s="11">
        <v>0.0</v>
      </c>
      <c r="G2136" s="11">
        <v>24.0</v>
      </c>
      <c r="H2136" s="9" t="s">
        <v>26</v>
      </c>
      <c r="I2136" s="9" t="s">
        <v>9108</v>
      </c>
      <c r="J2136" s="9" t="s">
        <v>9109</v>
      </c>
      <c r="K2136" s="9" t="s">
        <v>9110</v>
      </c>
      <c r="L2136" s="9" t="s">
        <v>30</v>
      </c>
      <c r="M2136" s="9" t="s">
        <v>31</v>
      </c>
      <c r="N2136" s="9" t="s">
        <v>32</v>
      </c>
      <c r="O2136" s="12" t="s">
        <v>33</v>
      </c>
      <c r="P2136" s="12" t="s">
        <v>34</v>
      </c>
      <c r="Q2136" s="9"/>
      <c r="R2136" s="18"/>
      <c r="S2136" s="18"/>
      <c r="T2136" s="18"/>
      <c r="U2136" s="18"/>
      <c r="V2136" s="18"/>
      <c r="W2136" s="15"/>
      <c r="X2136" s="15"/>
    </row>
    <row r="2137">
      <c r="A2137" s="7">
        <v>2136.0</v>
      </c>
      <c r="B2137" s="8" t="s">
        <v>9111</v>
      </c>
      <c r="C2137" s="9" t="s">
        <v>9112</v>
      </c>
      <c r="D2137" s="10" t="str">
        <f>HYPERLINK("https://facebook.com/367089020688300_516570065740194", "367089020688300_516570065740194")</f>
        <v>367089020688300_516570065740194</v>
      </c>
      <c r="E2137" s="11">
        <v>8.0</v>
      </c>
      <c r="F2137" s="11">
        <v>0.0</v>
      </c>
      <c r="G2137" s="11">
        <v>2.0</v>
      </c>
      <c r="H2137" s="9" t="s">
        <v>26</v>
      </c>
      <c r="I2137" s="9" t="s">
        <v>9113</v>
      </c>
      <c r="J2137" s="9" t="s">
        <v>9114</v>
      </c>
      <c r="K2137" s="9" t="s">
        <v>9115</v>
      </c>
      <c r="L2137" s="9" t="s">
        <v>30</v>
      </c>
      <c r="M2137" s="9" t="s">
        <v>31</v>
      </c>
      <c r="N2137" s="9" t="s">
        <v>32</v>
      </c>
      <c r="O2137" s="12" t="s">
        <v>33</v>
      </c>
      <c r="P2137" s="12" t="s">
        <v>34</v>
      </c>
      <c r="Q2137" s="9"/>
      <c r="R2137" s="18"/>
      <c r="S2137" s="18"/>
      <c r="T2137" s="18"/>
      <c r="U2137" s="18"/>
      <c r="V2137" s="18"/>
      <c r="W2137" s="15"/>
      <c r="X2137" s="15"/>
    </row>
    <row r="2138">
      <c r="A2138" s="7">
        <v>2137.0</v>
      </c>
      <c r="B2138" s="8" t="s">
        <v>9116</v>
      </c>
      <c r="C2138" s="9" t="s">
        <v>9117</v>
      </c>
      <c r="D2138" s="10" t="str">
        <f>HYPERLINK("https://facebook.com/367089020688300_489495928447608", "367089020688300_489495928447608")</f>
        <v>367089020688300_489495928447608</v>
      </c>
      <c r="E2138" s="11">
        <v>432.0</v>
      </c>
      <c r="F2138" s="11">
        <v>2.0</v>
      </c>
      <c r="G2138" s="11">
        <v>218.0</v>
      </c>
      <c r="H2138" s="9" t="s">
        <v>26</v>
      </c>
      <c r="I2138" s="9" t="s">
        <v>9118</v>
      </c>
      <c r="J2138" s="9" t="s">
        <v>9119</v>
      </c>
      <c r="K2138" s="9" t="s">
        <v>9120</v>
      </c>
      <c r="L2138" s="9" t="s">
        <v>30</v>
      </c>
      <c r="M2138" s="9" t="s">
        <v>31</v>
      </c>
      <c r="N2138" s="9" t="s">
        <v>32</v>
      </c>
      <c r="O2138" s="12" t="s">
        <v>33</v>
      </c>
      <c r="P2138" s="12" t="s">
        <v>34</v>
      </c>
      <c r="Q2138" s="9"/>
      <c r="R2138" s="18"/>
      <c r="S2138" s="18"/>
      <c r="T2138" s="18"/>
      <c r="U2138" s="18"/>
      <c r="V2138" s="18"/>
      <c r="W2138" s="15"/>
      <c r="X2138" s="15"/>
    </row>
    <row r="2139">
      <c r="A2139" s="7">
        <v>2138.0</v>
      </c>
      <c r="B2139" s="8" t="s">
        <v>9121</v>
      </c>
      <c r="C2139" s="9" t="s">
        <v>9122</v>
      </c>
      <c r="D2139" s="10" t="str">
        <f>HYPERLINK("https://facebook.com/367089020688300_563447531052447", "367089020688300_563447531052447")</f>
        <v>367089020688300_563447531052447</v>
      </c>
      <c r="E2139" s="11">
        <v>25.0</v>
      </c>
      <c r="F2139" s="11">
        <v>1.0</v>
      </c>
      <c r="G2139" s="11">
        <v>23.0</v>
      </c>
      <c r="H2139" s="9" t="s">
        <v>26</v>
      </c>
      <c r="I2139" s="9" t="s">
        <v>9123</v>
      </c>
      <c r="J2139" s="16" t="s">
        <v>9124</v>
      </c>
      <c r="K2139" s="9"/>
      <c r="L2139" s="9" t="s">
        <v>30</v>
      </c>
      <c r="M2139" s="9" t="s">
        <v>31</v>
      </c>
      <c r="N2139" s="9" t="s">
        <v>32</v>
      </c>
      <c r="O2139" s="12" t="s">
        <v>33</v>
      </c>
      <c r="P2139" s="12" t="s">
        <v>34</v>
      </c>
      <c r="Q2139" s="9"/>
      <c r="R2139" s="18"/>
      <c r="S2139" s="18"/>
      <c r="T2139" s="18"/>
      <c r="U2139" s="18"/>
      <c r="V2139" s="18"/>
      <c r="W2139" s="15"/>
      <c r="X2139" s="15"/>
    </row>
    <row r="2140">
      <c r="A2140" s="7">
        <v>2139.0</v>
      </c>
      <c r="B2140" s="8" t="s">
        <v>9125</v>
      </c>
      <c r="C2140" s="9" t="s">
        <v>9126</v>
      </c>
      <c r="D2140" s="10" t="str">
        <f>HYPERLINK("https://facebook.com/367089020688300_504372173626650", "367089020688300_504372173626650")</f>
        <v>367089020688300_504372173626650</v>
      </c>
      <c r="E2140" s="11">
        <v>567.0</v>
      </c>
      <c r="F2140" s="11">
        <v>26.0</v>
      </c>
      <c r="G2140" s="11">
        <v>537.0</v>
      </c>
      <c r="H2140" s="9" t="s">
        <v>26</v>
      </c>
      <c r="I2140" s="9" t="s">
        <v>9127</v>
      </c>
      <c r="J2140" s="9" t="s">
        <v>9128</v>
      </c>
      <c r="K2140" s="9" t="s">
        <v>9129</v>
      </c>
      <c r="L2140" s="9" t="s">
        <v>30</v>
      </c>
      <c r="M2140" s="9" t="s">
        <v>31</v>
      </c>
      <c r="N2140" s="9" t="s">
        <v>32</v>
      </c>
      <c r="O2140" s="12" t="s">
        <v>33</v>
      </c>
      <c r="P2140" s="12" t="s">
        <v>34</v>
      </c>
      <c r="Q2140" s="9"/>
      <c r="R2140" s="18"/>
      <c r="S2140" s="18"/>
      <c r="T2140" s="18"/>
      <c r="U2140" s="18"/>
      <c r="V2140" s="18"/>
      <c r="W2140" s="15"/>
      <c r="X2140" s="15"/>
    </row>
    <row r="2141">
      <c r="A2141" s="7">
        <v>2140.0</v>
      </c>
      <c r="B2141" s="8" t="s">
        <v>9130</v>
      </c>
      <c r="C2141" s="9" t="s">
        <v>9131</v>
      </c>
      <c r="D2141" s="10" t="str">
        <f>HYPERLINK("https://facebook.com/367089020688300_476310809766120", "367089020688300_476310809766120")</f>
        <v>367089020688300_476310809766120</v>
      </c>
      <c r="E2141" s="11">
        <v>699.0</v>
      </c>
      <c r="F2141" s="11">
        <v>52.0</v>
      </c>
      <c r="G2141" s="11">
        <v>440.0</v>
      </c>
      <c r="H2141" s="9" t="s">
        <v>26</v>
      </c>
      <c r="I2141" s="9" t="s">
        <v>9132</v>
      </c>
      <c r="J2141" s="9" t="s">
        <v>9133</v>
      </c>
      <c r="K2141" s="9" t="s">
        <v>9134</v>
      </c>
      <c r="L2141" s="9" t="s">
        <v>30</v>
      </c>
      <c r="M2141" s="9" t="s">
        <v>31</v>
      </c>
      <c r="N2141" s="9" t="s">
        <v>32</v>
      </c>
      <c r="O2141" s="12" t="s">
        <v>33</v>
      </c>
      <c r="P2141" s="12" t="s">
        <v>34</v>
      </c>
      <c r="Q2141" s="9"/>
      <c r="R2141" s="18"/>
      <c r="S2141" s="18"/>
      <c r="T2141" s="18"/>
      <c r="U2141" s="18"/>
      <c r="V2141" s="18"/>
      <c r="W2141" s="15"/>
      <c r="X2141" s="15"/>
    </row>
    <row r="2142">
      <c r="A2142" s="7">
        <v>2141.0</v>
      </c>
      <c r="B2142" s="8" t="s">
        <v>9135</v>
      </c>
      <c r="C2142" s="9" t="s">
        <v>9136</v>
      </c>
      <c r="D2142" s="10" t="str">
        <f>HYPERLINK("https://facebook.com/367089020688300_477726742957860", "367089020688300_477726742957860")</f>
        <v>367089020688300_477726742957860</v>
      </c>
      <c r="E2142" s="11">
        <v>532.0</v>
      </c>
      <c r="F2142" s="11">
        <v>6.0</v>
      </c>
      <c r="G2142" s="11">
        <v>318.0</v>
      </c>
      <c r="H2142" s="9" t="s">
        <v>26</v>
      </c>
      <c r="I2142" s="9" t="s">
        <v>9137</v>
      </c>
      <c r="J2142" s="16" t="s">
        <v>9138</v>
      </c>
      <c r="K2142" s="9"/>
      <c r="L2142" s="9" t="s">
        <v>30</v>
      </c>
      <c r="M2142" s="9" t="s">
        <v>31</v>
      </c>
      <c r="N2142" s="9" t="s">
        <v>32</v>
      </c>
      <c r="O2142" s="12" t="s">
        <v>33</v>
      </c>
      <c r="P2142" s="12" t="s">
        <v>34</v>
      </c>
      <c r="Q2142" s="9"/>
      <c r="R2142" s="18"/>
      <c r="S2142" s="18"/>
      <c r="T2142" s="18"/>
      <c r="U2142" s="18"/>
      <c r="V2142" s="18"/>
      <c r="W2142" s="15"/>
      <c r="X2142" s="15"/>
    </row>
    <row r="2143">
      <c r="A2143" s="7">
        <v>2142.0</v>
      </c>
      <c r="B2143" s="8" t="s">
        <v>9139</v>
      </c>
      <c r="C2143" s="9" t="s">
        <v>9140</v>
      </c>
      <c r="D2143" s="10" t="str">
        <f>HYPERLINK("https://facebook.com/367089020688300_557737118290155", "367089020688300_557737118290155")</f>
        <v>367089020688300_557737118290155</v>
      </c>
      <c r="E2143" s="11">
        <v>171.0</v>
      </c>
      <c r="F2143" s="11">
        <v>7.0</v>
      </c>
      <c r="G2143" s="11">
        <v>39.0</v>
      </c>
      <c r="H2143" s="9" t="s">
        <v>26</v>
      </c>
      <c r="I2143" s="9" t="s">
        <v>9141</v>
      </c>
      <c r="J2143" s="16" t="s">
        <v>9142</v>
      </c>
      <c r="K2143" s="9"/>
      <c r="L2143" s="9" t="s">
        <v>30</v>
      </c>
      <c r="M2143" s="9" t="s">
        <v>31</v>
      </c>
      <c r="N2143" s="9" t="s">
        <v>32</v>
      </c>
      <c r="O2143" s="12" t="s">
        <v>33</v>
      </c>
      <c r="P2143" s="12" t="s">
        <v>34</v>
      </c>
      <c r="Q2143" s="9"/>
      <c r="R2143" s="18"/>
      <c r="S2143" s="18"/>
      <c r="T2143" s="18"/>
      <c r="U2143" s="18"/>
      <c r="V2143" s="18"/>
      <c r="W2143" s="15"/>
      <c r="X2143" s="15"/>
    </row>
    <row r="2144">
      <c r="A2144" s="7">
        <v>2143.0</v>
      </c>
      <c r="B2144" s="8" t="s">
        <v>9143</v>
      </c>
      <c r="C2144" s="9" t="s">
        <v>9144</v>
      </c>
      <c r="D2144" s="10" t="str">
        <f>HYPERLINK("https://facebook.com/367089020688300_562389504491583", "367089020688300_562389504491583")</f>
        <v>367089020688300_562389504491583</v>
      </c>
      <c r="E2144" s="11">
        <v>25.0</v>
      </c>
      <c r="F2144" s="11">
        <v>0.0</v>
      </c>
      <c r="G2144" s="11">
        <v>3.0</v>
      </c>
      <c r="H2144" s="9" t="s">
        <v>26</v>
      </c>
      <c r="I2144" s="9" t="s">
        <v>6117</v>
      </c>
      <c r="J2144" s="16" t="s">
        <v>6118</v>
      </c>
      <c r="K2144" s="9"/>
      <c r="L2144" s="9" t="s">
        <v>30</v>
      </c>
      <c r="M2144" s="9" t="s">
        <v>31</v>
      </c>
      <c r="N2144" s="9" t="s">
        <v>32</v>
      </c>
      <c r="O2144" s="12" t="s">
        <v>33</v>
      </c>
      <c r="P2144" s="12" t="s">
        <v>34</v>
      </c>
      <c r="Q2144" s="9"/>
      <c r="R2144" s="18"/>
      <c r="S2144" s="18"/>
      <c r="T2144" s="18"/>
      <c r="U2144" s="18"/>
      <c r="V2144" s="18"/>
      <c r="W2144" s="15"/>
      <c r="X2144" s="15"/>
    </row>
    <row r="2145">
      <c r="A2145" s="7">
        <v>2144.0</v>
      </c>
      <c r="B2145" s="8" t="s">
        <v>9145</v>
      </c>
      <c r="C2145" s="9" t="s">
        <v>9146</v>
      </c>
      <c r="D2145" s="10" t="str">
        <f>HYPERLINK("https://facebook.com/367089020688300_546387459425121", "367089020688300_546387459425121")</f>
        <v>367089020688300_546387459425121</v>
      </c>
      <c r="E2145" s="11">
        <v>223.0</v>
      </c>
      <c r="F2145" s="11">
        <v>0.0</v>
      </c>
      <c r="G2145" s="11">
        <v>61.0</v>
      </c>
      <c r="H2145" s="9" t="s">
        <v>26</v>
      </c>
      <c r="I2145" s="9" t="s">
        <v>4744</v>
      </c>
      <c r="J2145" s="9" t="s">
        <v>9147</v>
      </c>
      <c r="K2145" s="9" t="s">
        <v>9148</v>
      </c>
      <c r="L2145" s="9" t="s">
        <v>30</v>
      </c>
      <c r="M2145" s="9" t="s">
        <v>31</v>
      </c>
      <c r="N2145" s="9" t="s">
        <v>32</v>
      </c>
      <c r="O2145" s="12" t="s">
        <v>33</v>
      </c>
      <c r="P2145" s="12" t="s">
        <v>34</v>
      </c>
      <c r="Q2145" s="9"/>
      <c r="R2145" s="18"/>
      <c r="S2145" s="18"/>
      <c r="T2145" s="18"/>
      <c r="U2145" s="18"/>
      <c r="V2145" s="18"/>
      <c r="W2145" s="15"/>
      <c r="X2145" s="15"/>
    </row>
    <row r="2146">
      <c r="A2146" s="7">
        <v>2145.0</v>
      </c>
      <c r="B2146" s="8" t="s">
        <v>9149</v>
      </c>
      <c r="C2146" s="9" t="s">
        <v>9150</v>
      </c>
      <c r="D2146" s="10" t="str">
        <f>HYPERLINK("https://facebook.com/367089020688300_507292830001251", "367089020688300_507292830001251")</f>
        <v>367089020688300_507292830001251</v>
      </c>
      <c r="E2146" s="11">
        <v>480.0</v>
      </c>
      <c r="F2146" s="11">
        <v>7.0</v>
      </c>
      <c r="G2146" s="11">
        <v>1032.0</v>
      </c>
      <c r="H2146" s="9" t="s">
        <v>26</v>
      </c>
      <c r="I2146" s="9" t="s">
        <v>9151</v>
      </c>
      <c r="J2146" s="9" t="s">
        <v>9152</v>
      </c>
      <c r="K2146" s="9" t="s">
        <v>51</v>
      </c>
      <c r="L2146" s="9" t="s">
        <v>30</v>
      </c>
      <c r="M2146" s="9" t="s">
        <v>31</v>
      </c>
      <c r="N2146" s="9" t="s">
        <v>32</v>
      </c>
      <c r="O2146" s="12" t="s">
        <v>33</v>
      </c>
      <c r="P2146" s="12" t="s">
        <v>34</v>
      </c>
      <c r="Q2146" s="9"/>
      <c r="R2146" s="18"/>
      <c r="S2146" s="18"/>
      <c r="T2146" s="18"/>
      <c r="U2146" s="18"/>
      <c r="V2146" s="18"/>
      <c r="W2146" s="15"/>
      <c r="X2146" s="15"/>
    </row>
    <row r="2147">
      <c r="A2147" s="7">
        <v>2146.0</v>
      </c>
      <c r="B2147" s="8" t="s">
        <v>9153</v>
      </c>
      <c r="C2147" s="9" t="s">
        <v>9154</v>
      </c>
      <c r="D2147" s="10" t="str">
        <f>HYPERLINK("https://facebook.com/367089020688300_387561835307685", "367089020688300_387561835307685")</f>
        <v>367089020688300_387561835307685</v>
      </c>
      <c r="E2147" s="11">
        <v>302.0</v>
      </c>
      <c r="F2147" s="11">
        <v>3.0</v>
      </c>
      <c r="G2147" s="11">
        <v>136.0</v>
      </c>
      <c r="H2147" s="9" t="s">
        <v>26</v>
      </c>
      <c r="I2147" s="9" t="s">
        <v>9155</v>
      </c>
      <c r="J2147" s="9" t="s">
        <v>9156</v>
      </c>
      <c r="K2147" s="9" t="s">
        <v>9157</v>
      </c>
      <c r="L2147" s="9" t="s">
        <v>30</v>
      </c>
      <c r="M2147" s="9" t="s">
        <v>31</v>
      </c>
      <c r="N2147" s="9" t="s">
        <v>32</v>
      </c>
      <c r="O2147" s="12" t="s">
        <v>33</v>
      </c>
      <c r="P2147" s="12" t="s">
        <v>34</v>
      </c>
      <c r="Q2147" s="9"/>
      <c r="R2147" s="18"/>
      <c r="S2147" s="18"/>
      <c r="T2147" s="18"/>
      <c r="U2147" s="18"/>
      <c r="V2147" s="18"/>
      <c r="W2147" s="15"/>
      <c r="X2147" s="15"/>
    </row>
    <row r="2148">
      <c r="A2148" s="7">
        <v>2147.0</v>
      </c>
      <c r="B2148" s="8" t="s">
        <v>9158</v>
      </c>
      <c r="C2148" s="9" t="s">
        <v>9159</v>
      </c>
      <c r="D2148" s="10" t="str">
        <f>HYPERLINK("https://facebook.com/367089020688300_538343100229557", "367089020688300_538343100229557")</f>
        <v>367089020688300_538343100229557</v>
      </c>
      <c r="E2148" s="11">
        <v>142.0</v>
      </c>
      <c r="F2148" s="11">
        <v>8.0</v>
      </c>
      <c r="G2148" s="11">
        <v>130.0</v>
      </c>
      <c r="H2148" s="9" t="s">
        <v>26</v>
      </c>
      <c r="I2148" s="9" t="s">
        <v>9160</v>
      </c>
      <c r="J2148" s="16" t="s">
        <v>9161</v>
      </c>
      <c r="K2148" s="9"/>
      <c r="L2148" s="9" t="s">
        <v>30</v>
      </c>
      <c r="M2148" s="9" t="s">
        <v>31</v>
      </c>
      <c r="N2148" s="9" t="s">
        <v>32</v>
      </c>
      <c r="O2148" s="12" t="s">
        <v>33</v>
      </c>
      <c r="P2148" s="12" t="s">
        <v>34</v>
      </c>
      <c r="Q2148" s="9"/>
      <c r="R2148" s="18"/>
      <c r="S2148" s="18"/>
      <c r="T2148" s="18"/>
      <c r="U2148" s="18"/>
      <c r="V2148" s="18"/>
      <c r="W2148" s="15"/>
      <c r="X2148" s="15"/>
    </row>
    <row r="2149">
      <c r="A2149" s="7">
        <v>2148.0</v>
      </c>
      <c r="B2149" s="8" t="s">
        <v>9162</v>
      </c>
      <c r="C2149" s="9" t="s">
        <v>9163</v>
      </c>
      <c r="D2149" s="10" t="str">
        <f>HYPERLINK("https://facebook.com/367089020688300_546323336098200", "367089020688300_546323336098200")</f>
        <v>367089020688300_546323336098200</v>
      </c>
      <c r="E2149" s="11">
        <v>6.0</v>
      </c>
      <c r="F2149" s="11">
        <v>0.0</v>
      </c>
      <c r="G2149" s="11">
        <v>2.0</v>
      </c>
      <c r="H2149" s="9" t="s">
        <v>26</v>
      </c>
      <c r="I2149" s="9" t="s">
        <v>9164</v>
      </c>
      <c r="J2149" s="16" t="s">
        <v>9165</v>
      </c>
      <c r="K2149" s="9"/>
      <c r="L2149" s="9" t="s">
        <v>30</v>
      </c>
      <c r="M2149" s="9" t="s">
        <v>31</v>
      </c>
      <c r="N2149" s="9" t="s">
        <v>32</v>
      </c>
      <c r="O2149" s="12" t="s">
        <v>33</v>
      </c>
      <c r="P2149" s="12" t="s">
        <v>34</v>
      </c>
      <c r="Q2149" s="9"/>
      <c r="R2149" s="18"/>
      <c r="S2149" s="18"/>
      <c r="T2149" s="18"/>
      <c r="U2149" s="18"/>
      <c r="V2149" s="18"/>
      <c r="W2149" s="15"/>
      <c r="X2149" s="15"/>
    </row>
    <row r="2150">
      <c r="A2150" s="7">
        <v>2149.0</v>
      </c>
      <c r="B2150" s="8" t="s">
        <v>9166</v>
      </c>
      <c r="C2150" s="9" t="s">
        <v>9167</v>
      </c>
      <c r="D2150" s="10" t="str">
        <f>HYPERLINK("https://facebook.com/367089020688300_535684327162101", "367089020688300_535684327162101")</f>
        <v>367089020688300_535684327162101</v>
      </c>
      <c r="E2150" s="11">
        <v>934.0</v>
      </c>
      <c r="F2150" s="11">
        <v>14.0</v>
      </c>
      <c r="G2150" s="11">
        <v>475.0</v>
      </c>
      <c r="H2150" s="9" t="s">
        <v>26</v>
      </c>
      <c r="I2150" s="9" t="s">
        <v>9168</v>
      </c>
      <c r="J2150" s="16" t="s">
        <v>9169</v>
      </c>
      <c r="K2150" s="9"/>
      <c r="L2150" s="9" t="s">
        <v>30</v>
      </c>
      <c r="M2150" s="9" t="s">
        <v>31</v>
      </c>
      <c r="N2150" s="9" t="s">
        <v>32</v>
      </c>
      <c r="O2150" s="12" t="s">
        <v>33</v>
      </c>
      <c r="P2150" s="12" t="s">
        <v>34</v>
      </c>
      <c r="Q2150" s="9"/>
      <c r="R2150" s="18"/>
      <c r="S2150" s="18"/>
      <c r="T2150" s="18"/>
      <c r="U2150" s="18"/>
      <c r="V2150" s="18"/>
      <c r="W2150" s="15"/>
      <c r="X2150" s="15"/>
    </row>
    <row r="2151">
      <c r="A2151" s="7">
        <v>2150.0</v>
      </c>
      <c r="B2151" s="8" t="s">
        <v>9170</v>
      </c>
      <c r="C2151" s="9" t="s">
        <v>9171</v>
      </c>
      <c r="D2151" s="10" t="str">
        <f>HYPERLINK("https://facebook.com/367089020688300_477815072949027", "367089020688300_477815072949027")</f>
        <v>367089020688300_477815072949027</v>
      </c>
      <c r="E2151" s="11">
        <v>185.0</v>
      </c>
      <c r="F2151" s="11">
        <v>4.0</v>
      </c>
      <c r="G2151" s="11">
        <v>185.0</v>
      </c>
      <c r="H2151" s="9" t="s">
        <v>26</v>
      </c>
      <c r="I2151" s="9" t="s">
        <v>9172</v>
      </c>
      <c r="J2151" s="9" t="s">
        <v>9173</v>
      </c>
      <c r="K2151" s="9" t="s">
        <v>9174</v>
      </c>
      <c r="L2151" s="9" t="s">
        <v>30</v>
      </c>
      <c r="M2151" s="9" t="s">
        <v>31</v>
      </c>
      <c r="N2151" s="9" t="s">
        <v>32</v>
      </c>
      <c r="O2151" s="12" t="s">
        <v>33</v>
      </c>
      <c r="P2151" s="12" t="s">
        <v>34</v>
      </c>
      <c r="Q2151" s="9"/>
      <c r="R2151" s="18"/>
      <c r="S2151" s="18"/>
      <c r="T2151" s="18"/>
      <c r="U2151" s="18"/>
      <c r="V2151" s="18"/>
      <c r="W2151" s="15"/>
      <c r="X2151" s="15"/>
    </row>
    <row r="2152">
      <c r="A2152" s="7">
        <v>2151.0</v>
      </c>
      <c r="B2152" s="8" t="s">
        <v>9175</v>
      </c>
      <c r="C2152" s="9" t="s">
        <v>9176</v>
      </c>
      <c r="D2152" s="10" t="str">
        <f>HYPERLINK("https://facebook.com/367089020688300_545310422866158", "367089020688300_545310422866158")</f>
        <v>367089020688300_545310422866158</v>
      </c>
      <c r="E2152" s="11">
        <v>121.0</v>
      </c>
      <c r="F2152" s="11">
        <v>3.0</v>
      </c>
      <c r="G2152" s="11">
        <v>69.0</v>
      </c>
      <c r="H2152" s="9" t="s">
        <v>26</v>
      </c>
      <c r="I2152" s="9" t="s">
        <v>9177</v>
      </c>
      <c r="J2152" s="16" t="s">
        <v>9178</v>
      </c>
      <c r="K2152" s="9"/>
      <c r="L2152" s="9" t="s">
        <v>30</v>
      </c>
      <c r="M2152" s="9" t="s">
        <v>31</v>
      </c>
      <c r="N2152" s="9" t="s">
        <v>32</v>
      </c>
      <c r="O2152" s="12" t="s">
        <v>33</v>
      </c>
      <c r="P2152" s="12" t="s">
        <v>34</v>
      </c>
      <c r="Q2152" s="9"/>
      <c r="R2152" s="18"/>
      <c r="S2152" s="18"/>
      <c r="T2152" s="18"/>
      <c r="U2152" s="18"/>
      <c r="V2152" s="18"/>
      <c r="W2152" s="15"/>
      <c r="X2152" s="15"/>
    </row>
    <row r="2153">
      <c r="A2153" s="7">
        <v>2152.0</v>
      </c>
      <c r="B2153" s="8" t="s">
        <v>9179</v>
      </c>
      <c r="C2153" s="9" t="s">
        <v>9180</v>
      </c>
      <c r="D2153" s="10" t="str">
        <f>HYPERLINK("https://facebook.com/367089020688300_458916348172233", "367089020688300_458916348172233")</f>
        <v>367089020688300_458916348172233</v>
      </c>
      <c r="E2153" s="11">
        <v>237.0</v>
      </c>
      <c r="F2153" s="11">
        <v>1.0</v>
      </c>
      <c r="G2153" s="11">
        <v>260.0</v>
      </c>
      <c r="H2153" s="9" t="s">
        <v>26</v>
      </c>
      <c r="I2153" s="9" t="s">
        <v>9181</v>
      </c>
      <c r="J2153" s="9" t="s">
        <v>9182</v>
      </c>
      <c r="K2153" s="9" t="s">
        <v>219</v>
      </c>
      <c r="L2153" s="9" t="s">
        <v>30</v>
      </c>
      <c r="M2153" s="9" t="s">
        <v>31</v>
      </c>
      <c r="N2153" s="9" t="s">
        <v>32</v>
      </c>
      <c r="O2153" s="12" t="s">
        <v>33</v>
      </c>
      <c r="P2153" s="12" t="s">
        <v>34</v>
      </c>
      <c r="Q2153" s="9"/>
      <c r="R2153" s="18"/>
      <c r="S2153" s="18"/>
      <c r="T2153" s="18"/>
      <c r="U2153" s="18"/>
      <c r="V2153" s="18"/>
      <c r="W2153" s="15"/>
      <c r="X2153" s="15"/>
    </row>
    <row r="2154">
      <c r="A2154" s="7">
        <v>2153.0</v>
      </c>
      <c r="B2154" s="8" t="s">
        <v>9183</v>
      </c>
      <c r="C2154" s="9" t="s">
        <v>9184</v>
      </c>
      <c r="D2154" s="10" t="str">
        <f>HYPERLINK("https://facebook.com/367089020688300_556199178443949", "367089020688300_556199178443949")</f>
        <v>367089020688300_556199178443949</v>
      </c>
      <c r="E2154" s="11">
        <v>18.0</v>
      </c>
      <c r="F2154" s="11">
        <v>0.0</v>
      </c>
      <c r="G2154" s="11">
        <v>27.0</v>
      </c>
      <c r="H2154" s="9" t="s">
        <v>26</v>
      </c>
      <c r="I2154" s="9" t="s">
        <v>2108</v>
      </c>
      <c r="J2154" s="16" t="s">
        <v>9185</v>
      </c>
      <c r="K2154" s="9"/>
      <c r="L2154" s="9" t="s">
        <v>30</v>
      </c>
      <c r="M2154" s="9" t="s">
        <v>31</v>
      </c>
      <c r="N2154" s="9" t="s">
        <v>32</v>
      </c>
      <c r="O2154" s="12" t="s">
        <v>33</v>
      </c>
      <c r="P2154" s="12" t="s">
        <v>34</v>
      </c>
      <c r="Q2154" s="9"/>
      <c r="R2154" s="18"/>
      <c r="S2154" s="18"/>
      <c r="T2154" s="18"/>
      <c r="U2154" s="18"/>
      <c r="V2154" s="18"/>
      <c r="W2154" s="15"/>
      <c r="X2154" s="15"/>
    </row>
    <row r="2155">
      <c r="A2155" s="7">
        <v>2154.0</v>
      </c>
      <c r="B2155" s="8" t="s">
        <v>9186</v>
      </c>
      <c r="C2155" s="9" t="s">
        <v>9187</v>
      </c>
      <c r="D2155" s="10" t="str">
        <f>HYPERLINK("https://facebook.com/367089020688300_485250958872105", "367089020688300_485250958872105")</f>
        <v>367089020688300_485250958872105</v>
      </c>
      <c r="E2155" s="11">
        <v>261.0</v>
      </c>
      <c r="F2155" s="11">
        <v>11.0</v>
      </c>
      <c r="G2155" s="11">
        <v>92.0</v>
      </c>
      <c r="H2155" s="9" t="s">
        <v>26</v>
      </c>
      <c r="I2155" s="9" t="s">
        <v>9188</v>
      </c>
      <c r="J2155" s="9" t="s">
        <v>9189</v>
      </c>
      <c r="K2155" s="9" t="s">
        <v>9190</v>
      </c>
      <c r="L2155" s="9" t="s">
        <v>30</v>
      </c>
      <c r="M2155" s="9" t="s">
        <v>31</v>
      </c>
      <c r="N2155" s="9" t="s">
        <v>32</v>
      </c>
      <c r="O2155" s="12" t="s">
        <v>33</v>
      </c>
      <c r="P2155" s="12" t="s">
        <v>34</v>
      </c>
      <c r="Q2155" s="9"/>
      <c r="R2155" s="18"/>
      <c r="S2155" s="18"/>
      <c r="T2155" s="18"/>
      <c r="U2155" s="18"/>
      <c r="V2155" s="18"/>
      <c r="W2155" s="15"/>
      <c r="X2155" s="15"/>
    </row>
    <row r="2156">
      <c r="A2156" s="7">
        <v>2155.0</v>
      </c>
      <c r="B2156" s="8" t="s">
        <v>9191</v>
      </c>
      <c r="C2156" s="9" t="s">
        <v>9192</v>
      </c>
      <c r="D2156" s="10" t="str">
        <f>HYPERLINK("https://facebook.com/367089020688300_537351150328752", "367089020688300_537351150328752")</f>
        <v>367089020688300_537351150328752</v>
      </c>
      <c r="E2156" s="11">
        <v>531.0</v>
      </c>
      <c r="F2156" s="11">
        <v>6.0</v>
      </c>
      <c r="G2156" s="11">
        <v>1121.0</v>
      </c>
      <c r="H2156" s="9" t="s">
        <v>26</v>
      </c>
      <c r="I2156" s="9" t="s">
        <v>6222</v>
      </c>
      <c r="J2156" s="16" t="s">
        <v>6223</v>
      </c>
      <c r="K2156" s="9"/>
      <c r="L2156" s="9" t="s">
        <v>30</v>
      </c>
      <c r="M2156" s="9" t="s">
        <v>31</v>
      </c>
      <c r="N2156" s="9" t="s">
        <v>32</v>
      </c>
      <c r="O2156" s="12" t="s">
        <v>33</v>
      </c>
      <c r="P2156" s="12" t="s">
        <v>34</v>
      </c>
      <c r="Q2156" s="9"/>
      <c r="R2156" s="18"/>
      <c r="S2156" s="18"/>
      <c r="T2156" s="18"/>
      <c r="U2156" s="18"/>
      <c r="V2156" s="18"/>
      <c r="W2156" s="15"/>
      <c r="X2156" s="15"/>
    </row>
    <row r="2157">
      <c r="A2157" s="7">
        <v>2156.0</v>
      </c>
      <c r="B2157" s="8" t="s">
        <v>9193</v>
      </c>
      <c r="C2157" s="9" t="s">
        <v>9194</v>
      </c>
      <c r="D2157" s="10" t="str">
        <f>HYPERLINK("https://facebook.com/367089020688300_537816913615509", "367089020688300_537816913615509")</f>
        <v>367089020688300_537816913615509</v>
      </c>
      <c r="E2157" s="11">
        <v>13.0</v>
      </c>
      <c r="F2157" s="11">
        <v>0.0</v>
      </c>
      <c r="G2157" s="11">
        <v>17.0</v>
      </c>
      <c r="H2157" s="9" t="s">
        <v>26</v>
      </c>
      <c r="I2157" s="9" t="s">
        <v>9195</v>
      </c>
      <c r="J2157" s="9" t="s">
        <v>9196</v>
      </c>
      <c r="K2157" s="9" t="s">
        <v>476</v>
      </c>
      <c r="L2157" s="9" t="s">
        <v>30</v>
      </c>
      <c r="M2157" s="9" t="s">
        <v>31</v>
      </c>
      <c r="N2157" s="9" t="s">
        <v>32</v>
      </c>
      <c r="O2157" s="12" t="s">
        <v>33</v>
      </c>
      <c r="P2157" s="12" t="s">
        <v>34</v>
      </c>
      <c r="Q2157" s="9"/>
      <c r="R2157" s="18"/>
      <c r="S2157" s="18"/>
      <c r="T2157" s="18"/>
      <c r="U2157" s="18"/>
      <c r="V2157" s="18"/>
      <c r="W2157" s="15"/>
      <c r="X2157" s="15"/>
    </row>
    <row r="2158">
      <c r="A2158" s="7">
        <v>2157.0</v>
      </c>
      <c r="B2158" s="8" t="s">
        <v>9197</v>
      </c>
      <c r="C2158" s="9" t="s">
        <v>9198</v>
      </c>
      <c r="D2158" s="10" t="str">
        <f>HYPERLINK("https://facebook.com/367089020688300_561511191246081", "367089020688300_561511191246081")</f>
        <v>367089020688300_561511191246081</v>
      </c>
      <c r="E2158" s="11">
        <v>103.0</v>
      </c>
      <c r="F2158" s="11">
        <v>1.0</v>
      </c>
      <c r="G2158" s="11">
        <v>76.0</v>
      </c>
      <c r="H2158" s="9" t="s">
        <v>26</v>
      </c>
      <c r="I2158" s="9" t="s">
        <v>9199</v>
      </c>
      <c r="J2158" s="9" t="s">
        <v>9200</v>
      </c>
      <c r="K2158" s="9" t="s">
        <v>7336</v>
      </c>
      <c r="L2158" s="9" t="s">
        <v>30</v>
      </c>
      <c r="M2158" s="9" t="s">
        <v>31</v>
      </c>
      <c r="N2158" s="9" t="s">
        <v>32</v>
      </c>
      <c r="O2158" s="12" t="s">
        <v>33</v>
      </c>
      <c r="P2158" s="12" t="s">
        <v>34</v>
      </c>
      <c r="Q2158" s="9"/>
      <c r="R2158" s="18"/>
      <c r="S2158" s="18"/>
      <c r="T2158" s="18"/>
      <c r="U2158" s="18"/>
      <c r="V2158" s="18"/>
      <c r="W2158" s="15"/>
      <c r="X2158" s="15"/>
    </row>
    <row r="2159">
      <c r="A2159" s="7">
        <v>2158.0</v>
      </c>
      <c r="B2159" s="8" t="s">
        <v>9201</v>
      </c>
      <c r="C2159" s="9" t="s">
        <v>9202</v>
      </c>
      <c r="D2159" s="10" t="str">
        <f>HYPERLINK("https://facebook.com/367089020688300_507780833285784", "367089020688300_507780833285784")</f>
        <v>367089020688300_507780833285784</v>
      </c>
      <c r="E2159" s="11">
        <v>134.0</v>
      </c>
      <c r="F2159" s="11">
        <v>0.0</v>
      </c>
      <c r="G2159" s="11">
        <v>171.0</v>
      </c>
      <c r="H2159" s="9" t="s">
        <v>26</v>
      </c>
      <c r="I2159" s="9" t="s">
        <v>9203</v>
      </c>
      <c r="J2159" s="16" t="s">
        <v>9204</v>
      </c>
      <c r="K2159" s="9"/>
      <c r="L2159" s="9" t="s">
        <v>30</v>
      </c>
      <c r="M2159" s="9" t="s">
        <v>31</v>
      </c>
      <c r="N2159" s="9" t="s">
        <v>32</v>
      </c>
      <c r="O2159" s="12" t="s">
        <v>33</v>
      </c>
      <c r="P2159" s="12" t="s">
        <v>34</v>
      </c>
      <c r="Q2159" s="9"/>
      <c r="R2159" s="18"/>
      <c r="S2159" s="18"/>
      <c r="T2159" s="18"/>
      <c r="U2159" s="18"/>
      <c r="V2159" s="18"/>
      <c r="W2159" s="15"/>
      <c r="X2159" s="15"/>
    </row>
    <row r="2160">
      <c r="A2160" s="7">
        <v>2159.0</v>
      </c>
      <c r="B2160" s="8" t="s">
        <v>9205</v>
      </c>
      <c r="C2160" s="9" t="s">
        <v>9206</v>
      </c>
      <c r="D2160" s="10" t="str">
        <f>HYPERLINK("https://facebook.com/367089020688300_550595932337607", "367089020688300_550595932337607")</f>
        <v>367089020688300_550595932337607</v>
      </c>
      <c r="E2160" s="11">
        <v>39.0</v>
      </c>
      <c r="F2160" s="11">
        <v>0.0</v>
      </c>
      <c r="G2160" s="11">
        <v>15.0</v>
      </c>
      <c r="H2160" s="9" t="s">
        <v>26</v>
      </c>
      <c r="I2160" s="9" t="s">
        <v>9207</v>
      </c>
      <c r="J2160" s="16" t="s">
        <v>9208</v>
      </c>
      <c r="K2160" s="9"/>
      <c r="L2160" s="9" t="s">
        <v>30</v>
      </c>
      <c r="M2160" s="9" t="s">
        <v>31</v>
      </c>
      <c r="N2160" s="9" t="s">
        <v>32</v>
      </c>
      <c r="O2160" s="12" t="s">
        <v>33</v>
      </c>
      <c r="P2160" s="12" t="s">
        <v>34</v>
      </c>
      <c r="Q2160" s="9"/>
      <c r="R2160" s="18"/>
      <c r="S2160" s="18"/>
      <c r="T2160" s="18"/>
      <c r="U2160" s="18"/>
      <c r="V2160" s="18"/>
      <c r="W2160" s="15"/>
      <c r="X2160" s="15"/>
    </row>
    <row r="2161">
      <c r="A2161" s="7">
        <v>2160.0</v>
      </c>
      <c r="B2161" s="8" t="s">
        <v>9209</v>
      </c>
      <c r="C2161" s="9" t="s">
        <v>9210</v>
      </c>
      <c r="D2161" s="10" t="str">
        <f>HYPERLINK("https://facebook.com/367089020688300_552449858818881", "367089020688300_552449858818881")</f>
        <v>367089020688300_552449858818881</v>
      </c>
      <c r="E2161" s="11">
        <v>17.0</v>
      </c>
      <c r="F2161" s="11">
        <v>0.0</v>
      </c>
      <c r="G2161" s="11">
        <v>26.0</v>
      </c>
      <c r="H2161" s="9" t="s">
        <v>26</v>
      </c>
      <c r="I2161" s="9" t="s">
        <v>9211</v>
      </c>
      <c r="J2161" s="9" t="s">
        <v>9212</v>
      </c>
      <c r="K2161" s="9" t="s">
        <v>9213</v>
      </c>
      <c r="L2161" s="9" t="s">
        <v>30</v>
      </c>
      <c r="M2161" s="9" t="s">
        <v>31</v>
      </c>
      <c r="N2161" s="9" t="s">
        <v>32</v>
      </c>
      <c r="O2161" s="12" t="s">
        <v>33</v>
      </c>
      <c r="P2161" s="12" t="s">
        <v>34</v>
      </c>
      <c r="Q2161" s="9"/>
      <c r="R2161" s="18"/>
      <c r="S2161" s="18"/>
      <c r="T2161" s="18"/>
      <c r="U2161" s="18"/>
      <c r="V2161" s="18"/>
      <c r="W2161" s="15"/>
      <c r="X2161" s="15"/>
    </row>
    <row r="2162">
      <c r="A2162" s="7">
        <v>2161.0</v>
      </c>
      <c r="B2162" s="8" t="s">
        <v>9214</v>
      </c>
      <c r="C2162" s="9" t="s">
        <v>9215</v>
      </c>
      <c r="D2162" s="10" t="str">
        <f>HYPERLINK("https://facebook.com/367089020688300_558193158244551", "367089020688300_558193158244551")</f>
        <v>367089020688300_558193158244551</v>
      </c>
      <c r="E2162" s="11">
        <v>9.0</v>
      </c>
      <c r="F2162" s="11">
        <v>0.0</v>
      </c>
      <c r="G2162" s="11">
        <v>9.0</v>
      </c>
      <c r="H2162" s="9" t="s">
        <v>26</v>
      </c>
      <c r="I2162" s="9" t="s">
        <v>9216</v>
      </c>
      <c r="J2162" s="9" t="s">
        <v>9217</v>
      </c>
      <c r="K2162" s="9" t="s">
        <v>6453</v>
      </c>
      <c r="L2162" s="9" t="s">
        <v>30</v>
      </c>
      <c r="M2162" s="9" t="s">
        <v>31</v>
      </c>
      <c r="N2162" s="9" t="s">
        <v>32</v>
      </c>
      <c r="O2162" s="12" t="s">
        <v>33</v>
      </c>
      <c r="P2162" s="12" t="s">
        <v>34</v>
      </c>
      <c r="Q2162" s="9"/>
      <c r="R2162" s="18"/>
      <c r="S2162" s="18"/>
      <c r="T2162" s="18"/>
      <c r="U2162" s="18"/>
      <c r="V2162" s="18"/>
      <c r="W2162" s="15"/>
      <c r="X2162" s="15"/>
    </row>
    <row r="2163">
      <c r="A2163" s="7">
        <v>2162.0</v>
      </c>
      <c r="B2163" s="8" t="s">
        <v>9218</v>
      </c>
      <c r="C2163" s="9" t="s">
        <v>9219</v>
      </c>
      <c r="D2163" s="10" t="str">
        <f>HYPERLINK("https://facebook.com/367089020688300_505640523499815", "367089020688300_505640523499815")</f>
        <v>367089020688300_505640523499815</v>
      </c>
      <c r="E2163" s="11">
        <v>255.0</v>
      </c>
      <c r="F2163" s="11">
        <v>6.0</v>
      </c>
      <c r="G2163" s="11">
        <v>256.0</v>
      </c>
      <c r="H2163" s="9" t="s">
        <v>26</v>
      </c>
      <c r="I2163" s="9" t="s">
        <v>9220</v>
      </c>
      <c r="J2163" s="9" t="s">
        <v>9221</v>
      </c>
      <c r="K2163" s="9" t="s">
        <v>9222</v>
      </c>
      <c r="L2163" s="9" t="s">
        <v>30</v>
      </c>
      <c r="M2163" s="9" t="s">
        <v>31</v>
      </c>
      <c r="N2163" s="9" t="s">
        <v>32</v>
      </c>
      <c r="O2163" s="12" t="s">
        <v>33</v>
      </c>
      <c r="P2163" s="12" t="s">
        <v>34</v>
      </c>
      <c r="Q2163" s="9"/>
      <c r="R2163" s="18"/>
      <c r="S2163" s="18"/>
      <c r="T2163" s="18"/>
      <c r="U2163" s="18"/>
      <c r="V2163" s="18"/>
      <c r="W2163" s="15"/>
      <c r="X2163" s="15"/>
    </row>
    <row r="2164">
      <c r="A2164" s="7">
        <v>2163.0</v>
      </c>
      <c r="B2164" s="8" t="s">
        <v>9223</v>
      </c>
      <c r="C2164" s="9" t="s">
        <v>9224</v>
      </c>
      <c r="D2164" s="10" t="str">
        <f>HYPERLINK("https://facebook.com/367089020688300_426521394745062", "367089020688300_426521394745062")</f>
        <v>367089020688300_426521394745062</v>
      </c>
      <c r="E2164" s="11">
        <v>194.0</v>
      </c>
      <c r="F2164" s="11">
        <v>6.0</v>
      </c>
      <c r="G2164" s="11">
        <v>282.0</v>
      </c>
      <c r="H2164" s="9" t="s">
        <v>26</v>
      </c>
      <c r="I2164" s="9" t="s">
        <v>9225</v>
      </c>
      <c r="J2164" s="9" t="s">
        <v>9226</v>
      </c>
      <c r="K2164" s="9" t="s">
        <v>4812</v>
      </c>
      <c r="L2164" s="9" t="s">
        <v>30</v>
      </c>
      <c r="M2164" s="9" t="s">
        <v>31</v>
      </c>
      <c r="N2164" s="9" t="s">
        <v>32</v>
      </c>
      <c r="O2164" s="12" t="s">
        <v>33</v>
      </c>
      <c r="P2164" s="12" t="s">
        <v>34</v>
      </c>
      <c r="Q2164" s="9"/>
      <c r="R2164" s="18"/>
      <c r="S2164" s="18"/>
      <c r="T2164" s="18"/>
      <c r="U2164" s="18"/>
      <c r="V2164" s="18"/>
      <c r="W2164" s="15"/>
      <c r="X2164" s="15"/>
    </row>
    <row r="2165">
      <c r="A2165" s="7">
        <v>2164.0</v>
      </c>
      <c r="B2165" s="8" t="s">
        <v>9227</v>
      </c>
      <c r="C2165" s="9" t="s">
        <v>9228</v>
      </c>
      <c r="D2165" s="10" t="str">
        <f>HYPERLINK("https://facebook.com/367089020688300_531086027621931", "367089020688300_531086027621931")</f>
        <v>367089020688300_531086027621931</v>
      </c>
      <c r="E2165" s="11">
        <v>147.0</v>
      </c>
      <c r="F2165" s="11">
        <v>0.0</v>
      </c>
      <c r="G2165" s="11">
        <v>109.0</v>
      </c>
      <c r="H2165" s="9" t="s">
        <v>26</v>
      </c>
      <c r="I2165" s="9" t="s">
        <v>9229</v>
      </c>
      <c r="J2165" s="9" t="s">
        <v>9230</v>
      </c>
      <c r="K2165" s="9" t="s">
        <v>9231</v>
      </c>
      <c r="L2165" s="9" t="s">
        <v>30</v>
      </c>
      <c r="M2165" s="9" t="s">
        <v>31</v>
      </c>
      <c r="N2165" s="9" t="s">
        <v>32</v>
      </c>
      <c r="O2165" s="12" t="s">
        <v>33</v>
      </c>
      <c r="P2165" s="12" t="s">
        <v>34</v>
      </c>
      <c r="Q2165" s="9"/>
      <c r="R2165" s="18"/>
      <c r="S2165" s="18"/>
      <c r="T2165" s="18"/>
      <c r="U2165" s="18"/>
      <c r="V2165" s="18"/>
      <c r="W2165" s="15"/>
      <c r="X2165" s="15"/>
    </row>
    <row r="2166">
      <c r="A2166" s="7">
        <v>2165.0</v>
      </c>
      <c r="B2166" s="8" t="s">
        <v>9232</v>
      </c>
      <c r="C2166" s="9" t="s">
        <v>9233</v>
      </c>
      <c r="D2166" s="10" t="str">
        <f>HYPERLINK("https://facebook.com/367089020688300_552354115495122", "367089020688300_552354115495122")</f>
        <v>367089020688300_552354115495122</v>
      </c>
      <c r="E2166" s="11">
        <v>45.0</v>
      </c>
      <c r="F2166" s="11">
        <v>0.0</v>
      </c>
      <c r="G2166" s="11">
        <v>30.0</v>
      </c>
      <c r="H2166" s="9" t="s">
        <v>26</v>
      </c>
      <c r="I2166" s="9" t="s">
        <v>9234</v>
      </c>
      <c r="J2166" s="9" t="s">
        <v>9235</v>
      </c>
      <c r="K2166" s="9" t="s">
        <v>9236</v>
      </c>
      <c r="L2166" s="9" t="s">
        <v>30</v>
      </c>
      <c r="M2166" s="9" t="s">
        <v>31</v>
      </c>
      <c r="N2166" s="9" t="s">
        <v>32</v>
      </c>
      <c r="O2166" s="12" t="s">
        <v>33</v>
      </c>
      <c r="P2166" s="12" t="s">
        <v>34</v>
      </c>
      <c r="Q2166" s="9"/>
      <c r="R2166" s="18"/>
      <c r="S2166" s="18"/>
      <c r="T2166" s="18"/>
      <c r="U2166" s="18"/>
      <c r="V2166" s="18"/>
      <c r="W2166" s="15"/>
      <c r="X2166" s="15"/>
    </row>
    <row r="2167">
      <c r="A2167" s="7">
        <v>2166.0</v>
      </c>
      <c r="B2167" s="8" t="s">
        <v>9237</v>
      </c>
      <c r="C2167" s="9" t="s">
        <v>9238</v>
      </c>
      <c r="D2167" s="10" t="str">
        <f>HYPERLINK("https://facebook.com/367089020688300_533309330732934", "367089020688300_533309330732934")</f>
        <v>367089020688300_533309330732934</v>
      </c>
      <c r="E2167" s="11">
        <v>77.0</v>
      </c>
      <c r="F2167" s="11">
        <v>1.0</v>
      </c>
      <c r="G2167" s="11">
        <v>133.0</v>
      </c>
      <c r="H2167" s="9" t="s">
        <v>26</v>
      </c>
      <c r="I2167" s="9" t="s">
        <v>9239</v>
      </c>
      <c r="J2167" s="16" t="s">
        <v>9240</v>
      </c>
      <c r="K2167" s="9"/>
      <c r="L2167" s="9" t="s">
        <v>30</v>
      </c>
      <c r="M2167" s="9" t="s">
        <v>31</v>
      </c>
      <c r="N2167" s="9" t="s">
        <v>32</v>
      </c>
      <c r="O2167" s="12" t="s">
        <v>33</v>
      </c>
      <c r="P2167" s="12" t="s">
        <v>34</v>
      </c>
      <c r="Q2167" s="9"/>
      <c r="R2167" s="18"/>
      <c r="S2167" s="18"/>
      <c r="T2167" s="18"/>
      <c r="U2167" s="18"/>
      <c r="V2167" s="18"/>
      <c r="W2167" s="15"/>
      <c r="X2167" s="15"/>
    </row>
    <row r="2168">
      <c r="A2168" s="7">
        <v>2167.0</v>
      </c>
      <c r="B2168" s="8" t="s">
        <v>9241</v>
      </c>
      <c r="C2168" s="9" t="s">
        <v>9242</v>
      </c>
      <c r="D2168" s="10" t="str">
        <f>HYPERLINK("https://facebook.com/367089020688300_556685068395360", "367089020688300_556685068395360")</f>
        <v>367089020688300_556685068395360</v>
      </c>
      <c r="E2168" s="11">
        <v>37.0</v>
      </c>
      <c r="F2168" s="11">
        <v>0.0</v>
      </c>
      <c r="G2168" s="11">
        <v>22.0</v>
      </c>
      <c r="H2168" s="9" t="s">
        <v>26</v>
      </c>
      <c r="I2168" s="9" t="s">
        <v>9243</v>
      </c>
      <c r="J2168" s="16" t="s">
        <v>9244</v>
      </c>
      <c r="K2168" s="9"/>
      <c r="L2168" s="9" t="s">
        <v>30</v>
      </c>
      <c r="M2168" s="9" t="s">
        <v>31</v>
      </c>
      <c r="N2168" s="9" t="s">
        <v>32</v>
      </c>
      <c r="O2168" s="12" t="s">
        <v>33</v>
      </c>
      <c r="P2168" s="12" t="s">
        <v>34</v>
      </c>
      <c r="Q2168" s="9"/>
      <c r="R2168" s="18"/>
      <c r="S2168" s="18"/>
      <c r="T2168" s="18"/>
      <c r="U2168" s="18"/>
      <c r="V2168" s="18"/>
      <c r="W2168" s="15"/>
      <c r="X2168" s="15"/>
    </row>
    <row r="2169">
      <c r="A2169" s="7">
        <v>2168.0</v>
      </c>
      <c r="B2169" s="8" t="s">
        <v>9245</v>
      </c>
      <c r="C2169" s="9" t="s">
        <v>9246</v>
      </c>
      <c r="D2169" s="10" t="str">
        <f>HYPERLINK("https://facebook.com/367089020688300_554007518663115", "367089020688300_554007518663115")</f>
        <v>367089020688300_554007518663115</v>
      </c>
      <c r="E2169" s="11">
        <v>45.0</v>
      </c>
      <c r="F2169" s="11">
        <v>0.0</v>
      </c>
      <c r="G2169" s="11">
        <v>12.0</v>
      </c>
      <c r="H2169" s="9" t="s">
        <v>26</v>
      </c>
      <c r="I2169" s="9" t="s">
        <v>9247</v>
      </c>
      <c r="J2169" s="9" t="s">
        <v>9248</v>
      </c>
      <c r="K2169" s="9" t="s">
        <v>9249</v>
      </c>
      <c r="L2169" s="9" t="s">
        <v>30</v>
      </c>
      <c r="M2169" s="9" t="s">
        <v>31</v>
      </c>
      <c r="N2169" s="9" t="s">
        <v>32</v>
      </c>
      <c r="O2169" s="12" t="s">
        <v>33</v>
      </c>
      <c r="P2169" s="12" t="s">
        <v>34</v>
      </c>
      <c r="Q2169" s="9"/>
      <c r="R2169" s="18"/>
      <c r="S2169" s="18"/>
      <c r="T2169" s="18"/>
      <c r="U2169" s="18"/>
      <c r="V2169" s="18"/>
      <c r="W2169" s="15"/>
      <c r="X2169" s="15"/>
    </row>
    <row r="2170">
      <c r="A2170" s="7">
        <v>2169.0</v>
      </c>
      <c r="B2170" s="8" t="s">
        <v>9250</v>
      </c>
      <c r="C2170" s="9" t="s">
        <v>9251</v>
      </c>
      <c r="D2170" s="10" t="str">
        <f>HYPERLINK("https://facebook.com/367089020688300_556968791700321", "367089020688300_556968791700321")</f>
        <v>367089020688300_556968791700321</v>
      </c>
      <c r="E2170" s="11">
        <v>40.0</v>
      </c>
      <c r="F2170" s="11">
        <v>0.0</v>
      </c>
      <c r="G2170" s="11">
        <v>19.0</v>
      </c>
      <c r="H2170" s="9" t="s">
        <v>26</v>
      </c>
      <c r="I2170" s="9" t="s">
        <v>9252</v>
      </c>
      <c r="J2170" s="16" t="s">
        <v>9253</v>
      </c>
      <c r="K2170" s="9"/>
      <c r="L2170" s="9" t="s">
        <v>30</v>
      </c>
      <c r="M2170" s="9" t="s">
        <v>31</v>
      </c>
      <c r="N2170" s="9" t="s">
        <v>32</v>
      </c>
      <c r="O2170" s="12" t="s">
        <v>33</v>
      </c>
      <c r="P2170" s="12" t="s">
        <v>34</v>
      </c>
      <c r="Q2170" s="9"/>
      <c r="R2170" s="18"/>
      <c r="S2170" s="18"/>
      <c r="T2170" s="18"/>
      <c r="U2170" s="18"/>
      <c r="V2170" s="18"/>
      <c r="W2170" s="15"/>
      <c r="X2170" s="15"/>
    </row>
    <row r="2171">
      <c r="A2171" s="7">
        <v>2170.0</v>
      </c>
      <c r="B2171" s="8" t="s">
        <v>9254</v>
      </c>
      <c r="C2171" s="9" t="s">
        <v>9255</v>
      </c>
      <c r="D2171" s="10" t="str">
        <f>HYPERLINK("https://facebook.com/367089020688300_486671225396745", "367089020688300_486671225396745")</f>
        <v>367089020688300_486671225396745</v>
      </c>
      <c r="E2171" s="11">
        <v>1926.0</v>
      </c>
      <c r="F2171" s="11">
        <v>147.0</v>
      </c>
      <c r="G2171" s="11">
        <v>709.0</v>
      </c>
      <c r="H2171" s="9" t="s">
        <v>26</v>
      </c>
      <c r="I2171" s="9" t="s">
        <v>1840</v>
      </c>
      <c r="J2171" s="9" t="s">
        <v>1841</v>
      </c>
      <c r="K2171" s="9" t="s">
        <v>9256</v>
      </c>
      <c r="L2171" s="9" t="s">
        <v>30</v>
      </c>
      <c r="M2171" s="9" t="s">
        <v>31</v>
      </c>
      <c r="N2171" s="9" t="s">
        <v>32</v>
      </c>
      <c r="O2171" s="12" t="s">
        <v>33</v>
      </c>
      <c r="P2171" s="12" t="s">
        <v>34</v>
      </c>
      <c r="Q2171" s="9"/>
      <c r="R2171" s="18"/>
      <c r="S2171" s="18"/>
      <c r="T2171" s="18"/>
      <c r="U2171" s="18"/>
      <c r="V2171" s="18"/>
      <c r="W2171" s="15"/>
      <c r="X2171" s="15"/>
    </row>
    <row r="2172">
      <c r="A2172" s="7">
        <v>2171.0</v>
      </c>
      <c r="B2172" s="8" t="s">
        <v>9257</v>
      </c>
      <c r="C2172" s="9" t="s">
        <v>9258</v>
      </c>
      <c r="D2172" s="10" t="str">
        <f>HYPERLINK("https://facebook.com/367089020688300_541161676614366", "367089020688300_541161676614366")</f>
        <v>367089020688300_541161676614366</v>
      </c>
      <c r="E2172" s="11">
        <v>105.0</v>
      </c>
      <c r="F2172" s="11">
        <v>2.0</v>
      </c>
      <c r="G2172" s="11">
        <v>171.0</v>
      </c>
      <c r="H2172" s="9" t="s">
        <v>26</v>
      </c>
      <c r="I2172" s="9" t="s">
        <v>9259</v>
      </c>
      <c r="J2172" s="16" t="s">
        <v>9260</v>
      </c>
      <c r="K2172" s="9"/>
      <c r="L2172" s="9" t="s">
        <v>30</v>
      </c>
      <c r="M2172" s="9" t="s">
        <v>31</v>
      </c>
      <c r="N2172" s="9" t="s">
        <v>32</v>
      </c>
      <c r="O2172" s="12" t="s">
        <v>33</v>
      </c>
      <c r="P2172" s="12" t="s">
        <v>34</v>
      </c>
      <c r="Q2172" s="9"/>
      <c r="R2172" s="18"/>
      <c r="S2172" s="18"/>
      <c r="T2172" s="18"/>
      <c r="U2172" s="18"/>
      <c r="V2172" s="18"/>
      <c r="W2172" s="15"/>
      <c r="X2172" s="15"/>
    </row>
    <row r="2173">
      <c r="A2173" s="7">
        <v>2172.0</v>
      </c>
      <c r="B2173" s="8" t="s">
        <v>9261</v>
      </c>
      <c r="C2173" s="9" t="s">
        <v>9262</v>
      </c>
      <c r="D2173" s="10" t="str">
        <f>HYPERLINK("https://facebook.com/367089020688300_544120149651852", "367089020688300_544120149651852")</f>
        <v>367089020688300_544120149651852</v>
      </c>
      <c r="E2173" s="11">
        <v>18.0</v>
      </c>
      <c r="F2173" s="11">
        <v>0.0</v>
      </c>
      <c r="G2173" s="11">
        <v>24.0</v>
      </c>
      <c r="H2173" s="9" t="s">
        <v>26</v>
      </c>
      <c r="I2173" s="9" t="s">
        <v>8958</v>
      </c>
      <c r="J2173" s="9" t="s">
        <v>8959</v>
      </c>
      <c r="K2173" s="9" t="s">
        <v>7557</v>
      </c>
      <c r="L2173" s="9" t="s">
        <v>30</v>
      </c>
      <c r="M2173" s="9" t="s">
        <v>31</v>
      </c>
      <c r="N2173" s="9" t="s">
        <v>32</v>
      </c>
      <c r="O2173" s="12" t="s">
        <v>33</v>
      </c>
      <c r="P2173" s="12" t="s">
        <v>34</v>
      </c>
      <c r="Q2173" s="9"/>
      <c r="R2173" s="18"/>
      <c r="S2173" s="18"/>
      <c r="T2173" s="18"/>
      <c r="U2173" s="18"/>
      <c r="V2173" s="18"/>
      <c r="W2173" s="15"/>
      <c r="X2173" s="15"/>
    </row>
    <row r="2174">
      <c r="A2174" s="7">
        <v>2173.0</v>
      </c>
      <c r="B2174" s="8" t="s">
        <v>9263</v>
      </c>
      <c r="C2174" s="9" t="s">
        <v>9264</v>
      </c>
      <c r="D2174" s="10" t="str">
        <f>HYPERLINK("https://facebook.com/367089020688300_530021107728423", "367089020688300_530021107728423")</f>
        <v>367089020688300_530021107728423</v>
      </c>
      <c r="E2174" s="11">
        <v>129.0</v>
      </c>
      <c r="F2174" s="11">
        <v>1.0</v>
      </c>
      <c r="G2174" s="11">
        <v>108.0</v>
      </c>
      <c r="H2174" s="9" t="s">
        <v>26</v>
      </c>
      <c r="I2174" s="9" t="s">
        <v>5759</v>
      </c>
      <c r="J2174" s="16" t="s">
        <v>9265</v>
      </c>
      <c r="K2174" s="9"/>
      <c r="L2174" s="9" t="s">
        <v>30</v>
      </c>
      <c r="M2174" s="9" t="s">
        <v>31</v>
      </c>
      <c r="N2174" s="9" t="s">
        <v>32</v>
      </c>
      <c r="O2174" s="12" t="s">
        <v>33</v>
      </c>
      <c r="P2174" s="12" t="s">
        <v>34</v>
      </c>
      <c r="Q2174" s="9"/>
      <c r="R2174" s="18"/>
      <c r="S2174" s="18"/>
      <c r="T2174" s="18"/>
      <c r="U2174" s="18"/>
      <c r="V2174" s="18"/>
      <c r="W2174" s="15"/>
      <c r="X2174" s="15"/>
    </row>
    <row r="2175">
      <c r="A2175" s="7">
        <v>2174.0</v>
      </c>
      <c r="B2175" s="8" t="s">
        <v>9266</v>
      </c>
      <c r="C2175" s="9" t="s">
        <v>9267</v>
      </c>
      <c r="D2175" s="10" t="str">
        <f>HYPERLINK("https://facebook.com/367089020688300_544329879630879", "367089020688300_544329879630879")</f>
        <v>367089020688300_544329879630879</v>
      </c>
      <c r="E2175" s="11">
        <v>55.0</v>
      </c>
      <c r="F2175" s="11">
        <v>0.0</v>
      </c>
      <c r="G2175" s="11">
        <v>95.0</v>
      </c>
      <c r="H2175" s="9" t="s">
        <v>26</v>
      </c>
      <c r="I2175" s="9" t="s">
        <v>9268</v>
      </c>
      <c r="J2175" s="9" t="s">
        <v>9269</v>
      </c>
      <c r="K2175" s="9" t="s">
        <v>9270</v>
      </c>
      <c r="L2175" s="9" t="s">
        <v>30</v>
      </c>
      <c r="M2175" s="9" t="s">
        <v>31</v>
      </c>
      <c r="N2175" s="9" t="s">
        <v>32</v>
      </c>
      <c r="O2175" s="12" t="s">
        <v>33</v>
      </c>
      <c r="P2175" s="12" t="s">
        <v>34</v>
      </c>
      <c r="Q2175" s="9"/>
      <c r="R2175" s="18"/>
      <c r="S2175" s="18"/>
      <c r="T2175" s="18"/>
      <c r="U2175" s="18"/>
      <c r="V2175" s="18"/>
      <c r="W2175" s="15"/>
      <c r="X2175" s="15"/>
    </row>
    <row r="2176">
      <c r="A2176" s="7">
        <v>2175.0</v>
      </c>
      <c r="B2176" s="8" t="s">
        <v>9271</v>
      </c>
      <c r="C2176" s="9" t="s">
        <v>9272</v>
      </c>
      <c r="D2176" s="10" t="str">
        <f>HYPERLINK("https://facebook.com/367089020688300_548531219210745", "367089020688300_548531219210745")</f>
        <v>367089020688300_548531219210745</v>
      </c>
      <c r="E2176" s="11">
        <v>864.0</v>
      </c>
      <c r="F2176" s="11">
        <v>9.0</v>
      </c>
      <c r="G2176" s="11">
        <v>645.0</v>
      </c>
      <c r="H2176" s="9" t="s">
        <v>26</v>
      </c>
      <c r="I2176" s="9" t="s">
        <v>9273</v>
      </c>
      <c r="J2176" s="16" t="s">
        <v>9274</v>
      </c>
      <c r="K2176" s="9"/>
      <c r="L2176" s="9" t="s">
        <v>30</v>
      </c>
      <c r="M2176" s="9" t="s">
        <v>31</v>
      </c>
      <c r="N2176" s="9" t="s">
        <v>32</v>
      </c>
      <c r="O2176" s="12" t="s">
        <v>33</v>
      </c>
      <c r="P2176" s="12" t="s">
        <v>34</v>
      </c>
      <c r="Q2176" s="9"/>
      <c r="R2176" s="18"/>
      <c r="S2176" s="18"/>
      <c r="T2176" s="18"/>
      <c r="U2176" s="18"/>
      <c r="V2176" s="18"/>
      <c r="W2176" s="15"/>
      <c r="X2176" s="15"/>
    </row>
    <row r="2177">
      <c r="A2177" s="7">
        <v>2176.0</v>
      </c>
      <c r="B2177" s="8" t="s">
        <v>9275</v>
      </c>
      <c r="C2177" s="9" t="s">
        <v>9276</v>
      </c>
      <c r="D2177" s="10" t="str">
        <f>HYPERLINK("https://facebook.com/367089020688300_550752942321906", "367089020688300_550752942321906")</f>
        <v>367089020688300_550752942321906</v>
      </c>
      <c r="E2177" s="11">
        <v>23.0</v>
      </c>
      <c r="F2177" s="11">
        <v>1.0</v>
      </c>
      <c r="G2177" s="11">
        <v>7.0</v>
      </c>
      <c r="H2177" s="9" t="s">
        <v>26</v>
      </c>
      <c r="I2177" s="9" t="s">
        <v>9277</v>
      </c>
      <c r="J2177" s="9" t="s">
        <v>9278</v>
      </c>
      <c r="K2177" s="9" t="s">
        <v>476</v>
      </c>
      <c r="L2177" s="9" t="s">
        <v>30</v>
      </c>
      <c r="M2177" s="9" t="s">
        <v>31</v>
      </c>
      <c r="N2177" s="9" t="s">
        <v>32</v>
      </c>
      <c r="O2177" s="12" t="s">
        <v>33</v>
      </c>
      <c r="P2177" s="12" t="s">
        <v>34</v>
      </c>
      <c r="Q2177" s="9"/>
      <c r="R2177" s="18"/>
      <c r="S2177" s="18"/>
      <c r="T2177" s="18"/>
      <c r="U2177" s="18"/>
      <c r="V2177" s="18"/>
      <c r="W2177" s="15"/>
      <c r="X2177" s="15"/>
    </row>
    <row r="2178">
      <c r="A2178" s="7">
        <v>2177.0</v>
      </c>
      <c r="B2178" s="8" t="s">
        <v>9279</v>
      </c>
      <c r="C2178" s="9" t="s">
        <v>9280</v>
      </c>
      <c r="D2178" s="10" t="str">
        <f>HYPERLINK("https://facebook.com/367089020688300_480353692695165", "367089020688300_480353692695165")</f>
        <v>367089020688300_480353692695165</v>
      </c>
      <c r="E2178" s="11">
        <v>379.0</v>
      </c>
      <c r="F2178" s="11">
        <v>21.0</v>
      </c>
      <c r="G2178" s="11">
        <v>417.0</v>
      </c>
      <c r="H2178" s="9" t="s">
        <v>26</v>
      </c>
      <c r="I2178" s="9" t="s">
        <v>9281</v>
      </c>
      <c r="J2178" s="9" t="s">
        <v>9282</v>
      </c>
      <c r="K2178" s="9" t="s">
        <v>9283</v>
      </c>
      <c r="L2178" s="9" t="s">
        <v>30</v>
      </c>
      <c r="M2178" s="9" t="s">
        <v>31</v>
      </c>
      <c r="N2178" s="9" t="s">
        <v>32</v>
      </c>
      <c r="O2178" s="12" t="s">
        <v>33</v>
      </c>
      <c r="P2178" s="12" t="s">
        <v>34</v>
      </c>
      <c r="Q2178" s="9"/>
      <c r="R2178" s="18"/>
      <c r="S2178" s="18"/>
      <c r="T2178" s="18"/>
      <c r="U2178" s="18"/>
      <c r="V2178" s="18"/>
      <c r="W2178" s="15"/>
      <c r="X2178" s="15"/>
    </row>
    <row r="2179">
      <c r="A2179" s="7">
        <v>2178.0</v>
      </c>
      <c r="B2179" s="8" t="s">
        <v>9284</v>
      </c>
      <c r="C2179" s="9" t="s">
        <v>9285</v>
      </c>
      <c r="D2179" s="10" t="str">
        <f>HYPERLINK("https://facebook.com/367089020688300_499627507434450", "367089020688300_499627507434450")</f>
        <v>367089020688300_499627507434450</v>
      </c>
      <c r="E2179" s="11">
        <v>604.0</v>
      </c>
      <c r="F2179" s="11">
        <v>12.0</v>
      </c>
      <c r="G2179" s="11">
        <v>476.0</v>
      </c>
      <c r="H2179" s="9" t="s">
        <v>26</v>
      </c>
      <c r="I2179" s="9" t="s">
        <v>9286</v>
      </c>
      <c r="J2179" s="16" t="s">
        <v>9287</v>
      </c>
      <c r="K2179" s="9"/>
      <c r="L2179" s="9" t="s">
        <v>30</v>
      </c>
      <c r="M2179" s="9" t="s">
        <v>31</v>
      </c>
      <c r="N2179" s="9" t="s">
        <v>32</v>
      </c>
      <c r="O2179" s="12" t="s">
        <v>33</v>
      </c>
      <c r="P2179" s="12" t="s">
        <v>34</v>
      </c>
      <c r="Q2179" s="9"/>
      <c r="R2179" s="18"/>
      <c r="S2179" s="18"/>
      <c r="T2179" s="18"/>
      <c r="U2179" s="18"/>
      <c r="V2179" s="18"/>
      <c r="W2179" s="15"/>
      <c r="X2179" s="15"/>
    </row>
    <row r="2180">
      <c r="A2180" s="7">
        <v>2179.0</v>
      </c>
      <c r="B2180" s="8" t="s">
        <v>9288</v>
      </c>
      <c r="C2180" s="9" t="s">
        <v>9289</v>
      </c>
      <c r="D2180" s="10" t="str">
        <f>HYPERLINK("https://facebook.com/367089020688300_470931046970763", "367089020688300_470931046970763")</f>
        <v>367089020688300_470931046970763</v>
      </c>
      <c r="E2180" s="11">
        <v>1300.0</v>
      </c>
      <c r="F2180" s="11">
        <v>8.0</v>
      </c>
      <c r="G2180" s="11">
        <v>922.0</v>
      </c>
      <c r="H2180" s="9" t="s">
        <v>26</v>
      </c>
      <c r="I2180" s="9" t="s">
        <v>1068</v>
      </c>
      <c r="J2180" s="9" t="s">
        <v>9290</v>
      </c>
      <c r="K2180" s="9" t="s">
        <v>9291</v>
      </c>
      <c r="L2180" s="9" t="s">
        <v>30</v>
      </c>
      <c r="M2180" s="9" t="s">
        <v>31</v>
      </c>
      <c r="N2180" s="9" t="s">
        <v>32</v>
      </c>
      <c r="O2180" s="12" t="s">
        <v>33</v>
      </c>
      <c r="P2180" s="12" t="s">
        <v>34</v>
      </c>
      <c r="Q2180" s="9"/>
      <c r="R2180" s="18"/>
      <c r="S2180" s="18"/>
      <c r="T2180" s="18"/>
      <c r="U2180" s="18"/>
      <c r="V2180" s="18"/>
      <c r="W2180" s="15"/>
      <c r="X2180" s="15"/>
    </row>
    <row r="2181">
      <c r="A2181" s="7">
        <v>2180.0</v>
      </c>
      <c r="B2181" s="8" t="s">
        <v>9292</v>
      </c>
      <c r="C2181" s="9" t="s">
        <v>9293</v>
      </c>
      <c r="D2181" s="10" t="str">
        <f>HYPERLINK("https://facebook.com/367089020688300_552449295485604", "367089020688300_552449295485604")</f>
        <v>367089020688300_552449295485604</v>
      </c>
      <c r="E2181" s="11">
        <v>219.0</v>
      </c>
      <c r="F2181" s="11">
        <v>3.0</v>
      </c>
      <c r="G2181" s="11">
        <v>166.0</v>
      </c>
      <c r="H2181" s="9" t="s">
        <v>26</v>
      </c>
      <c r="I2181" s="9" t="s">
        <v>6092</v>
      </c>
      <c r="J2181" s="16" t="s">
        <v>6093</v>
      </c>
      <c r="K2181" s="9"/>
      <c r="L2181" s="9" t="s">
        <v>30</v>
      </c>
      <c r="M2181" s="9" t="s">
        <v>31</v>
      </c>
      <c r="N2181" s="9" t="s">
        <v>32</v>
      </c>
      <c r="O2181" s="12" t="s">
        <v>33</v>
      </c>
      <c r="P2181" s="12" t="s">
        <v>34</v>
      </c>
      <c r="Q2181" s="9"/>
      <c r="R2181" s="18"/>
      <c r="S2181" s="18"/>
      <c r="T2181" s="18"/>
      <c r="U2181" s="18"/>
      <c r="V2181" s="18"/>
      <c r="W2181" s="15"/>
      <c r="X2181" s="15"/>
    </row>
    <row r="2182">
      <c r="A2182" s="7">
        <v>2181.0</v>
      </c>
      <c r="B2182" s="8" t="s">
        <v>9294</v>
      </c>
      <c r="C2182" s="9" t="s">
        <v>9295</v>
      </c>
      <c r="D2182" s="10" t="str">
        <f>HYPERLINK("https://facebook.com/367089020688300_518954498835084", "367089020688300_518954498835084")</f>
        <v>367089020688300_518954498835084</v>
      </c>
      <c r="E2182" s="11">
        <v>792.0</v>
      </c>
      <c r="F2182" s="11">
        <v>29.0</v>
      </c>
      <c r="G2182" s="11">
        <v>664.0</v>
      </c>
      <c r="H2182" s="9" t="s">
        <v>26</v>
      </c>
      <c r="I2182" s="9" t="s">
        <v>9296</v>
      </c>
      <c r="J2182" s="9" t="s">
        <v>9297</v>
      </c>
      <c r="K2182" s="9" t="s">
        <v>9298</v>
      </c>
      <c r="L2182" s="9" t="s">
        <v>30</v>
      </c>
      <c r="M2182" s="9" t="s">
        <v>31</v>
      </c>
      <c r="N2182" s="9" t="s">
        <v>32</v>
      </c>
      <c r="O2182" s="12" t="s">
        <v>33</v>
      </c>
      <c r="P2182" s="12" t="s">
        <v>34</v>
      </c>
      <c r="Q2182" s="9"/>
      <c r="R2182" s="18"/>
      <c r="S2182" s="18"/>
      <c r="T2182" s="18"/>
      <c r="U2182" s="18"/>
      <c r="V2182" s="18"/>
      <c r="W2182" s="15"/>
      <c r="X2182" s="15"/>
    </row>
    <row r="2183">
      <c r="A2183" s="7">
        <v>2182.0</v>
      </c>
      <c r="B2183" s="8" t="s">
        <v>9299</v>
      </c>
      <c r="C2183" s="9" t="s">
        <v>9300</v>
      </c>
      <c r="D2183" s="10" t="str">
        <f>HYPERLINK("https://facebook.com/367089020688300_367358023994733", "367089020688300_367358023994733")</f>
        <v>367089020688300_367358023994733</v>
      </c>
      <c r="E2183" s="11">
        <v>39.0</v>
      </c>
      <c r="F2183" s="11">
        <v>3.0</v>
      </c>
      <c r="G2183" s="11">
        <v>57.0</v>
      </c>
      <c r="H2183" s="9" t="s">
        <v>26</v>
      </c>
      <c r="I2183" s="9" t="s">
        <v>9301</v>
      </c>
      <c r="J2183" s="9" t="s">
        <v>9302</v>
      </c>
      <c r="K2183" s="9" t="s">
        <v>9303</v>
      </c>
      <c r="L2183" s="9" t="s">
        <v>30</v>
      </c>
      <c r="M2183" s="9" t="s">
        <v>31</v>
      </c>
      <c r="N2183" s="9" t="s">
        <v>32</v>
      </c>
      <c r="O2183" s="12" t="s">
        <v>33</v>
      </c>
      <c r="P2183" s="12" t="s">
        <v>34</v>
      </c>
      <c r="Q2183" s="9"/>
      <c r="R2183" s="18"/>
      <c r="S2183" s="18"/>
      <c r="T2183" s="18"/>
      <c r="U2183" s="18"/>
      <c r="V2183" s="18"/>
      <c r="W2183" s="15"/>
      <c r="X2183" s="15"/>
    </row>
    <row r="2184">
      <c r="A2184" s="7">
        <v>2183.0</v>
      </c>
      <c r="B2184" s="8" t="s">
        <v>9304</v>
      </c>
      <c r="C2184" s="9" t="s">
        <v>9305</v>
      </c>
      <c r="D2184" s="10" t="str">
        <f>HYPERLINK("https://facebook.com/367089020688300_544927889571078", "367089020688300_544927889571078")</f>
        <v>367089020688300_544927889571078</v>
      </c>
      <c r="E2184" s="11">
        <v>355.0</v>
      </c>
      <c r="F2184" s="11">
        <v>7.0</v>
      </c>
      <c r="G2184" s="11">
        <v>191.0</v>
      </c>
      <c r="H2184" s="9" t="s">
        <v>26</v>
      </c>
      <c r="I2184" s="9" t="s">
        <v>5113</v>
      </c>
      <c r="J2184" s="9" t="s">
        <v>9306</v>
      </c>
      <c r="K2184" s="9" t="s">
        <v>9307</v>
      </c>
      <c r="L2184" s="9" t="s">
        <v>30</v>
      </c>
      <c r="M2184" s="9" t="s">
        <v>31</v>
      </c>
      <c r="N2184" s="9" t="s">
        <v>32</v>
      </c>
      <c r="O2184" s="12" t="s">
        <v>33</v>
      </c>
      <c r="P2184" s="12" t="s">
        <v>34</v>
      </c>
      <c r="Q2184" s="9"/>
      <c r="R2184" s="18"/>
      <c r="S2184" s="18"/>
      <c r="T2184" s="18"/>
      <c r="U2184" s="18"/>
      <c r="V2184" s="18"/>
      <c r="W2184" s="15"/>
      <c r="X2184" s="15"/>
    </row>
    <row r="2185">
      <c r="A2185" s="7">
        <v>2184.0</v>
      </c>
      <c r="B2185" s="8" t="s">
        <v>9308</v>
      </c>
      <c r="C2185" s="9" t="s">
        <v>9309</v>
      </c>
      <c r="D2185" s="10" t="str">
        <f>HYPERLINK("https://facebook.com/367089020688300_540029650060902", "367089020688300_540029650060902")</f>
        <v>367089020688300_540029650060902</v>
      </c>
      <c r="E2185" s="11">
        <v>25.0</v>
      </c>
      <c r="F2185" s="11">
        <v>0.0</v>
      </c>
      <c r="G2185" s="11">
        <v>9.0</v>
      </c>
      <c r="H2185" s="9" t="s">
        <v>26</v>
      </c>
      <c r="I2185" s="9" t="s">
        <v>9310</v>
      </c>
      <c r="J2185" s="9" t="s">
        <v>9311</v>
      </c>
      <c r="K2185" s="9" t="s">
        <v>51</v>
      </c>
      <c r="L2185" s="9" t="s">
        <v>30</v>
      </c>
      <c r="M2185" s="9" t="s">
        <v>31</v>
      </c>
      <c r="N2185" s="9" t="s">
        <v>32</v>
      </c>
      <c r="O2185" s="12" t="s">
        <v>33</v>
      </c>
      <c r="P2185" s="12" t="s">
        <v>34</v>
      </c>
      <c r="Q2185" s="9"/>
      <c r="R2185" s="18"/>
      <c r="S2185" s="18"/>
      <c r="T2185" s="18"/>
      <c r="U2185" s="18"/>
      <c r="V2185" s="18"/>
      <c r="W2185" s="15"/>
      <c r="X2185" s="15"/>
    </row>
    <row r="2186">
      <c r="A2186" s="7">
        <v>2185.0</v>
      </c>
      <c r="B2186" s="8" t="s">
        <v>9312</v>
      </c>
      <c r="C2186" s="9" t="s">
        <v>9313</v>
      </c>
      <c r="D2186" s="10" t="str">
        <f>HYPERLINK("https://facebook.com/367089020688300_539142100149657", "367089020688300_539142100149657")</f>
        <v>367089020688300_539142100149657</v>
      </c>
      <c r="E2186" s="11">
        <v>182.0</v>
      </c>
      <c r="F2186" s="11">
        <v>0.0</v>
      </c>
      <c r="G2186" s="11">
        <v>155.0</v>
      </c>
      <c r="H2186" s="9" t="s">
        <v>26</v>
      </c>
      <c r="I2186" s="9" t="s">
        <v>9314</v>
      </c>
      <c r="J2186" s="16" t="s">
        <v>9315</v>
      </c>
      <c r="K2186" s="9"/>
      <c r="L2186" s="9" t="s">
        <v>30</v>
      </c>
      <c r="M2186" s="9" t="s">
        <v>31</v>
      </c>
      <c r="N2186" s="9" t="s">
        <v>32</v>
      </c>
      <c r="O2186" s="12" t="s">
        <v>33</v>
      </c>
      <c r="P2186" s="12" t="s">
        <v>34</v>
      </c>
      <c r="Q2186" s="9"/>
      <c r="R2186" s="18"/>
      <c r="S2186" s="18"/>
      <c r="T2186" s="18"/>
      <c r="U2186" s="18"/>
      <c r="V2186" s="18"/>
      <c r="W2186" s="15"/>
      <c r="X2186" s="15"/>
    </row>
    <row r="2187">
      <c r="A2187" s="7">
        <v>2186.0</v>
      </c>
      <c r="B2187" s="8" t="s">
        <v>9316</v>
      </c>
      <c r="C2187" s="9" t="s">
        <v>9317</v>
      </c>
      <c r="D2187" s="10" t="str">
        <f>HYPERLINK("https://facebook.com/367089020688300_545839452813255", "367089020688300_545839452813255")</f>
        <v>367089020688300_545839452813255</v>
      </c>
      <c r="E2187" s="11">
        <v>81.0</v>
      </c>
      <c r="F2187" s="11">
        <v>1.0</v>
      </c>
      <c r="G2187" s="11">
        <v>62.0</v>
      </c>
      <c r="H2187" s="9" t="s">
        <v>26</v>
      </c>
      <c r="I2187" s="9" t="s">
        <v>9318</v>
      </c>
      <c r="J2187" s="16" t="s">
        <v>9319</v>
      </c>
      <c r="K2187" s="9"/>
      <c r="L2187" s="9" t="s">
        <v>30</v>
      </c>
      <c r="M2187" s="9" t="s">
        <v>31</v>
      </c>
      <c r="N2187" s="9" t="s">
        <v>32</v>
      </c>
      <c r="O2187" s="12" t="s">
        <v>33</v>
      </c>
      <c r="P2187" s="12" t="s">
        <v>34</v>
      </c>
      <c r="Q2187" s="9"/>
      <c r="R2187" s="18"/>
      <c r="S2187" s="18"/>
      <c r="T2187" s="18"/>
      <c r="U2187" s="18"/>
      <c r="V2187" s="18"/>
      <c r="W2187" s="15"/>
      <c r="X2187" s="15"/>
    </row>
    <row r="2188">
      <c r="A2188" s="7">
        <v>2187.0</v>
      </c>
      <c r="B2188" s="8" t="s">
        <v>9320</v>
      </c>
      <c r="C2188" s="9" t="s">
        <v>9321</v>
      </c>
      <c r="D2188" s="10" t="str">
        <f>HYPERLINK("https://facebook.com/367089020688300_558471478216719", "367089020688300_558471478216719")</f>
        <v>367089020688300_558471478216719</v>
      </c>
      <c r="E2188" s="11">
        <v>13.0</v>
      </c>
      <c r="F2188" s="11">
        <v>0.0</v>
      </c>
      <c r="G2188" s="11">
        <v>11.0</v>
      </c>
      <c r="H2188" s="9" t="s">
        <v>26</v>
      </c>
      <c r="I2188" s="9" t="s">
        <v>9322</v>
      </c>
      <c r="J2188" s="9" t="s">
        <v>9323</v>
      </c>
      <c r="K2188" s="9" t="s">
        <v>9324</v>
      </c>
      <c r="L2188" s="9" t="s">
        <v>30</v>
      </c>
      <c r="M2188" s="9" t="s">
        <v>31</v>
      </c>
      <c r="N2188" s="9" t="s">
        <v>32</v>
      </c>
      <c r="O2188" s="12" t="s">
        <v>33</v>
      </c>
      <c r="P2188" s="12" t="s">
        <v>34</v>
      </c>
      <c r="Q2188" s="9"/>
      <c r="R2188" s="18"/>
      <c r="S2188" s="18"/>
      <c r="T2188" s="18"/>
      <c r="U2188" s="18"/>
      <c r="V2188" s="18"/>
      <c r="W2188" s="15"/>
      <c r="X2188" s="15"/>
    </row>
    <row r="2189">
      <c r="A2189" s="7">
        <v>2188.0</v>
      </c>
      <c r="B2189" s="8" t="s">
        <v>9325</v>
      </c>
      <c r="C2189" s="9" t="s">
        <v>9326</v>
      </c>
      <c r="D2189" s="10" t="str">
        <f>HYPERLINK("https://facebook.com/367089020688300_542345346495999", "367089020688300_542345346495999")</f>
        <v>367089020688300_542345346495999</v>
      </c>
      <c r="E2189" s="11">
        <v>139.0</v>
      </c>
      <c r="F2189" s="11">
        <v>1.0</v>
      </c>
      <c r="G2189" s="11">
        <v>176.0</v>
      </c>
      <c r="H2189" s="9" t="s">
        <v>26</v>
      </c>
      <c r="I2189" s="9" t="s">
        <v>9327</v>
      </c>
      <c r="J2189" s="9" t="s">
        <v>9328</v>
      </c>
      <c r="K2189" s="9" t="s">
        <v>9329</v>
      </c>
      <c r="L2189" s="9" t="s">
        <v>30</v>
      </c>
      <c r="M2189" s="9" t="s">
        <v>31</v>
      </c>
      <c r="N2189" s="9" t="s">
        <v>32</v>
      </c>
      <c r="O2189" s="12" t="s">
        <v>33</v>
      </c>
      <c r="P2189" s="12" t="s">
        <v>34</v>
      </c>
      <c r="Q2189" s="9"/>
      <c r="R2189" s="18"/>
      <c r="S2189" s="18"/>
      <c r="T2189" s="18"/>
      <c r="U2189" s="18"/>
      <c r="V2189" s="18"/>
      <c r="W2189" s="15"/>
      <c r="X2189" s="15"/>
    </row>
    <row r="2190">
      <c r="A2190" s="7">
        <v>2189.0</v>
      </c>
      <c r="B2190" s="8" t="s">
        <v>9330</v>
      </c>
      <c r="C2190" s="9" t="s">
        <v>9331</v>
      </c>
      <c r="D2190" s="10" t="str">
        <f>HYPERLINK("https://facebook.com/367089020688300_396295511100984", "367089020688300_396295511100984")</f>
        <v>367089020688300_396295511100984</v>
      </c>
      <c r="E2190" s="11">
        <v>276.0</v>
      </c>
      <c r="F2190" s="11">
        <v>3.0</v>
      </c>
      <c r="G2190" s="11">
        <v>235.0</v>
      </c>
      <c r="H2190" s="9" t="s">
        <v>26</v>
      </c>
      <c r="I2190" s="9" t="s">
        <v>9332</v>
      </c>
      <c r="J2190" s="16" t="s">
        <v>9333</v>
      </c>
      <c r="K2190" s="9"/>
      <c r="L2190" s="9" t="s">
        <v>30</v>
      </c>
      <c r="M2190" s="9" t="s">
        <v>31</v>
      </c>
      <c r="N2190" s="9" t="s">
        <v>32</v>
      </c>
      <c r="O2190" s="12" t="s">
        <v>33</v>
      </c>
      <c r="P2190" s="12" t="s">
        <v>34</v>
      </c>
      <c r="Q2190" s="9"/>
      <c r="R2190" s="18"/>
      <c r="S2190" s="18"/>
      <c r="T2190" s="18"/>
      <c r="U2190" s="18"/>
      <c r="V2190" s="18"/>
      <c r="W2190" s="15"/>
      <c r="X2190" s="15"/>
    </row>
    <row r="2191">
      <c r="A2191" s="7">
        <v>2190.0</v>
      </c>
      <c r="B2191" s="8" t="s">
        <v>9334</v>
      </c>
      <c r="C2191" s="9" t="s">
        <v>9335</v>
      </c>
      <c r="D2191" s="10" t="str">
        <f>HYPERLINK("https://facebook.com/367089020688300_539128203484380", "367089020688300_539128203484380")</f>
        <v>367089020688300_539128203484380</v>
      </c>
      <c r="E2191" s="11">
        <v>297.0</v>
      </c>
      <c r="F2191" s="11">
        <v>3.0</v>
      </c>
      <c r="G2191" s="11">
        <v>106.0</v>
      </c>
      <c r="H2191" s="9" t="s">
        <v>26</v>
      </c>
      <c r="I2191" s="9" t="s">
        <v>9336</v>
      </c>
      <c r="J2191" s="9" t="s">
        <v>9337</v>
      </c>
      <c r="K2191" s="9" t="s">
        <v>9338</v>
      </c>
      <c r="L2191" s="9" t="s">
        <v>30</v>
      </c>
      <c r="M2191" s="9" t="s">
        <v>31</v>
      </c>
      <c r="N2191" s="9" t="s">
        <v>32</v>
      </c>
      <c r="O2191" s="12" t="s">
        <v>33</v>
      </c>
      <c r="P2191" s="12" t="s">
        <v>34</v>
      </c>
      <c r="Q2191" s="9"/>
      <c r="R2191" s="18"/>
      <c r="S2191" s="18"/>
      <c r="T2191" s="18"/>
      <c r="U2191" s="18"/>
      <c r="V2191" s="18"/>
      <c r="W2191" s="15"/>
      <c r="X2191" s="15"/>
    </row>
    <row r="2192">
      <c r="A2192" s="7">
        <v>2191.0</v>
      </c>
      <c r="B2192" s="8" t="s">
        <v>9339</v>
      </c>
      <c r="C2192" s="9" t="s">
        <v>9340</v>
      </c>
      <c r="D2192" s="10" t="str">
        <f>HYPERLINK("https://facebook.com/367089020688300_545398409524026", "367089020688300_545398409524026")</f>
        <v>367089020688300_545398409524026</v>
      </c>
      <c r="E2192" s="11">
        <v>8.0</v>
      </c>
      <c r="F2192" s="11">
        <v>1.0</v>
      </c>
      <c r="G2192" s="11">
        <v>2.0</v>
      </c>
      <c r="H2192" s="9" t="s">
        <v>26</v>
      </c>
      <c r="I2192" s="9" t="s">
        <v>9341</v>
      </c>
      <c r="J2192" s="9" t="s">
        <v>9342</v>
      </c>
      <c r="K2192" s="9" t="s">
        <v>9343</v>
      </c>
      <c r="L2192" s="9" t="s">
        <v>30</v>
      </c>
      <c r="M2192" s="9" t="s">
        <v>31</v>
      </c>
      <c r="N2192" s="9" t="s">
        <v>32</v>
      </c>
      <c r="O2192" s="12" t="s">
        <v>33</v>
      </c>
      <c r="P2192" s="12" t="s">
        <v>34</v>
      </c>
      <c r="Q2192" s="9"/>
      <c r="R2192" s="18"/>
      <c r="S2192" s="18"/>
      <c r="T2192" s="18"/>
      <c r="U2192" s="18"/>
      <c r="V2192" s="18"/>
      <c r="W2192" s="15"/>
      <c r="X2192" s="15"/>
    </row>
    <row r="2193">
      <c r="A2193" s="7">
        <v>2192.0</v>
      </c>
      <c r="B2193" s="8" t="s">
        <v>9344</v>
      </c>
      <c r="C2193" s="9" t="s">
        <v>9345</v>
      </c>
      <c r="D2193" s="10" t="str">
        <f>HYPERLINK("https://facebook.com/367089020688300_396754691055066", "367089020688300_396754691055066")</f>
        <v>367089020688300_396754691055066</v>
      </c>
      <c r="E2193" s="11">
        <v>719.0</v>
      </c>
      <c r="F2193" s="11">
        <v>29.0</v>
      </c>
      <c r="G2193" s="11">
        <v>555.0</v>
      </c>
      <c r="H2193" s="9" t="s">
        <v>26</v>
      </c>
      <c r="I2193" s="9" t="s">
        <v>9346</v>
      </c>
      <c r="J2193" s="9" t="s">
        <v>9347</v>
      </c>
      <c r="K2193" s="9" t="s">
        <v>9348</v>
      </c>
      <c r="L2193" s="9" t="s">
        <v>30</v>
      </c>
      <c r="M2193" s="9" t="s">
        <v>31</v>
      </c>
      <c r="N2193" s="9" t="s">
        <v>32</v>
      </c>
      <c r="O2193" s="12" t="s">
        <v>33</v>
      </c>
      <c r="P2193" s="12" t="s">
        <v>34</v>
      </c>
      <c r="Q2193" s="9"/>
      <c r="R2193" s="18"/>
      <c r="S2193" s="18"/>
      <c r="T2193" s="18"/>
      <c r="U2193" s="18"/>
      <c r="V2193" s="18"/>
      <c r="W2193" s="15"/>
      <c r="X2193" s="15"/>
    </row>
    <row r="2194">
      <c r="A2194" s="7">
        <v>2193.0</v>
      </c>
      <c r="B2194" s="8" t="s">
        <v>9349</v>
      </c>
      <c r="C2194" s="9" t="s">
        <v>9350</v>
      </c>
      <c r="D2194" s="10" t="str">
        <f>HYPERLINK("https://facebook.com/367089020688300_552445028819364", "367089020688300_552445028819364")</f>
        <v>367089020688300_552445028819364</v>
      </c>
      <c r="E2194" s="11">
        <v>11.0</v>
      </c>
      <c r="F2194" s="11">
        <v>0.0</v>
      </c>
      <c r="G2194" s="11">
        <v>19.0</v>
      </c>
      <c r="H2194" s="9" t="s">
        <v>26</v>
      </c>
      <c r="I2194" s="9" t="s">
        <v>9351</v>
      </c>
      <c r="J2194" s="9" t="s">
        <v>9352</v>
      </c>
      <c r="K2194" s="9" t="s">
        <v>9353</v>
      </c>
      <c r="L2194" s="9" t="s">
        <v>30</v>
      </c>
      <c r="M2194" s="9" t="s">
        <v>31</v>
      </c>
      <c r="N2194" s="9" t="s">
        <v>32</v>
      </c>
      <c r="O2194" s="12" t="s">
        <v>33</v>
      </c>
      <c r="P2194" s="12" t="s">
        <v>34</v>
      </c>
      <c r="Q2194" s="9"/>
      <c r="R2194" s="18"/>
      <c r="S2194" s="18"/>
      <c r="T2194" s="18"/>
      <c r="U2194" s="18"/>
      <c r="V2194" s="18"/>
      <c r="W2194" s="15"/>
      <c r="X2194" s="15"/>
    </row>
    <row r="2195">
      <c r="A2195" s="7">
        <v>2194.0</v>
      </c>
      <c r="B2195" s="8" t="s">
        <v>9354</v>
      </c>
      <c r="C2195" s="9" t="s">
        <v>9355</v>
      </c>
      <c r="D2195" s="10" t="str">
        <f>HYPERLINK("https://facebook.com/367089020688300_561329577930909", "367089020688300_561329577930909")</f>
        <v>367089020688300_561329577930909</v>
      </c>
      <c r="E2195" s="11">
        <v>13.0</v>
      </c>
      <c r="F2195" s="11">
        <v>2.0</v>
      </c>
      <c r="G2195" s="11">
        <v>5.0</v>
      </c>
      <c r="H2195" s="9" t="s">
        <v>26</v>
      </c>
      <c r="I2195" s="9" t="s">
        <v>9356</v>
      </c>
      <c r="J2195" s="9" t="s">
        <v>9357</v>
      </c>
      <c r="K2195" s="9" t="s">
        <v>9358</v>
      </c>
      <c r="L2195" s="9" t="s">
        <v>30</v>
      </c>
      <c r="M2195" s="9" t="s">
        <v>31</v>
      </c>
      <c r="N2195" s="9" t="s">
        <v>32</v>
      </c>
      <c r="O2195" s="12" t="s">
        <v>33</v>
      </c>
      <c r="P2195" s="12" t="s">
        <v>34</v>
      </c>
      <c r="Q2195" s="9"/>
      <c r="R2195" s="18"/>
      <c r="S2195" s="18"/>
      <c r="T2195" s="18"/>
      <c r="U2195" s="18"/>
      <c r="V2195" s="18"/>
      <c r="W2195" s="15"/>
      <c r="X2195" s="15"/>
    </row>
    <row r="2196">
      <c r="A2196" s="7">
        <v>2195.0</v>
      </c>
      <c r="B2196" s="8" t="s">
        <v>9359</v>
      </c>
      <c r="C2196" s="9" t="s">
        <v>9360</v>
      </c>
      <c r="D2196" s="10" t="str">
        <f>HYPERLINK("https://facebook.com/367089020688300_550783072318893", "367089020688300_550783072318893")</f>
        <v>367089020688300_550783072318893</v>
      </c>
      <c r="E2196" s="11">
        <v>71.0</v>
      </c>
      <c r="F2196" s="11">
        <v>0.0</v>
      </c>
      <c r="G2196" s="11">
        <v>28.0</v>
      </c>
      <c r="H2196" s="9" t="s">
        <v>26</v>
      </c>
      <c r="I2196" s="9" t="s">
        <v>9361</v>
      </c>
      <c r="J2196" s="16" t="s">
        <v>9362</v>
      </c>
      <c r="K2196" s="9"/>
      <c r="L2196" s="9" t="s">
        <v>30</v>
      </c>
      <c r="M2196" s="9" t="s">
        <v>31</v>
      </c>
      <c r="N2196" s="9" t="s">
        <v>32</v>
      </c>
      <c r="O2196" s="12" t="s">
        <v>33</v>
      </c>
      <c r="P2196" s="12" t="s">
        <v>34</v>
      </c>
      <c r="Q2196" s="9"/>
      <c r="R2196" s="18"/>
      <c r="S2196" s="18"/>
      <c r="T2196" s="18"/>
      <c r="U2196" s="18"/>
      <c r="V2196" s="18"/>
      <c r="W2196" s="15"/>
      <c r="X2196" s="15"/>
    </row>
    <row r="2197">
      <c r="A2197" s="7">
        <v>2196.0</v>
      </c>
      <c r="B2197" s="8" t="s">
        <v>9363</v>
      </c>
      <c r="C2197" s="9" t="s">
        <v>9364</v>
      </c>
      <c r="D2197" s="10" t="str">
        <f>HYPERLINK("https://facebook.com/367089020688300_537443536986180", "367089020688300_537443536986180")</f>
        <v>367089020688300_537443536986180</v>
      </c>
      <c r="E2197" s="11">
        <v>157.0</v>
      </c>
      <c r="F2197" s="11">
        <v>0.0</v>
      </c>
      <c r="G2197" s="11">
        <v>42.0</v>
      </c>
      <c r="H2197" s="9" t="s">
        <v>26</v>
      </c>
      <c r="I2197" s="9" t="s">
        <v>9365</v>
      </c>
      <c r="J2197" s="16" t="s">
        <v>9366</v>
      </c>
      <c r="K2197" s="9"/>
      <c r="L2197" s="9" t="s">
        <v>30</v>
      </c>
      <c r="M2197" s="9" t="s">
        <v>31</v>
      </c>
      <c r="N2197" s="9" t="s">
        <v>32</v>
      </c>
      <c r="O2197" s="12" t="s">
        <v>33</v>
      </c>
      <c r="P2197" s="12" t="s">
        <v>34</v>
      </c>
      <c r="Q2197" s="9"/>
      <c r="R2197" s="18"/>
      <c r="S2197" s="18"/>
      <c r="T2197" s="18"/>
      <c r="U2197" s="18"/>
      <c r="V2197" s="18"/>
      <c r="W2197" s="15"/>
      <c r="X2197" s="15"/>
    </row>
    <row r="2198">
      <c r="A2198" s="7">
        <v>2197.0</v>
      </c>
      <c r="B2198" s="8" t="s">
        <v>9367</v>
      </c>
      <c r="C2198" s="9" t="s">
        <v>9368</v>
      </c>
      <c r="D2198" s="10" t="str">
        <f>HYPERLINK("https://facebook.com/367089020688300_562128711184329", "367089020688300_562128711184329")</f>
        <v>367089020688300_562128711184329</v>
      </c>
      <c r="E2198" s="11">
        <v>109.0</v>
      </c>
      <c r="F2198" s="11">
        <v>2.0</v>
      </c>
      <c r="G2198" s="11">
        <v>118.0</v>
      </c>
      <c r="H2198" s="9" t="s">
        <v>26</v>
      </c>
      <c r="I2198" s="9" t="s">
        <v>807</v>
      </c>
      <c r="J2198" s="16" t="s">
        <v>808</v>
      </c>
      <c r="K2198" s="9"/>
      <c r="L2198" s="9" t="s">
        <v>30</v>
      </c>
      <c r="M2198" s="9" t="s">
        <v>31</v>
      </c>
      <c r="N2198" s="9" t="s">
        <v>32</v>
      </c>
      <c r="O2198" s="12" t="s">
        <v>33</v>
      </c>
      <c r="P2198" s="12" t="s">
        <v>34</v>
      </c>
      <c r="Q2198" s="9"/>
      <c r="R2198" s="18"/>
      <c r="S2198" s="18"/>
      <c r="T2198" s="18"/>
      <c r="U2198" s="18"/>
      <c r="V2198" s="18"/>
      <c r="W2198" s="15"/>
      <c r="X2198" s="15"/>
    </row>
    <row r="2199">
      <c r="A2199" s="7">
        <v>2198.0</v>
      </c>
      <c r="B2199" s="8" t="s">
        <v>9369</v>
      </c>
      <c r="C2199" s="9" t="s">
        <v>9370</v>
      </c>
      <c r="D2199" s="10" t="str">
        <f>HYPERLINK("https://facebook.com/367089020688300_539476643449536", "367089020688300_539476643449536")</f>
        <v>367089020688300_539476643449536</v>
      </c>
      <c r="E2199" s="11">
        <v>260.0</v>
      </c>
      <c r="F2199" s="11">
        <v>4.0</v>
      </c>
      <c r="G2199" s="11">
        <v>258.0</v>
      </c>
      <c r="H2199" s="9" t="s">
        <v>26</v>
      </c>
      <c r="I2199" s="9" t="s">
        <v>9371</v>
      </c>
      <c r="J2199" s="9" t="s">
        <v>9372</v>
      </c>
      <c r="K2199" s="9" t="s">
        <v>3855</v>
      </c>
      <c r="L2199" s="9" t="s">
        <v>30</v>
      </c>
      <c r="M2199" s="9" t="s">
        <v>31</v>
      </c>
      <c r="N2199" s="9" t="s">
        <v>32</v>
      </c>
      <c r="O2199" s="12" t="s">
        <v>33</v>
      </c>
      <c r="P2199" s="12" t="s">
        <v>34</v>
      </c>
      <c r="Q2199" s="9"/>
      <c r="R2199" s="18"/>
      <c r="S2199" s="18"/>
      <c r="T2199" s="18"/>
      <c r="U2199" s="18"/>
      <c r="V2199" s="18"/>
      <c r="W2199" s="15"/>
      <c r="X2199" s="15"/>
    </row>
    <row r="2200">
      <c r="A2200" s="7">
        <v>2199.0</v>
      </c>
      <c r="B2200" s="8" t="s">
        <v>9373</v>
      </c>
      <c r="C2200" s="9" t="s">
        <v>9374</v>
      </c>
      <c r="D2200" s="10" t="str">
        <f>HYPERLINK("https://facebook.com/367089020688300_551310885599445", "367089020688300_551310885599445")</f>
        <v>367089020688300_551310885599445</v>
      </c>
      <c r="E2200" s="11">
        <v>592.0</v>
      </c>
      <c r="F2200" s="11">
        <v>11.0</v>
      </c>
      <c r="G2200" s="11">
        <v>369.0</v>
      </c>
      <c r="H2200" s="9" t="s">
        <v>26</v>
      </c>
      <c r="I2200" s="9" t="s">
        <v>9375</v>
      </c>
      <c r="J2200" s="16" t="s">
        <v>9376</v>
      </c>
      <c r="K2200" s="9"/>
      <c r="L2200" s="9" t="s">
        <v>30</v>
      </c>
      <c r="M2200" s="9" t="s">
        <v>31</v>
      </c>
      <c r="N2200" s="9" t="s">
        <v>32</v>
      </c>
      <c r="O2200" s="12" t="s">
        <v>33</v>
      </c>
      <c r="P2200" s="12" t="s">
        <v>34</v>
      </c>
      <c r="Q2200" s="9"/>
      <c r="R2200" s="18"/>
      <c r="S2200" s="18"/>
      <c r="T2200" s="18"/>
      <c r="U2200" s="18"/>
      <c r="V2200" s="18"/>
      <c r="W2200" s="15"/>
      <c r="X2200" s="15"/>
    </row>
    <row r="2201">
      <c r="A2201" s="7">
        <v>2200.0</v>
      </c>
      <c r="B2201" s="8" t="s">
        <v>9377</v>
      </c>
      <c r="C2201" s="9" t="s">
        <v>9378</v>
      </c>
      <c r="D2201" s="10" t="str">
        <f>HYPERLINK("https://facebook.com/367089020688300_548195652577635", "367089020688300_548195652577635")</f>
        <v>367089020688300_548195652577635</v>
      </c>
      <c r="E2201" s="11">
        <v>43.0</v>
      </c>
      <c r="F2201" s="11">
        <v>0.0</v>
      </c>
      <c r="G2201" s="11">
        <v>46.0</v>
      </c>
      <c r="H2201" s="9" t="s">
        <v>26</v>
      </c>
      <c r="I2201" s="9" t="s">
        <v>5299</v>
      </c>
      <c r="J2201" s="9" t="s">
        <v>5300</v>
      </c>
      <c r="K2201" s="9" t="s">
        <v>214</v>
      </c>
      <c r="L2201" s="9" t="s">
        <v>30</v>
      </c>
      <c r="M2201" s="9" t="s">
        <v>31</v>
      </c>
      <c r="N2201" s="9" t="s">
        <v>32</v>
      </c>
      <c r="O2201" s="12" t="s">
        <v>33</v>
      </c>
      <c r="P2201" s="12" t="s">
        <v>34</v>
      </c>
      <c r="Q2201" s="9"/>
      <c r="R2201" s="18"/>
      <c r="S2201" s="18"/>
      <c r="T2201" s="18"/>
      <c r="U2201" s="18"/>
      <c r="V2201" s="18"/>
      <c r="W2201" s="15"/>
      <c r="X2201" s="15"/>
    </row>
    <row r="2202">
      <c r="A2202" s="7">
        <v>2201.0</v>
      </c>
      <c r="B2202" s="8" t="s">
        <v>9379</v>
      </c>
      <c r="C2202" s="9" t="s">
        <v>9380</v>
      </c>
      <c r="D2202" s="10" t="str">
        <f>HYPERLINK("https://facebook.com/367089020688300_558526154877918", "367089020688300_558526154877918")</f>
        <v>367089020688300_558526154877918</v>
      </c>
      <c r="E2202" s="11">
        <v>196.0</v>
      </c>
      <c r="F2202" s="11">
        <v>6.0</v>
      </c>
      <c r="G2202" s="11">
        <v>128.0</v>
      </c>
      <c r="H2202" s="9" t="s">
        <v>26</v>
      </c>
      <c r="I2202" s="9" t="s">
        <v>666</v>
      </c>
      <c r="J2202" s="16" t="s">
        <v>667</v>
      </c>
      <c r="K2202" s="9"/>
      <c r="L2202" s="9" t="s">
        <v>30</v>
      </c>
      <c r="M2202" s="9" t="s">
        <v>31</v>
      </c>
      <c r="N2202" s="9" t="s">
        <v>32</v>
      </c>
      <c r="O2202" s="12" t="s">
        <v>33</v>
      </c>
      <c r="P2202" s="12" t="s">
        <v>34</v>
      </c>
      <c r="Q2202" s="9"/>
      <c r="R2202" s="18"/>
      <c r="S2202" s="18"/>
      <c r="T2202" s="18"/>
      <c r="U2202" s="18"/>
      <c r="V2202" s="18"/>
      <c r="W2202" s="15"/>
      <c r="X2202" s="15"/>
    </row>
    <row r="2203">
      <c r="A2203" s="7">
        <v>2202.0</v>
      </c>
      <c r="B2203" s="8" t="s">
        <v>9381</v>
      </c>
      <c r="C2203" s="9" t="s">
        <v>9382</v>
      </c>
      <c r="D2203" s="10" t="str">
        <f>HYPERLINK("https://facebook.com/367089020688300_536315247099009", "367089020688300_536315247099009")</f>
        <v>367089020688300_536315247099009</v>
      </c>
      <c r="E2203" s="11">
        <v>56.0</v>
      </c>
      <c r="F2203" s="11">
        <v>0.0</v>
      </c>
      <c r="G2203" s="11">
        <v>25.0</v>
      </c>
      <c r="H2203" s="9" t="s">
        <v>26</v>
      </c>
      <c r="I2203" s="9" t="s">
        <v>9383</v>
      </c>
      <c r="J2203" s="16" t="s">
        <v>9384</v>
      </c>
      <c r="K2203" s="9"/>
      <c r="L2203" s="9" t="s">
        <v>30</v>
      </c>
      <c r="M2203" s="9" t="s">
        <v>31</v>
      </c>
      <c r="N2203" s="9" t="s">
        <v>32</v>
      </c>
      <c r="O2203" s="12" t="s">
        <v>33</v>
      </c>
      <c r="P2203" s="12" t="s">
        <v>34</v>
      </c>
      <c r="Q2203" s="9"/>
      <c r="R2203" s="18"/>
      <c r="S2203" s="18"/>
      <c r="T2203" s="18"/>
      <c r="U2203" s="18"/>
      <c r="V2203" s="18"/>
      <c r="W2203" s="15"/>
      <c r="X2203" s="15"/>
    </row>
    <row r="2204">
      <c r="A2204" s="7">
        <v>2203.0</v>
      </c>
      <c r="B2204" s="8" t="s">
        <v>9385</v>
      </c>
      <c r="C2204" s="9" t="s">
        <v>9386</v>
      </c>
      <c r="D2204" s="10" t="str">
        <f>HYPERLINK("https://facebook.com/367089020688300_559275621469638", "367089020688300_559275621469638")</f>
        <v>367089020688300_559275621469638</v>
      </c>
      <c r="E2204" s="11">
        <v>90.0</v>
      </c>
      <c r="F2204" s="11">
        <v>0.0</v>
      </c>
      <c r="G2204" s="11">
        <v>245.0</v>
      </c>
      <c r="H2204" s="9" t="s">
        <v>26</v>
      </c>
      <c r="I2204" s="9" t="s">
        <v>6607</v>
      </c>
      <c r="J2204" s="9" t="s">
        <v>9387</v>
      </c>
      <c r="K2204" s="9" t="s">
        <v>9388</v>
      </c>
      <c r="L2204" s="9" t="s">
        <v>30</v>
      </c>
      <c r="M2204" s="9" t="s">
        <v>31</v>
      </c>
      <c r="N2204" s="9" t="s">
        <v>32</v>
      </c>
      <c r="O2204" s="12" t="s">
        <v>33</v>
      </c>
      <c r="P2204" s="12" t="s">
        <v>34</v>
      </c>
      <c r="Q2204" s="9"/>
      <c r="R2204" s="18"/>
      <c r="S2204" s="18"/>
      <c r="T2204" s="18"/>
      <c r="U2204" s="18"/>
      <c r="V2204" s="18"/>
      <c r="W2204" s="15"/>
      <c r="X2204" s="15"/>
    </row>
    <row r="2205">
      <c r="A2205" s="7">
        <v>2204.0</v>
      </c>
      <c r="B2205" s="8" t="s">
        <v>9389</v>
      </c>
      <c r="C2205" s="9" t="s">
        <v>9390</v>
      </c>
      <c r="D2205" s="10" t="str">
        <f>HYPERLINK("https://facebook.com/367089020688300_549004085830125", "367089020688300_549004085830125")</f>
        <v>367089020688300_549004085830125</v>
      </c>
      <c r="E2205" s="11">
        <v>50.0</v>
      </c>
      <c r="F2205" s="11">
        <v>0.0</v>
      </c>
      <c r="G2205" s="11">
        <v>9.0</v>
      </c>
      <c r="H2205" s="9" t="s">
        <v>26</v>
      </c>
      <c r="I2205" s="9" t="s">
        <v>9391</v>
      </c>
      <c r="J2205" s="16" t="s">
        <v>9392</v>
      </c>
      <c r="K2205" s="9"/>
      <c r="L2205" s="9" t="s">
        <v>30</v>
      </c>
      <c r="M2205" s="9" t="s">
        <v>31</v>
      </c>
      <c r="N2205" s="9" t="s">
        <v>32</v>
      </c>
      <c r="O2205" s="12" t="s">
        <v>33</v>
      </c>
      <c r="P2205" s="12" t="s">
        <v>34</v>
      </c>
      <c r="Q2205" s="9"/>
      <c r="R2205" s="18"/>
      <c r="S2205" s="18"/>
      <c r="T2205" s="18"/>
      <c r="U2205" s="18"/>
      <c r="V2205" s="18"/>
      <c r="W2205" s="15"/>
      <c r="X2205" s="15"/>
    </row>
    <row r="2206">
      <c r="A2206" s="7">
        <v>2205.0</v>
      </c>
      <c r="B2206" s="8" t="s">
        <v>9393</v>
      </c>
      <c r="C2206" s="9" t="s">
        <v>9394</v>
      </c>
      <c r="D2206" s="10" t="str">
        <f>HYPERLINK("https://facebook.com/367089020688300_557339901663210", "367089020688300_557339901663210")</f>
        <v>367089020688300_557339901663210</v>
      </c>
      <c r="E2206" s="11">
        <v>23.0</v>
      </c>
      <c r="F2206" s="11">
        <v>0.0</v>
      </c>
      <c r="G2206" s="11">
        <v>16.0</v>
      </c>
      <c r="H2206" s="9" t="s">
        <v>26</v>
      </c>
      <c r="I2206" s="9" t="s">
        <v>7388</v>
      </c>
      <c r="J2206" s="9" t="s">
        <v>7389</v>
      </c>
      <c r="K2206" s="9" t="s">
        <v>476</v>
      </c>
      <c r="L2206" s="9" t="s">
        <v>30</v>
      </c>
      <c r="M2206" s="9" t="s">
        <v>31</v>
      </c>
      <c r="N2206" s="9" t="s">
        <v>32</v>
      </c>
      <c r="O2206" s="12" t="s">
        <v>33</v>
      </c>
      <c r="P2206" s="12" t="s">
        <v>34</v>
      </c>
      <c r="Q2206" s="9"/>
      <c r="R2206" s="18"/>
      <c r="S2206" s="18"/>
      <c r="T2206" s="18"/>
      <c r="U2206" s="18"/>
      <c r="V2206" s="18"/>
      <c r="W2206" s="15"/>
      <c r="X2206" s="15"/>
    </row>
    <row r="2207">
      <c r="A2207" s="7">
        <v>2206.0</v>
      </c>
      <c r="B2207" s="8" t="s">
        <v>9395</v>
      </c>
      <c r="C2207" s="9" t="s">
        <v>9396</v>
      </c>
      <c r="D2207" s="10" t="str">
        <f>HYPERLINK("https://facebook.com/367089020688300_553963392000861", "367089020688300_553963392000861")</f>
        <v>367089020688300_553963392000861</v>
      </c>
      <c r="E2207" s="11">
        <v>241.0</v>
      </c>
      <c r="F2207" s="11">
        <v>1.0</v>
      </c>
      <c r="G2207" s="11">
        <v>94.0</v>
      </c>
      <c r="H2207" s="9" t="s">
        <v>26</v>
      </c>
      <c r="I2207" s="9" t="s">
        <v>9397</v>
      </c>
      <c r="J2207" s="16" t="s">
        <v>9398</v>
      </c>
      <c r="K2207" s="9"/>
      <c r="L2207" s="9" t="s">
        <v>30</v>
      </c>
      <c r="M2207" s="9" t="s">
        <v>31</v>
      </c>
      <c r="N2207" s="9" t="s">
        <v>32</v>
      </c>
      <c r="O2207" s="12" t="s">
        <v>33</v>
      </c>
      <c r="P2207" s="12" t="s">
        <v>34</v>
      </c>
      <c r="Q2207" s="9"/>
      <c r="R2207" s="18"/>
      <c r="S2207" s="18"/>
      <c r="T2207" s="18"/>
      <c r="U2207" s="18"/>
      <c r="V2207" s="18"/>
      <c r="W2207" s="15"/>
      <c r="X2207" s="15"/>
    </row>
    <row r="2208">
      <c r="A2208" s="7">
        <v>2207.0</v>
      </c>
      <c r="B2208" s="8" t="s">
        <v>9399</v>
      </c>
      <c r="C2208" s="9" t="s">
        <v>9400</v>
      </c>
      <c r="D2208" s="10" t="str">
        <f>HYPERLINK("https://facebook.com/367089020688300_548224095908124", "367089020688300_548224095908124")</f>
        <v>367089020688300_548224095908124</v>
      </c>
      <c r="E2208" s="11">
        <v>119.0</v>
      </c>
      <c r="F2208" s="11">
        <v>0.0</v>
      </c>
      <c r="G2208" s="11">
        <v>20.0</v>
      </c>
      <c r="H2208" s="9" t="s">
        <v>26</v>
      </c>
      <c r="I2208" s="9" t="s">
        <v>9401</v>
      </c>
      <c r="J2208" s="9" t="s">
        <v>9402</v>
      </c>
      <c r="K2208" s="9" t="s">
        <v>9403</v>
      </c>
      <c r="L2208" s="9" t="s">
        <v>30</v>
      </c>
      <c r="M2208" s="9" t="s">
        <v>31</v>
      </c>
      <c r="N2208" s="9" t="s">
        <v>32</v>
      </c>
      <c r="O2208" s="12" t="s">
        <v>33</v>
      </c>
      <c r="P2208" s="12" t="s">
        <v>34</v>
      </c>
      <c r="Q2208" s="9"/>
      <c r="R2208" s="18"/>
      <c r="S2208" s="18"/>
      <c r="T2208" s="18"/>
      <c r="U2208" s="18"/>
      <c r="V2208" s="18"/>
      <c r="W2208" s="15"/>
      <c r="X2208" s="15"/>
    </row>
    <row r="2209">
      <c r="A2209" s="7">
        <v>2208.0</v>
      </c>
      <c r="B2209" s="8" t="s">
        <v>9404</v>
      </c>
      <c r="C2209" s="9" t="s">
        <v>9405</v>
      </c>
      <c r="D2209" s="10" t="str">
        <f>HYPERLINK("https://facebook.com/367089020688300_529278947802639", "367089020688300_529278947802639")</f>
        <v>367089020688300_529278947802639</v>
      </c>
      <c r="E2209" s="11">
        <v>210.0</v>
      </c>
      <c r="F2209" s="11">
        <v>2.0</v>
      </c>
      <c r="G2209" s="11">
        <v>202.0</v>
      </c>
      <c r="H2209" s="9" t="s">
        <v>26</v>
      </c>
      <c r="I2209" s="9" t="s">
        <v>9406</v>
      </c>
      <c r="J2209" s="16" t="s">
        <v>9407</v>
      </c>
      <c r="K2209" s="9"/>
      <c r="L2209" s="9" t="s">
        <v>30</v>
      </c>
      <c r="M2209" s="9" t="s">
        <v>31</v>
      </c>
      <c r="N2209" s="9" t="s">
        <v>32</v>
      </c>
      <c r="O2209" s="12" t="s">
        <v>33</v>
      </c>
      <c r="P2209" s="12" t="s">
        <v>34</v>
      </c>
      <c r="Q2209" s="9"/>
      <c r="R2209" s="18"/>
      <c r="S2209" s="18"/>
      <c r="T2209" s="18"/>
      <c r="U2209" s="18"/>
      <c r="V2209" s="18"/>
      <c r="W2209" s="15"/>
      <c r="X2209" s="15"/>
    </row>
    <row r="2210">
      <c r="A2210" s="7">
        <v>2209.0</v>
      </c>
      <c r="B2210" s="8" t="s">
        <v>9408</v>
      </c>
      <c r="C2210" s="9" t="s">
        <v>9409</v>
      </c>
      <c r="D2210" s="10" t="str">
        <f>HYPERLINK("https://facebook.com/367089020688300_558578118206055", "367089020688300_558578118206055")</f>
        <v>367089020688300_558578118206055</v>
      </c>
      <c r="E2210" s="11">
        <v>2444.0</v>
      </c>
      <c r="F2210" s="11">
        <v>10.0</v>
      </c>
      <c r="G2210" s="11">
        <v>518.0</v>
      </c>
      <c r="H2210" s="9" t="s">
        <v>26</v>
      </c>
      <c r="I2210" s="9" t="s">
        <v>9410</v>
      </c>
      <c r="J2210" s="16" t="s">
        <v>9411</v>
      </c>
      <c r="K2210" s="9"/>
      <c r="L2210" s="9" t="s">
        <v>30</v>
      </c>
      <c r="M2210" s="9" t="s">
        <v>31</v>
      </c>
      <c r="N2210" s="9" t="s">
        <v>32</v>
      </c>
      <c r="O2210" s="12" t="s">
        <v>33</v>
      </c>
      <c r="P2210" s="12" t="s">
        <v>34</v>
      </c>
      <c r="Q2210" s="9"/>
      <c r="R2210" s="18"/>
      <c r="S2210" s="18"/>
      <c r="T2210" s="18"/>
      <c r="U2210" s="18"/>
      <c r="V2210" s="18"/>
      <c r="W2210" s="15"/>
      <c r="X2210" s="15"/>
    </row>
    <row r="2211">
      <c r="A2211" s="7">
        <v>2210.0</v>
      </c>
      <c r="B2211" s="8" t="s">
        <v>9412</v>
      </c>
      <c r="C2211" s="9" t="s">
        <v>9413</v>
      </c>
      <c r="D2211" s="10" t="str">
        <f>HYPERLINK("https://facebook.com/367089020688300_542753526455181", "367089020688300_542753526455181")</f>
        <v>367089020688300_542753526455181</v>
      </c>
      <c r="E2211" s="11">
        <v>592.0</v>
      </c>
      <c r="F2211" s="11">
        <v>4.0</v>
      </c>
      <c r="G2211" s="11">
        <v>236.0</v>
      </c>
      <c r="H2211" s="9" t="s">
        <v>26</v>
      </c>
      <c r="I2211" s="9" t="s">
        <v>9414</v>
      </c>
      <c r="J2211" s="16" t="s">
        <v>9415</v>
      </c>
      <c r="K2211" s="9"/>
      <c r="L2211" s="9" t="s">
        <v>30</v>
      </c>
      <c r="M2211" s="9" t="s">
        <v>31</v>
      </c>
      <c r="N2211" s="9" t="s">
        <v>32</v>
      </c>
      <c r="O2211" s="12" t="s">
        <v>33</v>
      </c>
      <c r="P2211" s="12" t="s">
        <v>34</v>
      </c>
      <c r="Q2211" s="9"/>
      <c r="R2211" s="18"/>
      <c r="S2211" s="18"/>
      <c r="T2211" s="18"/>
      <c r="U2211" s="18"/>
      <c r="V2211" s="18"/>
      <c r="W2211" s="15"/>
      <c r="X2211" s="15"/>
    </row>
    <row r="2212">
      <c r="A2212" s="7">
        <v>2211.0</v>
      </c>
      <c r="B2212" s="8" t="s">
        <v>9416</v>
      </c>
      <c r="C2212" s="9" t="s">
        <v>9417</v>
      </c>
      <c r="D2212" s="10" t="str">
        <f>HYPERLINK("https://facebook.com/367089020688300_523384265058774", "367089020688300_523384265058774")</f>
        <v>367089020688300_523384265058774</v>
      </c>
      <c r="E2212" s="11">
        <v>368.0</v>
      </c>
      <c r="F2212" s="11">
        <v>12.0</v>
      </c>
      <c r="G2212" s="11">
        <v>960.0</v>
      </c>
      <c r="H2212" s="9" t="s">
        <v>26</v>
      </c>
      <c r="I2212" s="9" t="s">
        <v>316</v>
      </c>
      <c r="J2212" s="9" t="s">
        <v>5863</v>
      </c>
      <c r="K2212" s="9" t="s">
        <v>9418</v>
      </c>
      <c r="L2212" s="9" t="s">
        <v>30</v>
      </c>
      <c r="M2212" s="9" t="s">
        <v>31</v>
      </c>
      <c r="N2212" s="9" t="s">
        <v>32</v>
      </c>
      <c r="O2212" s="12" t="s">
        <v>33</v>
      </c>
      <c r="P2212" s="12" t="s">
        <v>34</v>
      </c>
      <c r="Q2212" s="9"/>
      <c r="R2212" s="18"/>
      <c r="S2212" s="18"/>
      <c r="T2212" s="18"/>
      <c r="U2212" s="18"/>
      <c r="V2212" s="18"/>
      <c r="W2212" s="15"/>
      <c r="X2212" s="15"/>
    </row>
    <row r="2213">
      <c r="A2213" s="7">
        <v>2212.0</v>
      </c>
      <c r="B2213" s="8" t="s">
        <v>9419</v>
      </c>
      <c r="C2213" s="9" t="s">
        <v>9420</v>
      </c>
      <c r="D2213" s="10" t="str">
        <f>HYPERLINK("https://facebook.com/367089020688300_481231009274100", "367089020688300_481231009274100")</f>
        <v>367089020688300_481231009274100</v>
      </c>
      <c r="E2213" s="11">
        <v>202.0</v>
      </c>
      <c r="F2213" s="11">
        <v>9.0</v>
      </c>
      <c r="G2213" s="11">
        <v>202.0</v>
      </c>
      <c r="H2213" s="9" t="s">
        <v>26</v>
      </c>
      <c r="I2213" s="9" t="s">
        <v>993</v>
      </c>
      <c r="J2213" s="9" t="s">
        <v>9421</v>
      </c>
      <c r="K2213" s="9" t="s">
        <v>9422</v>
      </c>
      <c r="L2213" s="9" t="s">
        <v>30</v>
      </c>
      <c r="M2213" s="9" t="s">
        <v>31</v>
      </c>
      <c r="N2213" s="9" t="s">
        <v>32</v>
      </c>
      <c r="O2213" s="12" t="s">
        <v>33</v>
      </c>
      <c r="P2213" s="12" t="s">
        <v>34</v>
      </c>
      <c r="Q2213" s="9"/>
      <c r="R2213" s="18"/>
      <c r="S2213" s="18"/>
      <c r="T2213" s="18"/>
      <c r="U2213" s="18"/>
      <c r="V2213" s="18"/>
      <c r="W2213" s="15"/>
      <c r="X2213" s="15"/>
    </row>
    <row r="2214">
      <c r="A2214" s="7">
        <v>2213.0</v>
      </c>
      <c r="B2214" s="8" t="s">
        <v>9423</v>
      </c>
      <c r="C2214" s="9" t="s">
        <v>9424</v>
      </c>
      <c r="D2214" s="10" t="str">
        <f>HYPERLINK("https://facebook.com/367089020688300_536491997081334", "367089020688300_536491997081334")</f>
        <v>367089020688300_536491997081334</v>
      </c>
      <c r="E2214" s="11">
        <v>103.0</v>
      </c>
      <c r="F2214" s="11">
        <v>2.0</v>
      </c>
      <c r="G2214" s="11">
        <v>66.0</v>
      </c>
      <c r="H2214" s="9" t="s">
        <v>26</v>
      </c>
      <c r="I2214" s="9" t="s">
        <v>9425</v>
      </c>
      <c r="J2214" s="16" t="s">
        <v>9426</v>
      </c>
      <c r="K2214" s="9"/>
      <c r="L2214" s="9" t="s">
        <v>30</v>
      </c>
      <c r="M2214" s="9" t="s">
        <v>31</v>
      </c>
      <c r="N2214" s="9" t="s">
        <v>32</v>
      </c>
      <c r="O2214" s="12" t="s">
        <v>33</v>
      </c>
      <c r="P2214" s="12" t="s">
        <v>34</v>
      </c>
      <c r="Q2214" s="9"/>
      <c r="R2214" s="18"/>
      <c r="S2214" s="18"/>
      <c r="T2214" s="18"/>
      <c r="U2214" s="18"/>
      <c r="V2214" s="18"/>
      <c r="W2214" s="15"/>
      <c r="X2214" s="15"/>
    </row>
    <row r="2215">
      <c r="A2215" s="7">
        <v>2214.0</v>
      </c>
      <c r="B2215" s="8" t="s">
        <v>9427</v>
      </c>
      <c r="C2215" s="9" t="s">
        <v>9428</v>
      </c>
      <c r="D2215" s="10" t="str">
        <f>HYPERLINK("https://facebook.com/367089020688300_532631574134043", "367089020688300_532631574134043")</f>
        <v>367089020688300_532631574134043</v>
      </c>
      <c r="E2215" s="11">
        <v>89.0</v>
      </c>
      <c r="F2215" s="11">
        <v>0.0</v>
      </c>
      <c r="G2215" s="11">
        <v>75.0</v>
      </c>
      <c r="H2215" s="9" t="s">
        <v>26</v>
      </c>
      <c r="I2215" s="9" t="s">
        <v>9429</v>
      </c>
      <c r="J2215" s="16" t="s">
        <v>9430</v>
      </c>
      <c r="K2215" s="9"/>
      <c r="L2215" s="9" t="s">
        <v>30</v>
      </c>
      <c r="M2215" s="9" t="s">
        <v>31</v>
      </c>
      <c r="N2215" s="9" t="s">
        <v>32</v>
      </c>
      <c r="O2215" s="12" t="s">
        <v>33</v>
      </c>
      <c r="P2215" s="12" t="s">
        <v>34</v>
      </c>
      <c r="Q2215" s="9"/>
      <c r="R2215" s="18"/>
      <c r="S2215" s="18"/>
      <c r="T2215" s="18"/>
      <c r="U2215" s="18"/>
      <c r="V2215" s="18"/>
      <c r="W2215" s="15"/>
      <c r="X2215" s="15"/>
    </row>
    <row r="2216">
      <c r="A2216" s="7">
        <v>2215.0</v>
      </c>
      <c r="B2216" s="8" t="s">
        <v>9431</v>
      </c>
      <c r="C2216" s="9" t="s">
        <v>9432</v>
      </c>
      <c r="D2216" s="10" t="str">
        <f>HYPERLINK("https://facebook.com/367089020688300_446047999459068", "367089020688300_446047999459068")</f>
        <v>367089020688300_446047999459068</v>
      </c>
      <c r="E2216" s="11">
        <v>299.0</v>
      </c>
      <c r="F2216" s="11">
        <v>8.0</v>
      </c>
      <c r="G2216" s="11">
        <v>383.0</v>
      </c>
      <c r="H2216" s="9" t="s">
        <v>26</v>
      </c>
      <c r="I2216" s="9" t="s">
        <v>9433</v>
      </c>
      <c r="J2216" s="9" t="s">
        <v>9434</v>
      </c>
      <c r="K2216" s="9" t="s">
        <v>249</v>
      </c>
      <c r="L2216" s="9" t="s">
        <v>30</v>
      </c>
      <c r="M2216" s="9" t="s">
        <v>31</v>
      </c>
      <c r="N2216" s="9" t="s">
        <v>32</v>
      </c>
      <c r="O2216" s="12" t="s">
        <v>33</v>
      </c>
      <c r="P2216" s="12" t="s">
        <v>34</v>
      </c>
      <c r="Q2216" s="9"/>
      <c r="R2216" s="18"/>
      <c r="S2216" s="18"/>
      <c r="T2216" s="18"/>
      <c r="U2216" s="18"/>
      <c r="V2216" s="18"/>
      <c r="W2216" s="15"/>
      <c r="X2216" s="15"/>
    </row>
    <row r="2217">
      <c r="A2217" s="7">
        <v>2216.0</v>
      </c>
      <c r="B2217" s="8" t="s">
        <v>9435</v>
      </c>
      <c r="C2217" s="9" t="s">
        <v>9436</v>
      </c>
      <c r="D2217" s="10" t="str">
        <f>HYPERLINK("https://facebook.com/367089020688300_540955339968333", "367089020688300_540955339968333")</f>
        <v>367089020688300_540955339968333</v>
      </c>
      <c r="E2217" s="11">
        <v>55.0</v>
      </c>
      <c r="F2217" s="11">
        <v>0.0</v>
      </c>
      <c r="G2217" s="11">
        <v>26.0</v>
      </c>
      <c r="H2217" s="9" t="s">
        <v>26</v>
      </c>
      <c r="I2217" s="9" t="s">
        <v>9437</v>
      </c>
      <c r="J2217" s="9" t="s">
        <v>9438</v>
      </c>
      <c r="K2217" s="9" t="s">
        <v>9439</v>
      </c>
      <c r="L2217" s="9" t="s">
        <v>30</v>
      </c>
      <c r="M2217" s="9" t="s">
        <v>31</v>
      </c>
      <c r="N2217" s="9" t="s">
        <v>32</v>
      </c>
      <c r="O2217" s="12" t="s">
        <v>33</v>
      </c>
      <c r="P2217" s="12" t="s">
        <v>34</v>
      </c>
      <c r="Q2217" s="9"/>
      <c r="R2217" s="18"/>
      <c r="S2217" s="18"/>
      <c r="T2217" s="18"/>
      <c r="U2217" s="18"/>
      <c r="V2217" s="18"/>
      <c r="W2217" s="15"/>
      <c r="X2217" s="15"/>
    </row>
    <row r="2218">
      <c r="A2218" s="7">
        <v>2217.0</v>
      </c>
      <c r="B2218" s="8" t="s">
        <v>9440</v>
      </c>
      <c r="C2218" s="9" t="s">
        <v>9441</v>
      </c>
      <c r="D2218" s="10" t="str">
        <f>HYPERLINK("https://facebook.com/367089020688300_511559199574614", "367089020688300_511559199574614")</f>
        <v>367089020688300_511559199574614</v>
      </c>
      <c r="E2218" s="11">
        <v>191.0</v>
      </c>
      <c r="F2218" s="11">
        <v>0.0</v>
      </c>
      <c r="G2218" s="11">
        <v>212.0</v>
      </c>
      <c r="H2218" s="9" t="s">
        <v>26</v>
      </c>
      <c r="I2218" s="9" t="s">
        <v>9442</v>
      </c>
      <c r="J2218" s="9" t="s">
        <v>9443</v>
      </c>
      <c r="K2218" s="9" t="s">
        <v>51</v>
      </c>
      <c r="L2218" s="9" t="s">
        <v>30</v>
      </c>
      <c r="M2218" s="9" t="s">
        <v>31</v>
      </c>
      <c r="N2218" s="9" t="s">
        <v>32</v>
      </c>
      <c r="O2218" s="12" t="s">
        <v>33</v>
      </c>
      <c r="P2218" s="12" t="s">
        <v>34</v>
      </c>
      <c r="Q2218" s="9"/>
      <c r="R2218" s="18"/>
      <c r="S2218" s="18"/>
      <c r="T2218" s="18"/>
      <c r="U2218" s="18"/>
      <c r="V2218" s="18"/>
      <c r="W2218" s="15"/>
      <c r="X2218" s="15"/>
    </row>
    <row r="2219">
      <c r="A2219" s="7">
        <v>2218.0</v>
      </c>
      <c r="B2219" s="8" t="s">
        <v>9444</v>
      </c>
      <c r="C2219" s="9" t="s">
        <v>9445</v>
      </c>
      <c r="D2219" s="10" t="str">
        <f>HYPERLINK("https://facebook.com/367089020688300_426010791462789", "367089020688300_426010791462789")</f>
        <v>367089020688300_426010791462789</v>
      </c>
      <c r="E2219" s="11">
        <v>1448.0</v>
      </c>
      <c r="F2219" s="11">
        <v>10.0</v>
      </c>
      <c r="G2219" s="11">
        <v>923.0</v>
      </c>
      <c r="H2219" s="9" t="s">
        <v>26</v>
      </c>
      <c r="I2219" s="9" t="s">
        <v>9446</v>
      </c>
      <c r="J2219" s="9" t="s">
        <v>9447</v>
      </c>
      <c r="K2219" s="9" t="s">
        <v>249</v>
      </c>
      <c r="L2219" s="9" t="s">
        <v>30</v>
      </c>
      <c r="M2219" s="9" t="s">
        <v>31</v>
      </c>
      <c r="N2219" s="9" t="s">
        <v>32</v>
      </c>
      <c r="O2219" s="12" t="s">
        <v>33</v>
      </c>
      <c r="P2219" s="12" t="s">
        <v>34</v>
      </c>
      <c r="Q2219" s="9"/>
      <c r="R2219" s="18"/>
      <c r="S2219" s="18"/>
      <c r="T2219" s="18"/>
      <c r="U2219" s="18"/>
      <c r="V2219" s="18"/>
      <c r="W2219" s="15"/>
      <c r="X2219" s="15"/>
    </row>
    <row r="2220">
      <c r="A2220" s="7">
        <v>2219.0</v>
      </c>
      <c r="B2220" s="8" t="s">
        <v>9448</v>
      </c>
      <c r="C2220" s="9" t="s">
        <v>9449</v>
      </c>
      <c r="D2220" s="10" t="str">
        <f>HYPERLINK("https://facebook.com/367089020688300_537943770269490", "367089020688300_537943770269490")</f>
        <v>367089020688300_537943770269490</v>
      </c>
      <c r="E2220" s="11">
        <v>20.0</v>
      </c>
      <c r="F2220" s="11">
        <v>0.0</v>
      </c>
      <c r="G2220" s="11">
        <v>19.0</v>
      </c>
      <c r="H2220" s="9" t="s">
        <v>26</v>
      </c>
      <c r="I2220" s="9" t="s">
        <v>9450</v>
      </c>
      <c r="J2220" s="16" t="s">
        <v>9451</v>
      </c>
      <c r="K2220" s="9"/>
      <c r="L2220" s="9" t="s">
        <v>30</v>
      </c>
      <c r="M2220" s="9" t="s">
        <v>31</v>
      </c>
      <c r="N2220" s="9" t="s">
        <v>32</v>
      </c>
      <c r="O2220" s="12" t="s">
        <v>33</v>
      </c>
      <c r="P2220" s="12" t="s">
        <v>34</v>
      </c>
      <c r="Q2220" s="9"/>
      <c r="R2220" s="18"/>
      <c r="S2220" s="18"/>
      <c r="T2220" s="18"/>
      <c r="U2220" s="18"/>
      <c r="V2220" s="18"/>
      <c r="W2220" s="15"/>
      <c r="X2220" s="15"/>
    </row>
    <row r="2221">
      <c r="A2221" s="7">
        <v>2220.0</v>
      </c>
      <c r="B2221" s="8" t="s">
        <v>9452</v>
      </c>
      <c r="C2221" s="9" t="s">
        <v>9453</v>
      </c>
      <c r="D2221" s="10" t="str">
        <f>HYPERLINK("https://facebook.com/367089020688300_552191545511379", "367089020688300_552191545511379")</f>
        <v>367089020688300_552191545511379</v>
      </c>
      <c r="E2221" s="11">
        <v>7.0</v>
      </c>
      <c r="F2221" s="11">
        <v>0.0</v>
      </c>
      <c r="G2221" s="11">
        <v>13.0</v>
      </c>
      <c r="H2221" s="9" t="s">
        <v>26</v>
      </c>
      <c r="I2221" s="9" t="s">
        <v>460</v>
      </c>
      <c r="J2221" s="9" t="s">
        <v>9454</v>
      </c>
      <c r="K2221" s="9" t="s">
        <v>9455</v>
      </c>
      <c r="L2221" s="9" t="s">
        <v>30</v>
      </c>
      <c r="M2221" s="9" t="s">
        <v>31</v>
      </c>
      <c r="N2221" s="9" t="s">
        <v>32</v>
      </c>
      <c r="O2221" s="12" t="s">
        <v>33</v>
      </c>
      <c r="P2221" s="12" t="s">
        <v>34</v>
      </c>
      <c r="Q2221" s="9"/>
      <c r="R2221" s="18"/>
      <c r="S2221" s="18"/>
      <c r="T2221" s="18"/>
      <c r="U2221" s="18"/>
      <c r="V2221" s="18"/>
      <c r="W2221" s="15"/>
      <c r="X2221" s="15"/>
    </row>
    <row r="2222">
      <c r="A2222" s="7">
        <v>2221.0</v>
      </c>
      <c r="B2222" s="8" t="s">
        <v>9456</v>
      </c>
      <c r="C2222" s="9" t="s">
        <v>9457</v>
      </c>
      <c r="D2222" s="10" t="str">
        <f>HYPERLINK("https://facebook.com/367089020688300_536243443772856", "367089020688300_536243443772856")</f>
        <v>367089020688300_536243443772856</v>
      </c>
      <c r="E2222" s="11">
        <v>537.0</v>
      </c>
      <c r="F2222" s="11">
        <v>7.0</v>
      </c>
      <c r="G2222" s="11">
        <v>153.0</v>
      </c>
      <c r="H2222" s="9" t="s">
        <v>26</v>
      </c>
      <c r="I2222" s="9" t="s">
        <v>9458</v>
      </c>
      <c r="J2222" s="16" t="s">
        <v>9459</v>
      </c>
      <c r="K2222" s="9"/>
      <c r="L2222" s="9" t="s">
        <v>30</v>
      </c>
      <c r="M2222" s="9" t="s">
        <v>31</v>
      </c>
      <c r="N2222" s="9" t="s">
        <v>32</v>
      </c>
      <c r="O2222" s="12" t="s">
        <v>33</v>
      </c>
      <c r="P2222" s="12" t="s">
        <v>34</v>
      </c>
      <c r="Q2222" s="9"/>
      <c r="R2222" s="18"/>
      <c r="S2222" s="18"/>
      <c r="T2222" s="18"/>
      <c r="U2222" s="18"/>
      <c r="V2222" s="18"/>
      <c r="W2222" s="15"/>
      <c r="X2222" s="15"/>
    </row>
    <row r="2223">
      <c r="A2223" s="7">
        <v>2222.0</v>
      </c>
      <c r="B2223" s="8" t="s">
        <v>9460</v>
      </c>
      <c r="C2223" s="9" t="s">
        <v>9461</v>
      </c>
      <c r="D2223" s="10" t="str">
        <f>HYPERLINK("https://facebook.com/367089020688300_556835045047029", "367089020688300_556835045047029")</f>
        <v>367089020688300_556835045047029</v>
      </c>
      <c r="E2223" s="11">
        <v>256.0</v>
      </c>
      <c r="F2223" s="11">
        <v>1.0</v>
      </c>
      <c r="G2223" s="11">
        <v>544.0</v>
      </c>
      <c r="H2223" s="9" t="s">
        <v>26</v>
      </c>
      <c r="I2223" s="9" t="s">
        <v>9462</v>
      </c>
      <c r="J2223" s="16" t="s">
        <v>9463</v>
      </c>
      <c r="K2223" s="9"/>
      <c r="L2223" s="9" t="s">
        <v>30</v>
      </c>
      <c r="M2223" s="9" t="s">
        <v>31</v>
      </c>
      <c r="N2223" s="9" t="s">
        <v>32</v>
      </c>
      <c r="O2223" s="12" t="s">
        <v>33</v>
      </c>
      <c r="P2223" s="12" t="s">
        <v>34</v>
      </c>
      <c r="Q2223" s="9"/>
      <c r="R2223" s="18"/>
      <c r="S2223" s="18"/>
      <c r="T2223" s="18"/>
      <c r="U2223" s="18"/>
      <c r="V2223" s="18"/>
      <c r="W2223" s="15"/>
      <c r="X2223" s="15"/>
    </row>
    <row r="2224">
      <c r="A2224" s="7">
        <v>2223.0</v>
      </c>
      <c r="B2224" s="8" t="s">
        <v>9464</v>
      </c>
      <c r="C2224" s="9" t="s">
        <v>9465</v>
      </c>
      <c r="D2224" s="10" t="str">
        <f>HYPERLINK("https://facebook.com/367089020688300_540782099985657", "367089020688300_540782099985657")</f>
        <v>367089020688300_540782099985657</v>
      </c>
      <c r="E2224" s="11">
        <v>477.0</v>
      </c>
      <c r="F2224" s="11">
        <v>2.0</v>
      </c>
      <c r="G2224" s="11">
        <v>316.0</v>
      </c>
      <c r="H2224" s="9" t="s">
        <v>26</v>
      </c>
      <c r="I2224" s="9" t="s">
        <v>5830</v>
      </c>
      <c r="J2224" s="16" t="s">
        <v>9466</v>
      </c>
      <c r="K2224" s="9"/>
      <c r="L2224" s="9" t="s">
        <v>30</v>
      </c>
      <c r="M2224" s="9" t="s">
        <v>31</v>
      </c>
      <c r="N2224" s="9" t="s">
        <v>32</v>
      </c>
      <c r="O2224" s="12" t="s">
        <v>33</v>
      </c>
      <c r="P2224" s="12" t="s">
        <v>34</v>
      </c>
      <c r="Q2224" s="9"/>
      <c r="R2224" s="18"/>
      <c r="S2224" s="18"/>
      <c r="T2224" s="18"/>
      <c r="U2224" s="18"/>
      <c r="V2224" s="18"/>
      <c r="W2224" s="15"/>
      <c r="X2224" s="15"/>
    </row>
    <row r="2225">
      <c r="A2225" s="7">
        <v>2224.0</v>
      </c>
      <c r="B2225" s="8" t="s">
        <v>9467</v>
      </c>
      <c r="C2225" s="9" t="s">
        <v>9468</v>
      </c>
      <c r="D2225" s="10" t="str">
        <f>HYPERLINK("https://facebook.com/367089020688300_402986367098565", "367089020688300_402986367098565")</f>
        <v>367089020688300_402986367098565</v>
      </c>
      <c r="E2225" s="11">
        <v>1472.0</v>
      </c>
      <c r="F2225" s="11">
        <v>19.0</v>
      </c>
      <c r="G2225" s="11">
        <v>867.0</v>
      </c>
      <c r="H2225" s="9" t="s">
        <v>26</v>
      </c>
      <c r="I2225" s="9" t="s">
        <v>9469</v>
      </c>
      <c r="J2225" s="9" t="s">
        <v>9470</v>
      </c>
      <c r="K2225" s="9" t="s">
        <v>9471</v>
      </c>
      <c r="L2225" s="9" t="s">
        <v>30</v>
      </c>
      <c r="M2225" s="9" t="s">
        <v>31</v>
      </c>
      <c r="N2225" s="9" t="s">
        <v>32</v>
      </c>
      <c r="O2225" s="12" t="s">
        <v>33</v>
      </c>
      <c r="P2225" s="12" t="s">
        <v>34</v>
      </c>
      <c r="Q2225" s="9"/>
      <c r="R2225" s="18"/>
      <c r="S2225" s="18"/>
      <c r="T2225" s="18"/>
      <c r="U2225" s="18"/>
      <c r="V2225" s="18"/>
      <c r="W2225" s="15"/>
      <c r="X2225" s="15"/>
    </row>
    <row r="2226">
      <c r="A2226" s="7">
        <v>2225.0</v>
      </c>
      <c r="B2226" s="8" t="s">
        <v>9472</v>
      </c>
      <c r="C2226" s="9" t="s">
        <v>9473</v>
      </c>
      <c r="D2226" s="10" t="str">
        <f>HYPERLINK("https://facebook.com/367089020688300_459416831455518", "367089020688300_459416831455518")</f>
        <v>367089020688300_459416831455518</v>
      </c>
      <c r="E2226" s="11">
        <v>502.0</v>
      </c>
      <c r="F2226" s="11">
        <v>10.0</v>
      </c>
      <c r="G2226" s="11">
        <v>545.0</v>
      </c>
      <c r="H2226" s="9" t="s">
        <v>26</v>
      </c>
      <c r="I2226" s="9" t="s">
        <v>9474</v>
      </c>
      <c r="J2226" s="9" t="s">
        <v>9475</v>
      </c>
      <c r="K2226" s="9" t="s">
        <v>9476</v>
      </c>
      <c r="L2226" s="9" t="s">
        <v>30</v>
      </c>
      <c r="M2226" s="9" t="s">
        <v>31</v>
      </c>
      <c r="N2226" s="9" t="s">
        <v>32</v>
      </c>
      <c r="O2226" s="12" t="s">
        <v>33</v>
      </c>
      <c r="P2226" s="12" t="s">
        <v>34</v>
      </c>
      <c r="Q2226" s="9"/>
      <c r="R2226" s="18"/>
      <c r="S2226" s="18"/>
      <c r="T2226" s="18"/>
      <c r="U2226" s="18"/>
      <c r="V2226" s="18"/>
      <c r="W2226" s="15"/>
      <c r="X2226" s="15"/>
    </row>
    <row r="2227">
      <c r="A2227" s="7">
        <v>2226.0</v>
      </c>
      <c r="B2227" s="8" t="s">
        <v>9477</v>
      </c>
      <c r="C2227" s="9" t="s">
        <v>9478</v>
      </c>
      <c r="D2227" s="10" t="str">
        <f>HYPERLINK("https://facebook.com/367089020688300_511903579540176", "367089020688300_511903579540176")</f>
        <v>367089020688300_511903579540176</v>
      </c>
      <c r="E2227" s="11">
        <v>13.0</v>
      </c>
      <c r="F2227" s="11">
        <v>1.0</v>
      </c>
      <c r="G2227" s="11">
        <v>6.0</v>
      </c>
      <c r="H2227" s="9" t="s">
        <v>26</v>
      </c>
      <c r="I2227" s="9" t="s">
        <v>2321</v>
      </c>
      <c r="J2227" s="9" t="s">
        <v>9479</v>
      </c>
      <c r="K2227" s="9" t="s">
        <v>9480</v>
      </c>
      <c r="L2227" s="9" t="s">
        <v>30</v>
      </c>
      <c r="M2227" s="9" t="s">
        <v>31</v>
      </c>
      <c r="N2227" s="9" t="s">
        <v>32</v>
      </c>
      <c r="O2227" s="12" t="s">
        <v>33</v>
      </c>
      <c r="P2227" s="12" t="s">
        <v>34</v>
      </c>
      <c r="Q2227" s="9"/>
      <c r="R2227" s="18"/>
      <c r="S2227" s="18"/>
      <c r="T2227" s="18"/>
      <c r="U2227" s="18"/>
      <c r="V2227" s="18"/>
      <c r="W2227" s="15"/>
      <c r="X2227" s="15"/>
    </row>
    <row r="2228">
      <c r="A2228" s="7">
        <v>2227.0</v>
      </c>
      <c r="B2228" s="8" t="s">
        <v>9481</v>
      </c>
      <c r="C2228" s="9" t="s">
        <v>9482</v>
      </c>
      <c r="D2228" s="10" t="str">
        <f>HYPERLINK("https://facebook.com/367089020688300_540421636688370", "367089020688300_540421636688370")</f>
        <v>367089020688300_540421636688370</v>
      </c>
      <c r="E2228" s="11">
        <v>26.0</v>
      </c>
      <c r="F2228" s="11">
        <v>0.0</v>
      </c>
      <c r="G2228" s="11">
        <v>18.0</v>
      </c>
      <c r="H2228" s="9" t="s">
        <v>26</v>
      </c>
      <c r="I2228" s="9" t="s">
        <v>8953</v>
      </c>
      <c r="J2228" s="16" t="s">
        <v>8954</v>
      </c>
      <c r="K2228" s="9"/>
      <c r="L2228" s="9" t="s">
        <v>30</v>
      </c>
      <c r="M2228" s="9" t="s">
        <v>31</v>
      </c>
      <c r="N2228" s="9" t="s">
        <v>32</v>
      </c>
      <c r="O2228" s="12" t="s">
        <v>33</v>
      </c>
      <c r="P2228" s="12" t="s">
        <v>34</v>
      </c>
      <c r="Q2228" s="9"/>
      <c r="R2228" s="18"/>
      <c r="S2228" s="18"/>
      <c r="T2228" s="18"/>
      <c r="U2228" s="18"/>
      <c r="V2228" s="18"/>
      <c r="W2228" s="15"/>
      <c r="X2228" s="15"/>
    </row>
    <row r="2229">
      <c r="A2229" s="7">
        <v>2228.0</v>
      </c>
      <c r="B2229" s="8" t="s">
        <v>9483</v>
      </c>
      <c r="C2229" s="9" t="s">
        <v>9484</v>
      </c>
      <c r="D2229" s="10" t="str">
        <f>HYPERLINK("https://facebook.com/367089020688300_554528405277693", "367089020688300_554528405277693")</f>
        <v>367089020688300_554528405277693</v>
      </c>
      <c r="E2229" s="11">
        <v>37.0</v>
      </c>
      <c r="F2229" s="11">
        <v>1.0</v>
      </c>
      <c r="G2229" s="11">
        <v>56.0</v>
      </c>
      <c r="H2229" s="9" t="s">
        <v>26</v>
      </c>
      <c r="I2229" s="9" t="s">
        <v>9485</v>
      </c>
      <c r="J2229" s="9" t="s">
        <v>9486</v>
      </c>
      <c r="K2229" s="9" t="s">
        <v>9487</v>
      </c>
      <c r="L2229" s="9" t="s">
        <v>30</v>
      </c>
      <c r="M2229" s="9" t="s">
        <v>31</v>
      </c>
      <c r="N2229" s="9" t="s">
        <v>32</v>
      </c>
      <c r="O2229" s="12" t="s">
        <v>33</v>
      </c>
      <c r="P2229" s="12" t="s">
        <v>34</v>
      </c>
      <c r="Q2229" s="9"/>
      <c r="R2229" s="18"/>
      <c r="S2229" s="18"/>
      <c r="T2229" s="18"/>
      <c r="U2229" s="18"/>
      <c r="V2229" s="18"/>
      <c r="W2229" s="15"/>
      <c r="X2229" s="15"/>
    </row>
    <row r="2230">
      <c r="A2230" s="7">
        <v>2229.0</v>
      </c>
      <c r="B2230" s="8" t="s">
        <v>9488</v>
      </c>
      <c r="C2230" s="9" t="s">
        <v>9489</v>
      </c>
      <c r="D2230" s="10" t="str">
        <f>HYPERLINK("https://facebook.com/367089020688300_539397690124098", "367089020688300_539397690124098")</f>
        <v>367089020688300_539397690124098</v>
      </c>
      <c r="E2230" s="11">
        <v>374.0</v>
      </c>
      <c r="F2230" s="11">
        <v>9.0</v>
      </c>
      <c r="G2230" s="11">
        <v>55.0</v>
      </c>
      <c r="H2230" s="9" t="s">
        <v>26</v>
      </c>
      <c r="I2230" s="9" t="s">
        <v>9490</v>
      </c>
      <c r="J2230" s="16" t="s">
        <v>9491</v>
      </c>
      <c r="K2230" s="9"/>
      <c r="L2230" s="9" t="s">
        <v>30</v>
      </c>
      <c r="M2230" s="9" t="s">
        <v>31</v>
      </c>
      <c r="N2230" s="9" t="s">
        <v>32</v>
      </c>
      <c r="O2230" s="12" t="s">
        <v>33</v>
      </c>
      <c r="P2230" s="12" t="s">
        <v>34</v>
      </c>
      <c r="Q2230" s="9"/>
      <c r="R2230" s="18"/>
      <c r="S2230" s="18"/>
      <c r="T2230" s="18"/>
      <c r="U2230" s="18"/>
      <c r="V2230" s="18"/>
      <c r="W2230" s="15"/>
      <c r="X2230" s="15"/>
    </row>
    <row r="2231">
      <c r="A2231" s="7">
        <v>2230.0</v>
      </c>
      <c r="B2231" s="8" t="s">
        <v>9492</v>
      </c>
      <c r="C2231" s="9" t="s">
        <v>9493</v>
      </c>
      <c r="D2231" s="10" t="str">
        <f>HYPERLINK("https://facebook.com/367089020688300_563441791053021", "367089020688300_563441791053021")</f>
        <v>367089020688300_563441791053021</v>
      </c>
      <c r="E2231" s="11">
        <v>331.0</v>
      </c>
      <c r="F2231" s="11">
        <v>0.0</v>
      </c>
      <c r="G2231" s="11">
        <v>31.0</v>
      </c>
      <c r="H2231" s="9" t="s">
        <v>26</v>
      </c>
      <c r="I2231" s="9" t="s">
        <v>6943</v>
      </c>
      <c r="J2231" s="16" t="s">
        <v>9494</v>
      </c>
      <c r="K2231" s="9"/>
      <c r="L2231" s="9" t="s">
        <v>30</v>
      </c>
      <c r="M2231" s="9" t="s">
        <v>31</v>
      </c>
      <c r="N2231" s="9" t="s">
        <v>32</v>
      </c>
      <c r="O2231" s="12" t="s">
        <v>33</v>
      </c>
      <c r="P2231" s="12" t="s">
        <v>34</v>
      </c>
      <c r="Q2231" s="9"/>
      <c r="R2231" s="18"/>
      <c r="S2231" s="18"/>
      <c r="T2231" s="18"/>
      <c r="U2231" s="18"/>
      <c r="V2231" s="18"/>
      <c r="W2231" s="15"/>
      <c r="X2231" s="15"/>
    </row>
    <row r="2232">
      <c r="A2232" s="7">
        <v>2231.0</v>
      </c>
      <c r="B2232" s="8" t="s">
        <v>9495</v>
      </c>
      <c r="C2232" s="9" t="s">
        <v>9496</v>
      </c>
      <c r="D2232" s="10" t="str">
        <f>HYPERLINK("https://facebook.com/367089020688300_555718311825369", "367089020688300_555718311825369")</f>
        <v>367089020688300_555718311825369</v>
      </c>
      <c r="E2232" s="11">
        <v>9.0</v>
      </c>
      <c r="F2232" s="11">
        <v>0.0</v>
      </c>
      <c r="G2232" s="11">
        <v>2.0</v>
      </c>
      <c r="H2232" s="9" t="s">
        <v>26</v>
      </c>
      <c r="I2232" s="9" t="s">
        <v>9497</v>
      </c>
      <c r="J2232" s="16" t="s">
        <v>9498</v>
      </c>
      <c r="K2232" s="9"/>
      <c r="L2232" s="9" t="s">
        <v>30</v>
      </c>
      <c r="M2232" s="9" t="s">
        <v>31</v>
      </c>
      <c r="N2232" s="9" t="s">
        <v>32</v>
      </c>
      <c r="O2232" s="12" t="s">
        <v>33</v>
      </c>
      <c r="P2232" s="12" t="s">
        <v>34</v>
      </c>
      <c r="Q2232" s="9"/>
      <c r="R2232" s="18"/>
      <c r="S2232" s="18"/>
      <c r="T2232" s="18"/>
      <c r="U2232" s="18"/>
      <c r="V2232" s="18"/>
      <c r="W2232" s="15"/>
      <c r="X2232" s="15"/>
    </row>
    <row r="2233">
      <c r="A2233" s="7">
        <v>2232.0</v>
      </c>
      <c r="B2233" s="8" t="s">
        <v>9499</v>
      </c>
      <c r="C2233" s="9" t="s">
        <v>9500</v>
      </c>
      <c r="D2233" s="10" t="str">
        <f>HYPERLINK("https://facebook.com/367089020688300_532512420812625", "367089020688300_532512420812625")</f>
        <v>367089020688300_532512420812625</v>
      </c>
      <c r="E2233" s="11">
        <v>237.0</v>
      </c>
      <c r="F2233" s="11">
        <v>4.0</v>
      </c>
      <c r="G2233" s="11">
        <v>204.0</v>
      </c>
      <c r="H2233" s="9" t="s">
        <v>26</v>
      </c>
      <c r="I2233" s="9" t="s">
        <v>9501</v>
      </c>
      <c r="J2233" s="16" t="s">
        <v>9502</v>
      </c>
      <c r="K2233" s="9"/>
      <c r="L2233" s="9" t="s">
        <v>30</v>
      </c>
      <c r="M2233" s="9" t="s">
        <v>31</v>
      </c>
      <c r="N2233" s="9" t="s">
        <v>32</v>
      </c>
      <c r="O2233" s="12" t="s">
        <v>33</v>
      </c>
      <c r="P2233" s="12" t="s">
        <v>34</v>
      </c>
      <c r="Q2233" s="9"/>
      <c r="R2233" s="18"/>
      <c r="S2233" s="18"/>
      <c r="T2233" s="18"/>
      <c r="U2233" s="18"/>
      <c r="V2233" s="18"/>
      <c r="W2233" s="15"/>
      <c r="X2233" s="15"/>
    </row>
    <row r="2234">
      <c r="A2234" s="7">
        <v>2233.0</v>
      </c>
      <c r="B2234" s="8" t="s">
        <v>9503</v>
      </c>
      <c r="C2234" s="9" t="s">
        <v>9504</v>
      </c>
      <c r="D2234" s="10" t="str">
        <f>HYPERLINK("https://facebook.com/367089020688300_562036177860249", "367089020688300_562036177860249")</f>
        <v>367089020688300_562036177860249</v>
      </c>
      <c r="E2234" s="11">
        <v>28.0</v>
      </c>
      <c r="F2234" s="11">
        <v>0.0</v>
      </c>
      <c r="G2234" s="11">
        <v>9.0</v>
      </c>
      <c r="H2234" s="9" t="s">
        <v>26</v>
      </c>
      <c r="I2234" s="9" t="s">
        <v>9505</v>
      </c>
      <c r="J2234" s="16" t="s">
        <v>9506</v>
      </c>
      <c r="K2234" s="9"/>
      <c r="L2234" s="9" t="s">
        <v>30</v>
      </c>
      <c r="M2234" s="9" t="s">
        <v>31</v>
      </c>
      <c r="N2234" s="9" t="s">
        <v>32</v>
      </c>
      <c r="O2234" s="12" t="s">
        <v>33</v>
      </c>
      <c r="P2234" s="12" t="s">
        <v>34</v>
      </c>
      <c r="Q2234" s="9"/>
      <c r="R2234" s="18"/>
      <c r="S2234" s="18"/>
      <c r="T2234" s="18"/>
      <c r="U2234" s="18"/>
      <c r="V2234" s="18"/>
      <c r="W2234" s="15"/>
      <c r="X2234" s="15"/>
    </row>
    <row r="2235">
      <c r="A2235" s="7">
        <v>2234.0</v>
      </c>
      <c r="B2235" s="8" t="s">
        <v>9507</v>
      </c>
      <c r="C2235" s="9" t="s">
        <v>9508</v>
      </c>
      <c r="D2235" s="10" t="str">
        <f>HYPERLINK("https://facebook.com/367089020688300_558055131591687", "367089020688300_558055131591687")</f>
        <v>367089020688300_558055131591687</v>
      </c>
      <c r="E2235" s="11">
        <v>1348.0</v>
      </c>
      <c r="F2235" s="11">
        <v>5.0</v>
      </c>
      <c r="G2235" s="11">
        <v>571.0</v>
      </c>
      <c r="H2235" s="9" t="s">
        <v>26</v>
      </c>
      <c r="I2235" s="9" t="s">
        <v>9509</v>
      </c>
      <c r="J2235" s="16" t="s">
        <v>9510</v>
      </c>
      <c r="K2235" s="9"/>
      <c r="L2235" s="9" t="s">
        <v>30</v>
      </c>
      <c r="M2235" s="9" t="s">
        <v>31</v>
      </c>
      <c r="N2235" s="9" t="s">
        <v>32</v>
      </c>
      <c r="O2235" s="12" t="s">
        <v>33</v>
      </c>
      <c r="P2235" s="12" t="s">
        <v>34</v>
      </c>
      <c r="Q2235" s="9"/>
      <c r="R2235" s="18"/>
      <c r="S2235" s="18"/>
      <c r="T2235" s="18"/>
      <c r="U2235" s="18"/>
      <c r="V2235" s="18"/>
      <c r="W2235" s="15"/>
      <c r="X2235" s="15"/>
    </row>
    <row r="2236">
      <c r="A2236" s="7">
        <v>2235.0</v>
      </c>
      <c r="B2236" s="8" t="s">
        <v>9511</v>
      </c>
      <c r="C2236" s="9" t="s">
        <v>9512</v>
      </c>
      <c r="D2236" s="10" t="str">
        <f>HYPERLINK("https://facebook.com/367089020688300_542329913164209", "367089020688300_542329913164209")</f>
        <v>367089020688300_542329913164209</v>
      </c>
      <c r="E2236" s="11">
        <v>5.0</v>
      </c>
      <c r="F2236" s="11">
        <v>0.0</v>
      </c>
      <c r="G2236" s="11">
        <v>8.0</v>
      </c>
      <c r="H2236" s="9" t="s">
        <v>26</v>
      </c>
      <c r="I2236" s="9" t="s">
        <v>5904</v>
      </c>
      <c r="J2236" s="9" t="s">
        <v>5905</v>
      </c>
      <c r="K2236" s="9" t="s">
        <v>254</v>
      </c>
      <c r="L2236" s="9" t="s">
        <v>30</v>
      </c>
      <c r="M2236" s="9" t="s">
        <v>31</v>
      </c>
      <c r="N2236" s="9" t="s">
        <v>32</v>
      </c>
      <c r="O2236" s="12" t="s">
        <v>33</v>
      </c>
      <c r="P2236" s="12" t="s">
        <v>34</v>
      </c>
      <c r="Q2236" s="9"/>
      <c r="R2236" s="18"/>
      <c r="S2236" s="18"/>
      <c r="T2236" s="18"/>
      <c r="U2236" s="18"/>
      <c r="V2236" s="18"/>
      <c r="W2236" s="15"/>
      <c r="X2236" s="15"/>
    </row>
    <row r="2237">
      <c r="A2237" s="7">
        <v>2236.0</v>
      </c>
      <c r="B2237" s="8" t="s">
        <v>9513</v>
      </c>
      <c r="C2237" s="9" t="s">
        <v>9514</v>
      </c>
      <c r="D2237" s="10" t="str">
        <f>HYPERLINK("https://facebook.com/367089020688300_552447812152419", "367089020688300_552447812152419")</f>
        <v>367089020688300_552447812152419</v>
      </c>
      <c r="E2237" s="11">
        <v>22.0</v>
      </c>
      <c r="F2237" s="11">
        <v>0.0</v>
      </c>
      <c r="G2237" s="11">
        <v>8.0</v>
      </c>
      <c r="H2237" s="9" t="s">
        <v>26</v>
      </c>
      <c r="I2237" s="9" t="s">
        <v>9515</v>
      </c>
      <c r="J2237" s="16" t="s">
        <v>9516</v>
      </c>
      <c r="K2237" s="9"/>
      <c r="L2237" s="9" t="s">
        <v>30</v>
      </c>
      <c r="M2237" s="9" t="s">
        <v>31</v>
      </c>
      <c r="N2237" s="9" t="s">
        <v>32</v>
      </c>
      <c r="O2237" s="12" t="s">
        <v>33</v>
      </c>
      <c r="P2237" s="12" t="s">
        <v>34</v>
      </c>
      <c r="Q2237" s="9"/>
      <c r="R2237" s="18"/>
      <c r="S2237" s="18"/>
      <c r="T2237" s="18"/>
      <c r="U2237" s="18"/>
      <c r="V2237" s="18"/>
      <c r="W2237" s="15"/>
      <c r="X2237" s="15"/>
    </row>
    <row r="2238">
      <c r="A2238" s="7">
        <v>2237.0</v>
      </c>
      <c r="B2238" s="8" t="s">
        <v>9517</v>
      </c>
      <c r="C2238" s="9" t="s">
        <v>9518</v>
      </c>
      <c r="D2238" s="10" t="str">
        <f>HYPERLINK("https://facebook.com/367089020688300_547766095953924", "367089020688300_547766095953924")</f>
        <v>367089020688300_547766095953924</v>
      </c>
      <c r="E2238" s="11">
        <v>866.0</v>
      </c>
      <c r="F2238" s="11">
        <v>27.0</v>
      </c>
      <c r="G2238" s="11">
        <v>374.0</v>
      </c>
      <c r="H2238" s="9" t="s">
        <v>26</v>
      </c>
      <c r="I2238" s="9" t="s">
        <v>9519</v>
      </c>
      <c r="J2238" s="16" t="s">
        <v>9520</v>
      </c>
      <c r="K2238" s="9"/>
      <c r="L2238" s="9" t="s">
        <v>30</v>
      </c>
      <c r="M2238" s="9" t="s">
        <v>31</v>
      </c>
      <c r="N2238" s="9" t="s">
        <v>32</v>
      </c>
      <c r="O2238" s="12" t="s">
        <v>33</v>
      </c>
      <c r="P2238" s="12" t="s">
        <v>34</v>
      </c>
      <c r="Q2238" s="9"/>
      <c r="R2238" s="18"/>
      <c r="S2238" s="18"/>
      <c r="T2238" s="18"/>
      <c r="U2238" s="18"/>
      <c r="V2238" s="18"/>
      <c r="W2238" s="15"/>
      <c r="X2238" s="15"/>
    </row>
    <row r="2239">
      <c r="A2239" s="7">
        <v>2238.0</v>
      </c>
      <c r="B2239" s="8" t="s">
        <v>9521</v>
      </c>
      <c r="C2239" s="9" t="s">
        <v>9522</v>
      </c>
      <c r="D2239" s="10" t="str">
        <f>HYPERLINK("https://facebook.com/367089020688300_537355736994960", "367089020688300_537355736994960")</f>
        <v>367089020688300_537355736994960</v>
      </c>
      <c r="E2239" s="11">
        <v>10.0</v>
      </c>
      <c r="F2239" s="11">
        <v>0.0</v>
      </c>
      <c r="G2239" s="11">
        <v>14.0</v>
      </c>
      <c r="H2239" s="9" t="s">
        <v>26</v>
      </c>
      <c r="I2239" s="9" t="s">
        <v>9523</v>
      </c>
      <c r="J2239" s="16" t="s">
        <v>9524</v>
      </c>
      <c r="K2239" s="9"/>
      <c r="L2239" s="9" t="s">
        <v>30</v>
      </c>
      <c r="M2239" s="9" t="s">
        <v>31</v>
      </c>
      <c r="N2239" s="9" t="s">
        <v>32</v>
      </c>
      <c r="O2239" s="12" t="s">
        <v>33</v>
      </c>
      <c r="P2239" s="12" t="s">
        <v>34</v>
      </c>
      <c r="Q2239" s="9"/>
      <c r="R2239" s="18"/>
      <c r="S2239" s="18"/>
      <c r="T2239" s="18"/>
      <c r="U2239" s="18"/>
      <c r="V2239" s="18"/>
      <c r="W2239" s="15"/>
      <c r="X2239" s="15"/>
    </row>
    <row r="2240">
      <c r="A2240" s="7">
        <v>2239.0</v>
      </c>
      <c r="B2240" s="8" t="s">
        <v>9525</v>
      </c>
      <c r="C2240" s="9" t="s">
        <v>9526</v>
      </c>
      <c r="D2240" s="10" t="str">
        <f>HYPERLINK("https://facebook.com/367089020688300_561190641278136", "367089020688300_561190641278136")</f>
        <v>367089020688300_561190641278136</v>
      </c>
      <c r="E2240" s="11">
        <v>64.0</v>
      </c>
      <c r="F2240" s="11">
        <v>1.0</v>
      </c>
      <c r="G2240" s="11">
        <v>151.0</v>
      </c>
      <c r="H2240" s="9" t="s">
        <v>26</v>
      </c>
      <c r="I2240" s="9" t="s">
        <v>9527</v>
      </c>
      <c r="J2240" s="16" t="s">
        <v>9528</v>
      </c>
      <c r="K2240" s="9"/>
      <c r="L2240" s="9" t="s">
        <v>30</v>
      </c>
      <c r="M2240" s="9" t="s">
        <v>31</v>
      </c>
      <c r="N2240" s="9" t="s">
        <v>32</v>
      </c>
      <c r="O2240" s="12" t="s">
        <v>33</v>
      </c>
      <c r="P2240" s="12" t="s">
        <v>34</v>
      </c>
      <c r="Q2240" s="9"/>
      <c r="R2240" s="18"/>
      <c r="S2240" s="18"/>
      <c r="T2240" s="18"/>
      <c r="U2240" s="18"/>
      <c r="V2240" s="18"/>
      <c r="W2240" s="15"/>
      <c r="X2240" s="15"/>
    </row>
    <row r="2241">
      <c r="A2241" s="7">
        <v>2240.0</v>
      </c>
      <c r="B2241" s="8" t="s">
        <v>9529</v>
      </c>
      <c r="C2241" s="9" t="s">
        <v>9530</v>
      </c>
      <c r="D2241" s="10" t="str">
        <f>HYPERLINK("https://facebook.com/367089020688300_530180244379176", "367089020688300_530180244379176")</f>
        <v>367089020688300_530180244379176</v>
      </c>
      <c r="E2241" s="11">
        <v>1791.0</v>
      </c>
      <c r="F2241" s="11">
        <v>262.0</v>
      </c>
      <c r="G2241" s="11">
        <v>532.0</v>
      </c>
      <c r="H2241" s="9" t="s">
        <v>26</v>
      </c>
      <c r="I2241" s="9" t="s">
        <v>3264</v>
      </c>
      <c r="J2241" s="9" t="s">
        <v>3265</v>
      </c>
      <c r="K2241" s="9" t="s">
        <v>9531</v>
      </c>
      <c r="L2241" s="9" t="s">
        <v>30</v>
      </c>
      <c r="M2241" s="9" t="s">
        <v>31</v>
      </c>
      <c r="N2241" s="9" t="s">
        <v>32</v>
      </c>
      <c r="O2241" s="12" t="s">
        <v>33</v>
      </c>
      <c r="P2241" s="12" t="s">
        <v>34</v>
      </c>
      <c r="Q2241" s="9"/>
      <c r="R2241" s="18"/>
      <c r="S2241" s="18"/>
      <c r="T2241" s="18"/>
      <c r="U2241" s="18"/>
      <c r="V2241" s="18"/>
      <c r="W2241" s="15"/>
      <c r="X2241" s="15"/>
    </row>
    <row r="2242">
      <c r="A2242" s="7">
        <v>2241.0</v>
      </c>
      <c r="B2242" s="8" t="s">
        <v>9532</v>
      </c>
      <c r="C2242" s="9" t="s">
        <v>9533</v>
      </c>
      <c r="D2242" s="10" t="str">
        <f>HYPERLINK("https://facebook.com/367089020688300_547919075938626", "367089020688300_547919075938626")</f>
        <v>367089020688300_547919075938626</v>
      </c>
      <c r="E2242" s="11">
        <v>227.0</v>
      </c>
      <c r="F2242" s="11">
        <v>14.0</v>
      </c>
      <c r="G2242" s="11">
        <v>423.0</v>
      </c>
      <c r="H2242" s="9" t="s">
        <v>26</v>
      </c>
      <c r="I2242" s="9" t="s">
        <v>9534</v>
      </c>
      <c r="J2242" s="9" t="s">
        <v>9535</v>
      </c>
      <c r="K2242" s="9" t="s">
        <v>249</v>
      </c>
      <c r="L2242" s="9" t="s">
        <v>30</v>
      </c>
      <c r="M2242" s="9" t="s">
        <v>31</v>
      </c>
      <c r="N2242" s="9" t="s">
        <v>32</v>
      </c>
      <c r="O2242" s="12" t="s">
        <v>33</v>
      </c>
      <c r="P2242" s="12" t="s">
        <v>34</v>
      </c>
      <c r="Q2242" s="9"/>
      <c r="R2242" s="18"/>
      <c r="S2242" s="18"/>
      <c r="T2242" s="18"/>
      <c r="U2242" s="18"/>
      <c r="V2242" s="18"/>
      <c r="W2242" s="15"/>
      <c r="X2242" s="15"/>
    </row>
    <row r="2243">
      <c r="A2243" s="7">
        <v>2242.0</v>
      </c>
      <c r="B2243" s="8" t="s">
        <v>9536</v>
      </c>
      <c r="C2243" s="9" t="s">
        <v>9537</v>
      </c>
      <c r="D2243" s="10" t="str">
        <f>HYPERLINK("https://facebook.com/367089020688300_537270460336821", "367089020688300_537270460336821")</f>
        <v>367089020688300_537270460336821</v>
      </c>
      <c r="E2243" s="11">
        <v>59.0</v>
      </c>
      <c r="F2243" s="11">
        <v>0.0</v>
      </c>
      <c r="G2243" s="11">
        <v>62.0</v>
      </c>
      <c r="H2243" s="9" t="s">
        <v>26</v>
      </c>
      <c r="I2243" s="9" t="s">
        <v>3367</v>
      </c>
      <c r="J2243" s="9" t="s">
        <v>3368</v>
      </c>
      <c r="K2243" s="9" t="s">
        <v>9538</v>
      </c>
      <c r="L2243" s="9" t="s">
        <v>30</v>
      </c>
      <c r="M2243" s="9" t="s">
        <v>31</v>
      </c>
      <c r="N2243" s="9" t="s">
        <v>32</v>
      </c>
      <c r="O2243" s="12" t="s">
        <v>33</v>
      </c>
      <c r="P2243" s="12" t="s">
        <v>34</v>
      </c>
      <c r="Q2243" s="9"/>
      <c r="R2243" s="18"/>
      <c r="S2243" s="18"/>
      <c r="T2243" s="18"/>
      <c r="U2243" s="18"/>
      <c r="V2243" s="18"/>
      <c r="W2243" s="15"/>
      <c r="X2243" s="15"/>
    </row>
    <row r="2244">
      <c r="A2244" s="7">
        <v>2243.0</v>
      </c>
      <c r="B2244" s="8" t="s">
        <v>9539</v>
      </c>
      <c r="C2244" s="9" t="s">
        <v>9540</v>
      </c>
      <c r="D2244" s="10" t="str">
        <f>HYPERLINK("https://facebook.com/367089020688300_544056409658226", "367089020688300_544056409658226")</f>
        <v>367089020688300_544056409658226</v>
      </c>
      <c r="E2244" s="11">
        <v>1082.0</v>
      </c>
      <c r="F2244" s="11">
        <v>49.0</v>
      </c>
      <c r="G2244" s="11">
        <v>844.0</v>
      </c>
      <c r="H2244" s="9" t="s">
        <v>26</v>
      </c>
      <c r="I2244" s="9" t="s">
        <v>9541</v>
      </c>
      <c r="J2244" s="9" t="s">
        <v>9542</v>
      </c>
      <c r="K2244" s="9" t="s">
        <v>8814</v>
      </c>
      <c r="L2244" s="9" t="s">
        <v>30</v>
      </c>
      <c r="M2244" s="9" t="s">
        <v>31</v>
      </c>
      <c r="N2244" s="9" t="s">
        <v>32</v>
      </c>
      <c r="O2244" s="12" t="s">
        <v>33</v>
      </c>
      <c r="P2244" s="12" t="s">
        <v>34</v>
      </c>
      <c r="Q2244" s="9"/>
      <c r="R2244" s="18"/>
      <c r="S2244" s="18"/>
      <c r="T2244" s="18"/>
      <c r="U2244" s="18"/>
      <c r="V2244" s="18"/>
      <c r="W2244" s="15"/>
      <c r="X2244" s="15"/>
    </row>
    <row r="2245">
      <c r="A2245" s="7">
        <v>2244.0</v>
      </c>
      <c r="B2245" s="8" t="s">
        <v>9543</v>
      </c>
      <c r="C2245" s="9" t="s">
        <v>9544</v>
      </c>
      <c r="D2245" s="10" t="str">
        <f>HYPERLINK("https://facebook.com/367089020688300_517420645655136", "367089020688300_517420645655136")</f>
        <v>367089020688300_517420645655136</v>
      </c>
      <c r="E2245" s="11">
        <v>220.0</v>
      </c>
      <c r="F2245" s="11">
        <v>3.0</v>
      </c>
      <c r="G2245" s="11">
        <v>215.0</v>
      </c>
      <c r="H2245" s="9" t="s">
        <v>26</v>
      </c>
      <c r="I2245" s="9" t="s">
        <v>9545</v>
      </c>
      <c r="J2245" s="9" t="s">
        <v>9546</v>
      </c>
      <c r="K2245" s="9" t="s">
        <v>9547</v>
      </c>
      <c r="L2245" s="9" t="s">
        <v>30</v>
      </c>
      <c r="M2245" s="9" t="s">
        <v>31</v>
      </c>
      <c r="N2245" s="9" t="s">
        <v>32</v>
      </c>
      <c r="O2245" s="12" t="s">
        <v>33</v>
      </c>
      <c r="P2245" s="12" t="s">
        <v>34</v>
      </c>
      <c r="Q2245" s="9"/>
      <c r="R2245" s="18"/>
      <c r="S2245" s="18"/>
      <c r="T2245" s="18"/>
      <c r="U2245" s="18"/>
      <c r="V2245" s="18"/>
      <c r="W2245" s="15"/>
      <c r="X2245" s="15"/>
    </row>
    <row r="2246">
      <c r="A2246" s="7">
        <v>2245.0</v>
      </c>
      <c r="B2246" s="8" t="s">
        <v>9548</v>
      </c>
      <c r="C2246" s="9" t="s">
        <v>9549</v>
      </c>
      <c r="D2246" s="10" t="str">
        <f>HYPERLINK("https://facebook.com/367089020688300_402972727099929", "367089020688300_402972727099929")</f>
        <v>367089020688300_402972727099929</v>
      </c>
      <c r="E2246" s="11">
        <v>23.0</v>
      </c>
      <c r="F2246" s="11">
        <v>1.0</v>
      </c>
      <c r="G2246" s="11">
        <v>68.0</v>
      </c>
      <c r="H2246" s="9" t="s">
        <v>26</v>
      </c>
      <c r="I2246" s="9" t="s">
        <v>9550</v>
      </c>
      <c r="J2246" s="9" t="s">
        <v>9551</v>
      </c>
      <c r="K2246" s="9" t="s">
        <v>9552</v>
      </c>
      <c r="L2246" s="9" t="s">
        <v>30</v>
      </c>
      <c r="M2246" s="9" t="s">
        <v>31</v>
      </c>
      <c r="N2246" s="9" t="s">
        <v>32</v>
      </c>
      <c r="O2246" s="27" t="s">
        <v>33</v>
      </c>
      <c r="P2246" s="12" t="s">
        <v>34</v>
      </c>
      <c r="Q2246" s="9"/>
      <c r="R2246" s="18"/>
      <c r="S2246" s="18"/>
      <c r="T2246" s="18"/>
      <c r="U2246" s="18"/>
      <c r="V2246" s="18"/>
      <c r="W2246" s="15"/>
      <c r="X2246" s="15"/>
    </row>
    <row r="2247">
      <c r="A2247" s="7">
        <v>2246.0</v>
      </c>
      <c r="B2247" s="8" t="s">
        <v>9553</v>
      </c>
      <c r="C2247" s="9" t="s">
        <v>9554</v>
      </c>
      <c r="D2247" s="10" t="str">
        <f>HYPERLINK("https://facebook.com/367089020688300_542338299830037", "367089020688300_542338299830037")</f>
        <v>367089020688300_542338299830037</v>
      </c>
      <c r="E2247" s="11">
        <v>152.0</v>
      </c>
      <c r="F2247" s="11">
        <v>22.0</v>
      </c>
      <c r="G2247" s="11">
        <v>173.0</v>
      </c>
      <c r="H2247" s="9" t="s">
        <v>26</v>
      </c>
      <c r="I2247" s="9" t="s">
        <v>993</v>
      </c>
      <c r="J2247" s="9" t="s">
        <v>994</v>
      </c>
      <c r="K2247" s="9" t="s">
        <v>9555</v>
      </c>
      <c r="L2247" s="9" t="s">
        <v>30</v>
      </c>
      <c r="M2247" s="9" t="s">
        <v>31</v>
      </c>
      <c r="N2247" s="9" t="s">
        <v>32</v>
      </c>
      <c r="O2247" s="27" t="s">
        <v>33</v>
      </c>
      <c r="P2247" s="12" t="s">
        <v>34</v>
      </c>
      <c r="Q2247" s="9"/>
      <c r="R2247" s="18"/>
      <c r="S2247" s="18"/>
      <c r="T2247" s="18"/>
      <c r="U2247" s="18"/>
      <c r="V2247" s="18"/>
      <c r="W2247" s="15"/>
      <c r="X2247" s="15"/>
    </row>
    <row r="2248">
      <c r="A2248" s="7">
        <v>2247.0</v>
      </c>
      <c r="B2248" s="8" t="s">
        <v>9556</v>
      </c>
      <c r="C2248" s="9" t="s">
        <v>9557</v>
      </c>
      <c r="D2248" s="10" t="str">
        <f>HYPERLINK("https://facebook.com/367089020688300_552543165476217", "367089020688300_552543165476217")</f>
        <v>367089020688300_552543165476217</v>
      </c>
      <c r="E2248" s="11">
        <v>132.0</v>
      </c>
      <c r="F2248" s="11">
        <v>0.0</v>
      </c>
      <c r="G2248" s="11">
        <v>83.0</v>
      </c>
      <c r="H2248" s="9" t="s">
        <v>26</v>
      </c>
      <c r="I2248" s="9" t="s">
        <v>9558</v>
      </c>
      <c r="J2248" s="9" t="s">
        <v>9559</v>
      </c>
      <c r="K2248" s="9" t="s">
        <v>9560</v>
      </c>
      <c r="L2248" s="9" t="s">
        <v>30</v>
      </c>
      <c r="M2248" s="9" t="s">
        <v>31</v>
      </c>
      <c r="N2248" s="9" t="s">
        <v>32</v>
      </c>
      <c r="O2248" s="12" t="s">
        <v>33</v>
      </c>
      <c r="P2248" s="12" t="s">
        <v>34</v>
      </c>
      <c r="Q2248" s="9"/>
      <c r="R2248" s="18"/>
      <c r="S2248" s="18"/>
      <c r="T2248" s="18"/>
      <c r="U2248" s="18"/>
      <c r="V2248" s="18"/>
      <c r="W2248" s="15"/>
      <c r="X2248" s="15"/>
    </row>
    <row r="2249">
      <c r="A2249" s="7">
        <v>2248.0</v>
      </c>
      <c r="B2249" s="8" t="s">
        <v>9561</v>
      </c>
      <c r="C2249" s="9" t="s">
        <v>9562</v>
      </c>
      <c r="D2249" s="10" t="str">
        <f>HYPERLINK("https://facebook.com/367089020688300_525734221490445", "367089020688300_525734221490445")</f>
        <v>367089020688300_525734221490445</v>
      </c>
      <c r="E2249" s="11">
        <v>878.0</v>
      </c>
      <c r="F2249" s="11">
        <v>39.0</v>
      </c>
      <c r="G2249" s="11">
        <v>705.0</v>
      </c>
      <c r="H2249" s="9" t="s">
        <v>26</v>
      </c>
      <c r="I2249" s="9" t="s">
        <v>9563</v>
      </c>
      <c r="J2249" s="16" t="s">
        <v>9564</v>
      </c>
      <c r="K2249" s="9"/>
      <c r="L2249" s="9" t="s">
        <v>30</v>
      </c>
      <c r="M2249" s="9" t="s">
        <v>31</v>
      </c>
      <c r="N2249" s="9" t="s">
        <v>32</v>
      </c>
      <c r="O2249" s="12" t="s">
        <v>33</v>
      </c>
      <c r="P2249" s="12" t="s">
        <v>34</v>
      </c>
      <c r="Q2249" s="9"/>
      <c r="R2249" s="18"/>
      <c r="S2249" s="18"/>
      <c r="T2249" s="18"/>
      <c r="U2249" s="18"/>
      <c r="V2249" s="18"/>
      <c r="W2249" s="15"/>
      <c r="X2249" s="15"/>
    </row>
    <row r="2250">
      <c r="A2250" s="7">
        <v>2249.0</v>
      </c>
      <c r="B2250" s="8" t="s">
        <v>9565</v>
      </c>
      <c r="C2250" s="9" t="s">
        <v>9566</v>
      </c>
      <c r="D2250" s="10" t="str">
        <f>HYPERLINK("https://facebook.com/367089020688300_562048544525679", "367089020688300_562048544525679")</f>
        <v>367089020688300_562048544525679</v>
      </c>
      <c r="E2250" s="11">
        <v>521.0</v>
      </c>
      <c r="F2250" s="11">
        <v>45.0</v>
      </c>
      <c r="G2250" s="11">
        <v>303.0</v>
      </c>
      <c r="H2250" s="9" t="s">
        <v>26</v>
      </c>
      <c r="I2250" s="9" t="s">
        <v>8691</v>
      </c>
      <c r="J2250" s="9" t="s">
        <v>9567</v>
      </c>
      <c r="K2250" s="9" t="s">
        <v>219</v>
      </c>
      <c r="L2250" s="9" t="s">
        <v>30</v>
      </c>
      <c r="M2250" s="9" t="s">
        <v>31</v>
      </c>
      <c r="N2250" s="9" t="s">
        <v>32</v>
      </c>
      <c r="O2250" s="12" t="s">
        <v>33</v>
      </c>
      <c r="P2250" s="12" t="s">
        <v>34</v>
      </c>
      <c r="Q2250" s="9"/>
      <c r="R2250" s="18"/>
      <c r="S2250" s="18"/>
      <c r="T2250" s="18"/>
      <c r="U2250" s="18"/>
      <c r="V2250" s="18"/>
      <c r="W2250" s="15"/>
      <c r="X2250" s="15"/>
    </row>
    <row r="2251">
      <c r="A2251" s="7">
        <v>2250.0</v>
      </c>
      <c r="B2251" s="8" t="s">
        <v>9568</v>
      </c>
      <c r="C2251" s="9" t="s">
        <v>9569</v>
      </c>
      <c r="D2251" s="10" t="str">
        <f>HYPERLINK("https://facebook.com/367089020688300_449546175775917", "367089020688300_449546175775917")</f>
        <v>367089020688300_449546175775917</v>
      </c>
      <c r="E2251" s="11">
        <v>29.0</v>
      </c>
      <c r="F2251" s="11">
        <v>1.0</v>
      </c>
      <c r="G2251" s="11">
        <v>28.0</v>
      </c>
      <c r="H2251" s="9" t="s">
        <v>26</v>
      </c>
      <c r="I2251" s="9" t="s">
        <v>9570</v>
      </c>
      <c r="J2251" s="16" t="s">
        <v>9571</v>
      </c>
      <c r="K2251" s="9"/>
      <c r="L2251" s="9" t="s">
        <v>30</v>
      </c>
      <c r="M2251" s="9" t="s">
        <v>31</v>
      </c>
      <c r="N2251" s="9" t="s">
        <v>32</v>
      </c>
      <c r="O2251" s="12" t="s">
        <v>33</v>
      </c>
      <c r="P2251" s="12" t="s">
        <v>34</v>
      </c>
      <c r="Q2251" s="9"/>
      <c r="R2251" s="18"/>
      <c r="S2251" s="18"/>
      <c r="T2251" s="18"/>
      <c r="U2251" s="18"/>
      <c r="V2251" s="18"/>
      <c r="W2251" s="15"/>
      <c r="X2251" s="15"/>
    </row>
    <row r="2252">
      <c r="A2252" s="7">
        <v>2251.0</v>
      </c>
      <c r="B2252" s="8" t="s">
        <v>9572</v>
      </c>
      <c r="C2252" s="9" t="s">
        <v>9573</v>
      </c>
      <c r="D2252" s="10" t="str">
        <f>HYPERLINK("https://facebook.com/367089020688300_539482160115651", "367089020688300_539482160115651")</f>
        <v>367089020688300_539482160115651</v>
      </c>
      <c r="E2252" s="11">
        <v>60.0</v>
      </c>
      <c r="F2252" s="11">
        <v>0.0</v>
      </c>
      <c r="G2252" s="11">
        <v>24.0</v>
      </c>
      <c r="H2252" s="9" t="s">
        <v>26</v>
      </c>
      <c r="I2252" s="9" t="s">
        <v>9574</v>
      </c>
      <c r="J2252" s="9" t="s">
        <v>9575</v>
      </c>
      <c r="K2252" s="9" t="s">
        <v>9576</v>
      </c>
      <c r="L2252" s="9" t="s">
        <v>30</v>
      </c>
      <c r="M2252" s="9" t="s">
        <v>31</v>
      </c>
      <c r="N2252" s="9" t="s">
        <v>32</v>
      </c>
      <c r="O2252" s="12" t="s">
        <v>33</v>
      </c>
      <c r="P2252" s="12" t="s">
        <v>34</v>
      </c>
      <c r="Q2252" s="9"/>
      <c r="R2252" s="18"/>
      <c r="S2252" s="18"/>
      <c r="T2252" s="18"/>
      <c r="U2252" s="18"/>
      <c r="V2252" s="18"/>
      <c r="W2252" s="15"/>
      <c r="X2252" s="15"/>
    </row>
    <row r="2253">
      <c r="A2253" s="7">
        <v>2252.0</v>
      </c>
      <c r="B2253" s="8" t="s">
        <v>9577</v>
      </c>
      <c r="C2253" s="9" t="s">
        <v>9578</v>
      </c>
      <c r="D2253" s="10" t="str">
        <f>HYPERLINK("https://facebook.com/367089020688300_538389543558246", "367089020688300_538389543558246")</f>
        <v>367089020688300_538389543558246</v>
      </c>
      <c r="E2253" s="11">
        <v>58.0</v>
      </c>
      <c r="F2253" s="11">
        <v>1.0</v>
      </c>
      <c r="G2253" s="11">
        <v>24.0</v>
      </c>
      <c r="H2253" s="9" t="s">
        <v>26</v>
      </c>
      <c r="I2253" s="9" t="s">
        <v>9579</v>
      </c>
      <c r="J2253" s="16" t="s">
        <v>9580</v>
      </c>
      <c r="K2253" s="9"/>
      <c r="L2253" s="9" t="s">
        <v>30</v>
      </c>
      <c r="M2253" s="9" t="s">
        <v>31</v>
      </c>
      <c r="N2253" s="9" t="s">
        <v>32</v>
      </c>
      <c r="O2253" s="12" t="s">
        <v>33</v>
      </c>
      <c r="P2253" s="12" t="s">
        <v>34</v>
      </c>
      <c r="Q2253" s="9"/>
      <c r="R2253" s="18"/>
      <c r="S2253" s="18"/>
      <c r="T2253" s="18"/>
      <c r="U2253" s="18"/>
      <c r="V2253" s="18"/>
      <c r="W2253" s="15"/>
      <c r="X2253" s="15"/>
    </row>
    <row r="2254">
      <c r="A2254" s="7">
        <v>2253.0</v>
      </c>
      <c r="B2254" s="8" t="s">
        <v>9581</v>
      </c>
      <c r="C2254" s="9" t="s">
        <v>9582</v>
      </c>
      <c r="D2254" s="10" t="str">
        <f>HYPERLINK("https://facebook.com/367089020688300_562749367788930", "367089020688300_562749367788930")</f>
        <v>367089020688300_562749367788930</v>
      </c>
      <c r="E2254" s="11">
        <v>381.0</v>
      </c>
      <c r="F2254" s="11">
        <v>8.0</v>
      </c>
      <c r="G2254" s="11">
        <v>190.0</v>
      </c>
      <c r="H2254" s="9" t="s">
        <v>26</v>
      </c>
      <c r="I2254" s="9" t="s">
        <v>8812</v>
      </c>
      <c r="J2254" s="16" t="s">
        <v>9583</v>
      </c>
      <c r="K2254" s="9"/>
      <c r="L2254" s="9" t="s">
        <v>30</v>
      </c>
      <c r="M2254" s="9" t="s">
        <v>31</v>
      </c>
      <c r="N2254" s="9" t="s">
        <v>32</v>
      </c>
      <c r="O2254" s="12" t="s">
        <v>33</v>
      </c>
      <c r="P2254" s="12" t="s">
        <v>34</v>
      </c>
      <c r="Q2254" s="9"/>
      <c r="R2254" s="18"/>
      <c r="S2254" s="18"/>
      <c r="T2254" s="18"/>
      <c r="U2254" s="18"/>
      <c r="V2254" s="18"/>
      <c r="W2254" s="15"/>
      <c r="X2254" s="15"/>
    </row>
    <row r="2255">
      <c r="A2255" s="7">
        <v>2254.0</v>
      </c>
      <c r="B2255" s="8" t="s">
        <v>9584</v>
      </c>
      <c r="C2255" s="9" t="s">
        <v>9585</v>
      </c>
      <c r="D2255" s="10" t="str">
        <f>HYPERLINK("https://facebook.com/367089020688300_511859069544627", "367089020688300_511859069544627")</f>
        <v>367089020688300_511859069544627</v>
      </c>
      <c r="E2255" s="11">
        <v>106.0</v>
      </c>
      <c r="F2255" s="11">
        <v>2.0</v>
      </c>
      <c r="G2255" s="11">
        <v>175.0</v>
      </c>
      <c r="H2255" s="9" t="s">
        <v>26</v>
      </c>
      <c r="I2255" s="9" t="s">
        <v>3511</v>
      </c>
      <c r="J2255" s="16" t="s">
        <v>9586</v>
      </c>
      <c r="K2255" s="9"/>
      <c r="L2255" s="9" t="s">
        <v>30</v>
      </c>
      <c r="M2255" s="9" t="s">
        <v>31</v>
      </c>
      <c r="N2255" s="9" t="s">
        <v>32</v>
      </c>
      <c r="O2255" s="12" t="s">
        <v>33</v>
      </c>
      <c r="P2255" s="12" t="s">
        <v>34</v>
      </c>
      <c r="Q2255" s="9"/>
      <c r="R2255" s="18"/>
      <c r="S2255" s="18"/>
      <c r="T2255" s="18"/>
      <c r="U2255" s="18"/>
      <c r="V2255" s="18"/>
      <c r="W2255" s="15"/>
      <c r="X2255" s="15"/>
    </row>
    <row r="2256">
      <c r="A2256" s="7">
        <v>2255.0</v>
      </c>
      <c r="B2256" s="8" t="s">
        <v>9587</v>
      </c>
      <c r="C2256" s="9" t="s">
        <v>9588</v>
      </c>
      <c r="D2256" s="10" t="str">
        <f>HYPERLINK("https://facebook.com/367089020688300_551628418901025", "367089020688300_551628418901025")</f>
        <v>367089020688300_551628418901025</v>
      </c>
      <c r="E2256" s="11">
        <v>39.0</v>
      </c>
      <c r="F2256" s="11">
        <v>0.0</v>
      </c>
      <c r="G2256" s="11">
        <v>16.0</v>
      </c>
      <c r="H2256" s="9" t="s">
        <v>26</v>
      </c>
      <c r="I2256" s="9" t="s">
        <v>9589</v>
      </c>
      <c r="J2256" s="16" t="s">
        <v>9590</v>
      </c>
      <c r="K2256" s="9"/>
      <c r="L2256" s="9" t="s">
        <v>30</v>
      </c>
      <c r="M2256" s="9" t="s">
        <v>31</v>
      </c>
      <c r="N2256" s="9" t="s">
        <v>32</v>
      </c>
      <c r="O2256" s="12" t="s">
        <v>33</v>
      </c>
      <c r="P2256" s="12" t="s">
        <v>34</v>
      </c>
      <c r="Q2256" s="9"/>
      <c r="R2256" s="18"/>
      <c r="S2256" s="18"/>
      <c r="T2256" s="18"/>
      <c r="U2256" s="18"/>
      <c r="V2256" s="18"/>
      <c r="W2256" s="15"/>
      <c r="X2256" s="15"/>
    </row>
    <row r="2257">
      <c r="A2257" s="7">
        <v>2256.0</v>
      </c>
      <c r="B2257" s="8" t="s">
        <v>9591</v>
      </c>
      <c r="C2257" s="9" t="s">
        <v>9592</v>
      </c>
      <c r="D2257" s="10" t="str">
        <f>HYPERLINK("https://facebook.com/367089020688300_548119532585247", "367089020688300_548119532585247")</f>
        <v>367089020688300_548119532585247</v>
      </c>
      <c r="E2257" s="11">
        <v>126.0</v>
      </c>
      <c r="F2257" s="11">
        <v>7.0</v>
      </c>
      <c r="G2257" s="11">
        <v>135.0</v>
      </c>
      <c r="H2257" s="9" t="s">
        <v>26</v>
      </c>
      <c r="I2257" s="9" t="s">
        <v>9593</v>
      </c>
      <c r="J2257" s="9" t="s">
        <v>9594</v>
      </c>
      <c r="K2257" s="9" t="s">
        <v>9595</v>
      </c>
      <c r="L2257" s="9" t="s">
        <v>30</v>
      </c>
      <c r="M2257" s="9" t="s">
        <v>31</v>
      </c>
      <c r="N2257" s="9" t="s">
        <v>32</v>
      </c>
      <c r="O2257" s="12" t="s">
        <v>33</v>
      </c>
      <c r="P2257" s="12" t="s">
        <v>34</v>
      </c>
      <c r="Q2257" s="9"/>
      <c r="R2257" s="18"/>
      <c r="S2257" s="18"/>
      <c r="T2257" s="18"/>
      <c r="U2257" s="18"/>
      <c r="V2257" s="18"/>
      <c r="W2257" s="15"/>
      <c r="X2257" s="15"/>
    </row>
    <row r="2258">
      <c r="A2258" s="7">
        <v>2257.0</v>
      </c>
      <c r="B2258" s="8" t="s">
        <v>9596</v>
      </c>
      <c r="C2258" s="9" t="s">
        <v>9597</v>
      </c>
      <c r="D2258" s="10" t="str">
        <f>HYPERLINK("https://facebook.com/367089020688300_470897906974077", "367089020688300_470897906974077")</f>
        <v>367089020688300_470897906974077</v>
      </c>
      <c r="E2258" s="11">
        <v>297.0</v>
      </c>
      <c r="F2258" s="11">
        <v>12.0</v>
      </c>
      <c r="G2258" s="11">
        <v>459.0</v>
      </c>
      <c r="H2258" s="9" t="s">
        <v>26</v>
      </c>
      <c r="I2258" s="9" t="s">
        <v>9598</v>
      </c>
      <c r="J2258" s="9" t="s">
        <v>9599</v>
      </c>
      <c r="K2258" s="9" t="s">
        <v>9600</v>
      </c>
      <c r="L2258" s="9" t="s">
        <v>30</v>
      </c>
      <c r="M2258" s="9" t="s">
        <v>31</v>
      </c>
      <c r="N2258" s="9" t="s">
        <v>32</v>
      </c>
      <c r="O2258" s="12" t="s">
        <v>33</v>
      </c>
      <c r="P2258" s="12" t="s">
        <v>34</v>
      </c>
      <c r="Q2258" s="9"/>
      <c r="R2258" s="18"/>
      <c r="S2258" s="18"/>
      <c r="T2258" s="18"/>
      <c r="U2258" s="18"/>
      <c r="V2258" s="18"/>
      <c r="W2258" s="15"/>
      <c r="X2258" s="15"/>
    </row>
    <row r="2259">
      <c r="A2259" s="7">
        <v>2258.0</v>
      </c>
      <c r="B2259" s="8" t="s">
        <v>9601</v>
      </c>
      <c r="C2259" s="9" t="s">
        <v>9602</v>
      </c>
      <c r="D2259" s="10" t="str">
        <f>HYPERLINK("https://facebook.com/367089020688300_464760234254511", "367089020688300_464760234254511")</f>
        <v>367089020688300_464760234254511</v>
      </c>
      <c r="E2259" s="11">
        <v>428.0</v>
      </c>
      <c r="F2259" s="11">
        <v>18.0</v>
      </c>
      <c r="G2259" s="11">
        <v>347.0</v>
      </c>
      <c r="H2259" s="9" t="s">
        <v>26</v>
      </c>
      <c r="I2259" s="9" t="s">
        <v>9603</v>
      </c>
      <c r="J2259" s="9" t="s">
        <v>9604</v>
      </c>
      <c r="K2259" s="9" t="s">
        <v>9605</v>
      </c>
      <c r="L2259" s="9" t="s">
        <v>30</v>
      </c>
      <c r="M2259" s="9" t="s">
        <v>31</v>
      </c>
      <c r="N2259" s="9" t="s">
        <v>32</v>
      </c>
      <c r="O2259" s="12" t="s">
        <v>33</v>
      </c>
      <c r="P2259" s="12" t="s">
        <v>34</v>
      </c>
      <c r="Q2259" s="9"/>
      <c r="R2259" s="18"/>
      <c r="S2259" s="18"/>
      <c r="T2259" s="18"/>
      <c r="U2259" s="18"/>
      <c r="V2259" s="18"/>
      <c r="W2259" s="15"/>
      <c r="X2259" s="15"/>
    </row>
    <row r="2260">
      <c r="A2260" s="7">
        <v>2259.0</v>
      </c>
      <c r="B2260" s="8" t="s">
        <v>9606</v>
      </c>
      <c r="C2260" s="9" t="s">
        <v>9607</v>
      </c>
      <c r="D2260" s="10" t="str">
        <f>HYPERLINK("https://facebook.com/367089020688300_557700618293805", "367089020688300_557700618293805")</f>
        <v>367089020688300_557700618293805</v>
      </c>
      <c r="E2260" s="11">
        <v>93.0</v>
      </c>
      <c r="F2260" s="11">
        <v>0.0</v>
      </c>
      <c r="G2260" s="11">
        <v>15.0</v>
      </c>
      <c r="H2260" s="9" t="s">
        <v>26</v>
      </c>
      <c r="I2260" s="9" t="s">
        <v>9608</v>
      </c>
      <c r="J2260" s="9" t="s">
        <v>9609</v>
      </c>
      <c r="K2260" s="9" t="s">
        <v>1355</v>
      </c>
      <c r="L2260" s="9" t="s">
        <v>30</v>
      </c>
      <c r="M2260" s="9" t="s">
        <v>31</v>
      </c>
      <c r="N2260" s="9" t="s">
        <v>32</v>
      </c>
      <c r="O2260" s="12" t="s">
        <v>33</v>
      </c>
      <c r="P2260" s="12" t="s">
        <v>34</v>
      </c>
      <c r="Q2260" s="9"/>
      <c r="R2260" s="18"/>
      <c r="S2260" s="18"/>
      <c r="T2260" s="18"/>
      <c r="U2260" s="18"/>
      <c r="V2260" s="18"/>
      <c r="W2260" s="15"/>
      <c r="X2260" s="15"/>
    </row>
    <row r="2261">
      <c r="A2261" s="7">
        <v>2260.0</v>
      </c>
      <c r="B2261" s="8" t="s">
        <v>9610</v>
      </c>
      <c r="C2261" s="9" t="s">
        <v>9611</v>
      </c>
      <c r="D2261" s="10" t="str">
        <f>HYPERLINK("https://facebook.com/367089020688300_558829791514221", "367089020688300_558829791514221")</f>
        <v>367089020688300_558829791514221</v>
      </c>
      <c r="E2261" s="11">
        <v>95.0</v>
      </c>
      <c r="F2261" s="11">
        <v>2.0</v>
      </c>
      <c r="G2261" s="11">
        <v>65.0</v>
      </c>
      <c r="H2261" s="9" t="s">
        <v>26</v>
      </c>
      <c r="I2261" s="9" t="s">
        <v>4445</v>
      </c>
      <c r="J2261" s="16" t="s">
        <v>4446</v>
      </c>
      <c r="K2261" s="9"/>
      <c r="L2261" s="9" t="s">
        <v>30</v>
      </c>
      <c r="M2261" s="9" t="s">
        <v>31</v>
      </c>
      <c r="N2261" s="9" t="s">
        <v>32</v>
      </c>
      <c r="O2261" s="12" t="s">
        <v>33</v>
      </c>
      <c r="P2261" s="12" t="s">
        <v>34</v>
      </c>
      <c r="Q2261" s="9"/>
      <c r="R2261" s="18"/>
      <c r="S2261" s="18"/>
      <c r="T2261" s="18"/>
      <c r="U2261" s="18"/>
      <c r="V2261" s="18"/>
      <c r="W2261" s="15"/>
      <c r="X2261" s="15"/>
    </row>
    <row r="2262">
      <c r="A2262" s="7">
        <v>2261.0</v>
      </c>
      <c r="B2262" s="8" t="s">
        <v>9612</v>
      </c>
      <c r="C2262" s="9" t="s">
        <v>9613</v>
      </c>
      <c r="D2262" s="10" t="str">
        <f>HYPERLINK("https://facebook.com/367089020688300_498063787590822", "367089020688300_498063787590822")</f>
        <v>367089020688300_498063787590822</v>
      </c>
      <c r="E2262" s="11">
        <v>360.0</v>
      </c>
      <c r="F2262" s="11">
        <v>11.0</v>
      </c>
      <c r="G2262" s="11">
        <v>386.0</v>
      </c>
      <c r="H2262" s="9" t="s">
        <v>26</v>
      </c>
      <c r="I2262" s="9" t="s">
        <v>9614</v>
      </c>
      <c r="J2262" s="16" t="s">
        <v>9615</v>
      </c>
      <c r="K2262" s="9"/>
      <c r="L2262" s="9" t="s">
        <v>30</v>
      </c>
      <c r="M2262" s="9" t="s">
        <v>31</v>
      </c>
      <c r="N2262" s="9" t="s">
        <v>32</v>
      </c>
      <c r="O2262" s="12" t="s">
        <v>33</v>
      </c>
      <c r="P2262" s="12" t="s">
        <v>34</v>
      </c>
      <c r="Q2262" s="9"/>
      <c r="R2262" s="18"/>
      <c r="S2262" s="18"/>
      <c r="T2262" s="18"/>
      <c r="U2262" s="18"/>
      <c r="V2262" s="18"/>
      <c r="W2262" s="15"/>
      <c r="X2262" s="15"/>
    </row>
    <row r="2263">
      <c r="A2263" s="7">
        <v>2262.0</v>
      </c>
      <c r="B2263" s="8" t="s">
        <v>9616</v>
      </c>
      <c r="C2263" s="9" t="s">
        <v>9617</v>
      </c>
      <c r="D2263" s="10" t="str">
        <f>HYPERLINK("https://facebook.com/367089020688300_559555111441689", "367089020688300_559555111441689")</f>
        <v>367089020688300_559555111441689</v>
      </c>
      <c r="E2263" s="11">
        <v>15.0</v>
      </c>
      <c r="F2263" s="11">
        <v>0.0</v>
      </c>
      <c r="G2263" s="11">
        <v>29.0</v>
      </c>
      <c r="H2263" s="9" t="s">
        <v>26</v>
      </c>
      <c r="I2263" s="9" t="s">
        <v>9618</v>
      </c>
      <c r="J2263" s="9" t="s">
        <v>9619</v>
      </c>
      <c r="K2263" s="9" t="s">
        <v>9620</v>
      </c>
      <c r="L2263" s="9" t="s">
        <v>30</v>
      </c>
      <c r="M2263" s="9" t="s">
        <v>31</v>
      </c>
      <c r="N2263" s="9" t="s">
        <v>32</v>
      </c>
      <c r="O2263" s="12" t="s">
        <v>33</v>
      </c>
      <c r="P2263" s="12" t="s">
        <v>34</v>
      </c>
      <c r="Q2263" s="9"/>
      <c r="R2263" s="18"/>
      <c r="S2263" s="18"/>
      <c r="T2263" s="18"/>
      <c r="U2263" s="18"/>
      <c r="V2263" s="18"/>
      <c r="W2263" s="15"/>
      <c r="X2263" s="15"/>
    </row>
    <row r="2264">
      <c r="A2264" s="7">
        <v>2263.0</v>
      </c>
      <c r="B2264" s="8" t="s">
        <v>9621</v>
      </c>
      <c r="C2264" s="9" t="s">
        <v>9622</v>
      </c>
      <c r="D2264" s="10" t="str">
        <f>HYPERLINK("https://facebook.com/367089020688300_549905332406667", "367089020688300_549905332406667")</f>
        <v>367089020688300_549905332406667</v>
      </c>
      <c r="E2264" s="11">
        <v>81.0</v>
      </c>
      <c r="F2264" s="11">
        <v>0.0</v>
      </c>
      <c r="G2264" s="11">
        <v>86.0</v>
      </c>
      <c r="H2264" s="9" t="s">
        <v>26</v>
      </c>
      <c r="I2264" s="9" t="s">
        <v>6824</v>
      </c>
      <c r="J2264" s="9" t="s">
        <v>6825</v>
      </c>
      <c r="K2264" s="9" t="s">
        <v>249</v>
      </c>
      <c r="L2264" s="9" t="s">
        <v>30</v>
      </c>
      <c r="M2264" s="9" t="s">
        <v>31</v>
      </c>
      <c r="N2264" s="9" t="s">
        <v>32</v>
      </c>
      <c r="O2264" s="12" t="s">
        <v>33</v>
      </c>
      <c r="P2264" s="12" t="s">
        <v>34</v>
      </c>
      <c r="Q2264" s="9"/>
      <c r="R2264" s="18"/>
      <c r="S2264" s="18"/>
      <c r="T2264" s="18"/>
      <c r="U2264" s="18"/>
      <c r="V2264" s="18"/>
      <c r="W2264" s="15"/>
      <c r="X2264" s="15"/>
    </row>
    <row r="2265">
      <c r="A2265" s="7">
        <v>2264.0</v>
      </c>
      <c r="B2265" s="8" t="s">
        <v>9623</v>
      </c>
      <c r="C2265" s="9" t="s">
        <v>9624</v>
      </c>
      <c r="D2265" s="10" t="str">
        <f>HYPERLINK("https://facebook.com/367089020688300_506047276792473", "367089020688300_506047276792473")</f>
        <v>367089020688300_506047276792473</v>
      </c>
      <c r="E2265" s="11">
        <v>535.0</v>
      </c>
      <c r="F2265" s="11">
        <v>18.0</v>
      </c>
      <c r="G2265" s="11">
        <v>714.0</v>
      </c>
      <c r="H2265" s="9" t="s">
        <v>26</v>
      </c>
      <c r="I2265" s="9" t="s">
        <v>9625</v>
      </c>
      <c r="J2265" s="9" t="s">
        <v>9626</v>
      </c>
      <c r="K2265" s="9" t="s">
        <v>9627</v>
      </c>
      <c r="L2265" s="9" t="s">
        <v>30</v>
      </c>
      <c r="M2265" s="9" t="s">
        <v>31</v>
      </c>
      <c r="N2265" s="9" t="s">
        <v>32</v>
      </c>
      <c r="O2265" s="12" t="s">
        <v>33</v>
      </c>
      <c r="P2265" s="12" t="s">
        <v>34</v>
      </c>
      <c r="Q2265" s="9"/>
      <c r="R2265" s="18"/>
      <c r="S2265" s="18"/>
      <c r="T2265" s="18"/>
      <c r="U2265" s="18"/>
      <c r="V2265" s="18"/>
      <c r="W2265" s="15"/>
      <c r="X2265" s="15"/>
    </row>
    <row r="2266">
      <c r="A2266" s="7">
        <v>2265.0</v>
      </c>
      <c r="B2266" s="8" t="s">
        <v>9628</v>
      </c>
      <c r="C2266" s="9" t="s">
        <v>9629</v>
      </c>
      <c r="D2266" s="10" t="str">
        <f>HYPERLINK("https://facebook.com/367089020688300_555751801822020", "367089020688300_555751801822020")</f>
        <v>367089020688300_555751801822020</v>
      </c>
      <c r="E2266" s="11">
        <v>33.0</v>
      </c>
      <c r="F2266" s="11">
        <v>0.0</v>
      </c>
      <c r="G2266" s="11">
        <v>44.0</v>
      </c>
      <c r="H2266" s="9" t="s">
        <v>26</v>
      </c>
      <c r="I2266" s="9" t="s">
        <v>9630</v>
      </c>
      <c r="J2266" s="16" t="s">
        <v>9631</v>
      </c>
      <c r="K2266" s="9"/>
      <c r="L2266" s="9" t="s">
        <v>30</v>
      </c>
      <c r="M2266" s="9" t="s">
        <v>31</v>
      </c>
      <c r="N2266" s="9" t="s">
        <v>32</v>
      </c>
      <c r="O2266" s="12" t="s">
        <v>33</v>
      </c>
      <c r="P2266" s="12" t="s">
        <v>34</v>
      </c>
      <c r="Q2266" s="9"/>
      <c r="R2266" s="18"/>
      <c r="S2266" s="18"/>
      <c r="T2266" s="18"/>
      <c r="U2266" s="18"/>
      <c r="V2266" s="18"/>
      <c r="W2266" s="15"/>
      <c r="X2266" s="15"/>
    </row>
    <row r="2267">
      <c r="A2267" s="7">
        <v>2266.0</v>
      </c>
      <c r="B2267" s="8" t="s">
        <v>9632</v>
      </c>
      <c r="C2267" s="9" t="s">
        <v>9633</v>
      </c>
      <c r="D2267" s="10" t="str">
        <f>HYPERLINK("https://facebook.com/367089020688300_495808874482980", "367089020688300_495808874482980")</f>
        <v>367089020688300_495808874482980</v>
      </c>
      <c r="E2267" s="11">
        <v>423.0</v>
      </c>
      <c r="F2267" s="11">
        <v>9.0</v>
      </c>
      <c r="G2267" s="11">
        <v>457.0</v>
      </c>
      <c r="H2267" s="9" t="s">
        <v>26</v>
      </c>
      <c r="I2267" s="9" t="s">
        <v>9634</v>
      </c>
      <c r="J2267" s="9" t="s">
        <v>9635</v>
      </c>
      <c r="K2267" s="9" t="s">
        <v>2415</v>
      </c>
      <c r="L2267" s="9" t="s">
        <v>30</v>
      </c>
      <c r="M2267" s="9" t="s">
        <v>31</v>
      </c>
      <c r="N2267" s="9" t="s">
        <v>32</v>
      </c>
      <c r="O2267" s="12" t="s">
        <v>33</v>
      </c>
      <c r="P2267" s="12" t="s">
        <v>34</v>
      </c>
      <c r="Q2267" s="9"/>
      <c r="R2267" s="18"/>
      <c r="S2267" s="18"/>
      <c r="T2267" s="18"/>
      <c r="U2267" s="18"/>
      <c r="V2267" s="18"/>
      <c r="W2267" s="15"/>
      <c r="X2267" s="15"/>
    </row>
    <row r="2268">
      <c r="A2268" s="7">
        <v>2267.0</v>
      </c>
      <c r="B2268" s="8" t="s">
        <v>9636</v>
      </c>
      <c r="C2268" s="9" t="s">
        <v>9637</v>
      </c>
      <c r="D2268" s="10" t="str">
        <f>HYPERLINK("https://facebook.com/367089020688300_530834757647058", "367089020688300_530834757647058")</f>
        <v>367089020688300_530834757647058</v>
      </c>
      <c r="E2268" s="11">
        <v>36.0</v>
      </c>
      <c r="F2268" s="11">
        <v>0.0</v>
      </c>
      <c r="G2268" s="11">
        <v>51.0</v>
      </c>
      <c r="H2268" s="9" t="s">
        <v>26</v>
      </c>
      <c r="I2268" s="9" t="s">
        <v>9638</v>
      </c>
      <c r="J2268" s="9" t="s">
        <v>9639</v>
      </c>
      <c r="K2268" s="9" t="s">
        <v>3003</v>
      </c>
      <c r="L2268" s="9" t="s">
        <v>30</v>
      </c>
      <c r="M2268" s="9" t="s">
        <v>31</v>
      </c>
      <c r="N2268" s="9" t="s">
        <v>32</v>
      </c>
      <c r="O2268" s="12" t="s">
        <v>33</v>
      </c>
      <c r="P2268" s="12" t="s">
        <v>34</v>
      </c>
      <c r="Q2268" s="9"/>
      <c r="R2268" s="18"/>
      <c r="S2268" s="18"/>
      <c r="T2268" s="18"/>
      <c r="U2268" s="18"/>
      <c r="V2268" s="18"/>
      <c r="W2268" s="15"/>
      <c r="X2268" s="15"/>
    </row>
    <row r="2269">
      <c r="A2269" s="7">
        <v>2268.0</v>
      </c>
      <c r="B2269" s="8" t="s">
        <v>9640</v>
      </c>
      <c r="C2269" s="9" t="s">
        <v>9641</v>
      </c>
      <c r="D2269" s="10" t="str">
        <f>HYPERLINK("https://facebook.com/367089020688300_460103154720219", "367089020688300_460103154720219")</f>
        <v>367089020688300_460103154720219</v>
      </c>
      <c r="E2269" s="11">
        <v>840.0</v>
      </c>
      <c r="F2269" s="11">
        <v>29.0</v>
      </c>
      <c r="G2269" s="11">
        <v>498.0</v>
      </c>
      <c r="H2269" s="9" t="s">
        <v>26</v>
      </c>
      <c r="I2269" s="9" t="s">
        <v>9642</v>
      </c>
      <c r="J2269" s="9" t="s">
        <v>9643</v>
      </c>
      <c r="K2269" s="9" t="s">
        <v>249</v>
      </c>
      <c r="L2269" s="9" t="s">
        <v>30</v>
      </c>
      <c r="M2269" s="9" t="s">
        <v>31</v>
      </c>
      <c r="N2269" s="9" t="s">
        <v>32</v>
      </c>
      <c r="O2269" s="12" t="s">
        <v>33</v>
      </c>
      <c r="P2269" s="12" t="s">
        <v>34</v>
      </c>
      <c r="Q2269" s="9"/>
      <c r="R2269" s="18"/>
      <c r="S2269" s="18"/>
      <c r="T2269" s="18"/>
      <c r="U2269" s="18"/>
      <c r="V2269" s="18"/>
      <c r="W2269" s="15"/>
      <c r="X2269" s="15"/>
    </row>
    <row r="2270">
      <c r="A2270" s="7">
        <v>2269.0</v>
      </c>
      <c r="B2270" s="8" t="s">
        <v>9644</v>
      </c>
      <c r="C2270" s="9" t="s">
        <v>9645</v>
      </c>
      <c r="D2270" s="10" t="str">
        <f>HYPERLINK("https://facebook.com/367089020688300_550659528997914", "367089020688300_550659528997914")</f>
        <v>367089020688300_550659528997914</v>
      </c>
      <c r="E2270" s="11">
        <v>92.0</v>
      </c>
      <c r="F2270" s="11">
        <v>1.0</v>
      </c>
      <c r="G2270" s="11">
        <v>25.0</v>
      </c>
      <c r="H2270" s="9" t="s">
        <v>26</v>
      </c>
      <c r="I2270" s="9" t="s">
        <v>9646</v>
      </c>
      <c r="J2270" s="9" t="s">
        <v>9647</v>
      </c>
      <c r="K2270" s="9" t="s">
        <v>249</v>
      </c>
      <c r="L2270" s="9" t="s">
        <v>30</v>
      </c>
      <c r="M2270" s="9" t="s">
        <v>31</v>
      </c>
      <c r="N2270" s="9" t="s">
        <v>32</v>
      </c>
      <c r="O2270" s="12" t="s">
        <v>33</v>
      </c>
      <c r="P2270" s="12" t="s">
        <v>34</v>
      </c>
      <c r="Q2270" s="9"/>
      <c r="R2270" s="18"/>
      <c r="S2270" s="18"/>
      <c r="T2270" s="18"/>
      <c r="U2270" s="18"/>
      <c r="V2270" s="18"/>
      <c r="W2270" s="15"/>
      <c r="X2270" s="15"/>
    </row>
    <row r="2271">
      <c r="A2271" s="7">
        <v>2270.0</v>
      </c>
      <c r="B2271" s="8" t="s">
        <v>9648</v>
      </c>
      <c r="C2271" s="9" t="s">
        <v>9649</v>
      </c>
      <c r="D2271" s="10" t="str">
        <f>HYPERLINK("https://facebook.com/367089020688300_456292708434597", "367089020688300_456292708434597")</f>
        <v>367089020688300_456292708434597</v>
      </c>
      <c r="E2271" s="11">
        <v>1660.0</v>
      </c>
      <c r="F2271" s="11">
        <v>116.0</v>
      </c>
      <c r="G2271" s="11">
        <v>1244.0</v>
      </c>
      <c r="H2271" s="9" t="s">
        <v>26</v>
      </c>
      <c r="I2271" s="9" t="s">
        <v>9650</v>
      </c>
      <c r="J2271" s="9" t="s">
        <v>9651</v>
      </c>
      <c r="K2271" s="9" t="s">
        <v>9652</v>
      </c>
      <c r="L2271" s="9" t="s">
        <v>30</v>
      </c>
      <c r="M2271" s="9" t="s">
        <v>31</v>
      </c>
      <c r="N2271" s="9" t="s">
        <v>32</v>
      </c>
      <c r="O2271" s="12" t="s">
        <v>33</v>
      </c>
      <c r="P2271" s="12" t="s">
        <v>34</v>
      </c>
      <c r="Q2271" s="9"/>
      <c r="R2271" s="18"/>
      <c r="S2271" s="18"/>
      <c r="T2271" s="18"/>
      <c r="U2271" s="18"/>
      <c r="V2271" s="18"/>
      <c r="W2271" s="15"/>
      <c r="X2271" s="15"/>
    </row>
    <row r="2272">
      <c r="A2272" s="7">
        <v>2271.0</v>
      </c>
      <c r="B2272" s="8" t="s">
        <v>9653</v>
      </c>
      <c r="C2272" s="9" t="s">
        <v>9654</v>
      </c>
      <c r="D2272" s="10" t="str">
        <f>HYPERLINK("https://facebook.com/367089020688300_545994392797761", "367089020688300_545994392797761")</f>
        <v>367089020688300_545994392797761</v>
      </c>
      <c r="E2272" s="11">
        <v>37.0</v>
      </c>
      <c r="F2272" s="11">
        <v>2.0</v>
      </c>
      <c r="G2272" s="11">
        <v>12.0</v>
      </c>
      <c r="H2272" s="9" t="s">
        <v>26</v>
      </c>
      <c r="I2272" s="9" t="s">
        <v>2365</v>
      </c>
      <c r="J2272" s="16" t="s">
        <v>2366</v>
      </c>
      <c r="K2272" s="9"/>
      <c r="L2272" s="9" t="s">
        <v>30</v>
      </c>
      <c r="M2272" s="9" t="s">
        <v>31</v>
      </c>
      <c r="N2272" s="9" t="s">
        <v>32</v>
      </c>
      <c r="O2272" s="12" t="s">
        <v>33</v>
      </c>
      <c r="P2272" s="12" t="s">
        <v>34</v>
      </c>
      <c r="Q2272" s="9"/>
      <c r="R2272" s="18"/>
      <c r="S2272" s="18"/>
      <c r="T2272" s="18"/>
      <c r="U2272" s="18"/>
      <c r="V2272" s="18"/>
      <c r="W2272" s="15"/>
      <c r="X2272" s="15"/>
    </row>
    <row r="2273">
      <c r="A2273" s="7">
        <v>2272.0</v>
      </c>
      <c r="B2273" s="8" t="s">
        <v>9655</v>
      </c>
      <c r="C2273" s="9" t="s">
        <v>9656</v>
      </c>
      <c r="D2273" s="10" t="str">
        <f>HYPERLINK("https://facebook.com/367089020688300_504703853593482", "367089020688300_504703853593482")</f>
        <v>367089020688300_504703853593482</v>
      </c>
      <c r="E2273" s="11">
        <v>29.0</v>
      </c>
      <c r="F2273" s="11">
        <v>3.0</v>
      </c>
      <c r="G2273" s="11">
        <v>83.0</v>
      </c>
      <c r="H2273" s="9" t="s">
        <v>26</v>
      </c>
      <c r="I2273" s="9" t="s">
        <v>9657</v>
      </c>
      <c r="J2273" s="9" t="s">
        <v>9658</v>
      </c>
      <c r="K2273" s="9" t="s">
        <v>9659</v>
      </c>
      <c r="L2273" s="9" t="s">
        <v>30</v>
      </c>
      <c r="M2273" s="9" t="s">
        <v>31</v>
      </c>
      <c r="N2273" s="9" t="s">
        <v>32</v>
      </c>
      <c r="O2273" s="12" t="s">
        <v>33</v>
      </c>
      <c r="P2273" s="12" t="s">
        <v>34</v>
      </c>
      <c r="Q2273" s="9"/>
      <c r="R2273" s="18"/>
      <c r="S2273" s="18"/>
      <c r="T2273" s="18"/>
      <c r="U2273" s="18"/>
      <c r="V2273" s="18"/>
      <c r="W2273" s="15"/>
      <c r="X2273" s="15"/>
    </row>
    <row r="2274">
      <c r="A2274" s="7">
        <v>2273.0</v>
      </c>
      <c r="B2274" s="8" t="s">
        <v>9660</v>
      </c>
      <c r="C2274" s="9" t="s">
        <v>9661</v>
      </c>
      <c r="D2274" s="10" t="str">
        <f>HYPERLINK("https://facebook.com/367089020688300_410431989687336", "367089020688300_410431989687336")</f>
        <v>367089020688300_410431989687336</v>
      </c>
      <c r="E2274" s="11">
        <v>838.0</v>
      </c>
      <c r="F2274" s="11">
        <v>35.0</v>
      </c>
      <c r="G2274" s="11">
        <v>940.0</v>
      </c>
      <c r="H2274" s="9" t="s">
        <v>26</v>
      </c>
      <c r="I2274" s="9" t="s">
        <v>9662</v>
      </c>
      <c r="J2274" s="9" t="s">
        <v>9663</v>
      </c>
      <c r="K2274" s="9" t="s">
        <v>9664</v>
      </c>
      <c r="L2274" s="9" t="s">
        <v>30</v>
      </c>
      <c r="M2274" s="9" t="s">
        <v>31</v>
      </c>
      <c r="N2274" s="9" t="s">
        <v>32</v>
      </c>
      <c r="O2274" s="12" t="s">
        <v>33</v>
      </c>
      <c r="P2274" s="12" t="s">
        <v>34</v>
      </c>
      <c r="Q2274" s="9"/>
      <c r="R2274" s="18"/>
      <c r="S2274" s="18"/>
      <c r="T2274" s="18"/>
      <c r="U2274" s="18"/>
      <c r="V2274" s="18"/>
      <c r="W2274" s="15"/>
      <c r="X2274" s="15"/>
    </row>
    <row r="2275">
      <c r="A2275" s="7">
        <v>2274.0</v>
      </c>
      <c r="B2275" s="8" t="s">
        <v>9665</v>
      </c>
      <c r="C2275" s="9" t="s">
        <v>9666</v>
      </c>
      <c r="D2275" s="10" t="str">
        <f>HYPERLINK("https://facebook.com/367089020688300_539199286810605", "367089020688300_539199286810605")</f>
        <v>367089020688300_539199286810605</v>
      </c>
      <c r="E2275" s="11">
        <v>600.0</v>
      </c>
      <c r="F2275" s="11">
        <v>0.0</v>
      </c>
      <c r="G2275" s="11">
        <v>335.0</v>
      </c>
      <c r="H2275" s="9" t="s">
        <v>26</v>
      </c>
      <c r="I2275" s="9" t="s">
        <v>9667</v>
      </c>
      <c r="J2275" s="9" t="s">
        <v>9668</v>
      </c>
      <c r="K2275" s="9" t="s">
        <v>9669</v>
      </c>
      <c r="L2275" s="9" t="s">
        <v>30</v>
      </c>
      <c r="M2275" s="9" t="s">
        <v>31</v>
      </c>
      <c r="N2275" s="9" t="s">
        <v>32</v>
      </c>
      <c r="O2275" s="12" t="s">
        <v>33</v>
      </c>
      <c r="P2275" s="12" t="s">
        <v>34</v>
      </c>
      <c r="Q2275" s="9"/>
      <c r="R2275" s="18"/>
      <c r="S2275" s="18"/>
      <c r="T2275" s="18"/>
      <c r="U2275" s="18"/>
      <c r="V2275" s="18"/>
      <c r="W2275" s="15"/>
      <c r="X2275" s="15"/>
    </row>
    <row r="2276">
      <c r="A2276" s="7">
        <v>2275.0</v>
      </c>
      <c r="B2276" s="8" t="s">
        <v>9670</v>
      </c>
      <c r="C2276" s="9" t="s">
        <v>9671</v>
      </c>
      <c r="D2276" s="10" t="str">
        <f>HYPERLINK("https://facebook.com/367089020688300_520840805313120", "367089020688300_520840805313120")</f>
        <v>367089020688300_520840805313120</v>
      </c>
      <c r="E2276" s="11">
        <v>105.0</v>
      </c>
      <c r="F2276" s="11">
        <v>7.0</v>
      </c>
      <c r="G2276" s="11">
        <v>139.0</v>
      </c>
      <c r="H2276" s="9" t="s">
        <v>26</v>
      </c>
      <c r="I2276" s="9" t="s">
        <v>9672</v>
      </c>
      <c r="J2276" s="16" t="s">
        <v>9673</v>
      </c>
      <c r="K2276" s="9"/>
      <c r="L2276" s="9" t="s">
        <v>30</v>
      </c>
      <c r="M2276" s="9" t="s">
        <v>31</v>
      </c>
      <c r="N2276" s="9" t="s">
        <v>32</v>
      </c>
      <c r="O2276" s="12" t="s">
        <v>33</v>
      </c>
      <c r="P2276" s="12" t="s">
        <v>34</v>
      </c>
      <c r="Q2276" s="9"/>
      <c r="R2276" s="18"/>
      <c r="S2276" s="18"/>
      <c r="T2276" s="18"/>
      <c r="U2276" s="18"/>
      <c r="V2276" s="18"/>
      <c r="W2276" s="15"/>
      <c r="X2276" s="15"/>
    </row>
    <row r="2277">
      <c r="A2277" s="7">
        <v>2276.0</v>
      </c>
      <c r="B2277" s="8" t="s">
        <v>9674</v>
      </c>
      <c r="C2277" s="9" t="s">
        <v>9675</v>
      </c>
      <c r="D2277" s="10" t="str">
        <f>HYPERLINK("https://facebook.com/367089020688300_476853819711819", "367089020688300_476853819711819")</f>
        <v>367089020688300_476853819711819</v>
      </c>
      <c r="E2277" s="11">
        <v>331.0</v>
      </c>
      <c r="F2277" s="11">
        <v>5.0</v>
      </c>
      <c r="G2277" s="11">
        <v>255.0</v>
      </c>
      <c r="H2277" s="9" t="s">
        <v>26</v>
      </c>
      <c r="I2277" s="9" t="s">
        <v>9676</v>
      </c>
      <c r="J2277" s="9" t="s">
        <v>9677</v>
      </c>
      <c r="K2277" s="9" t="s">
        <v>9678</v>
      </c>
      <c r="L2277" s="9" t="s">
        <v>30</v>
      </c>
      <c r="M2277" s="9" t="s">
        <v>31</v>
      </c>
      <c r="N2277" s="9" t="s">
        <v>32</v>
      </c>
      <c r="O2277" s="12" t="s">
        <v>33</v>
      </c>
      <c r="P2277" s="12" t="s">
        <v>34</v>
      </c>
      <c r="Q2277" s="9"/>
      <c r="R2277" s="18"/>
      <c r="S2277" s="18"/>
      <c r="T2277" s="18"/>
      <c r="U2277" s="18"/>
      <c r="V2277" s="18"/>
      <c r="W2277" s="15"/>
      <c r="X2277" s="15"/>
    </row>
    <row r="2278">
      <c r="A2278" s="7">
        <v>2277.0</v>
      </c>
      <c r="B2278" s="8" t="s">
        <v>9679</v>
      </c>
      <c r="C2278" s="9" t="s">
        <v>9680</v>
      </c>
      <c r="D2278" s="10" t="str">
        <f>HYPERLINK("https://facebook.com/367089020688300_455276938536174", "367089020688300_455276938536174")</f>
        <v>367089020688300_455276938536174</v>
      </c>
      <c r="E2278" s="11">
        <v>223.0</v>
      </c>
      <c r="F2278" s="11">
        <v>2.0</v>
      </c>
      <c r="G2278" s="11">
        <v>217.0</v>
      </c>
      <c r="H2278" s="9" t="s">
        <v>26</v>
      </c>
      <c r="I2278" s="9" t="s">
        <v>9638</v>
      </c>
      <c r="J2278" s="9" t="s">
        <v>9639</v>
      </c>
      <c r="K2278" s="9" t="s">
        <v>9681</v>
      </c>
      <c r="L2278" s="9" t="s">
        <v>30</v>
      </c>
      <c r="M2278" s="9" t="s">
        <v>31</v>
      </c>
      <c r="N2278" s="9" t="s">
        <v>32</v>
      </c>
      <c r="O2278" s="12" t="s">
        <v>33</v>
      </c>
      <c r="P2278" s="12" t="s">
        <v>34</v>
      </c>
      <c r="Q2278" s="9"/>
      <c r="R2278" s="18"/>
      <c r="S2278" s="18"/>
      <c r="T2278" s="18"/>
      <c r="U2278" s="18"/>
      <c r="V2278" s="18"/>
      <c r="W2278" s="15"/>
      <c r="X2278" s="15"/>
    </row>
    <row r="2279">
      <c r="A2279" s="7">
        <v>2278.0</v>
      </c>
      <c r="B2279" s="8" t="s">
        <v>9682</v>
      </c>
      <c r="C2279" s="9" t="s">
        <v>9683</v>
      </c>
      <c r="D2279" s="10" t="str">
        <f>HYPERLINK("https://facebook.com/367089020688300_559512811445919", "367089020688300_559512811445919")</f>
        <v>367089020688300_559512811445919</v>
      </c>
      <c r="E2279" s="11">
        <v>251.0</v>
      </c>
      <c r="F2279" s="11">
        <v>4.0</v>
      </c>
      <c r="G2279" s="11">
        <v>76.0</v>
      </c>
      <c r="H2279" s="9" t="s">
        <v>26</v>
      </c>
      <c r="I2279" s="9" t="s">
        <v>9684</v>
      </c>
      <c r="J2279" s="9" t="s">
        <v>9685</v>
      </c>
      <c r="K2279" s="9" t="s">
        <v>1345</v>
      </c>
      <c r="L2279" s="9" t="s">
        <v>30</v>
      </c>
      <c r="M2279" s="9" t="s">
        <v>31</v>
      </c>
      <c r="N2279" s="9" t="s">
        <v>32</v>
      </c>
      <c r="O2279" s="12" t="s">
        <v>33</v>
      </c>
      <c r="P2279" s="12" t="s">
        <v>34</v>
      </c>
      <c r="Q2279" s="9"/>
      <c r="R2279" s="18"/>
      <c r="S2279" s="18"/>
      <c r="T2279" s="18"/>
      <c r="U2279" s="18"/>
      <c r="V2279" s="18"/>
      <c r="W2279" s="15"/>
      <c r="X2279" s="15"/>
    </row>
    <row r="2280">
      <c r="A2280" s="7">
        <v>2279.0</v>
      </c>
      <c r="B2280" s="8" t="s">
        <v>9686</v>
      </c>
      <c r="C2280" s="9" t="s">
        <v>9687</v>
      </c>
      <c r="D2280" s="10" t="str">
        <f>HYPERLINK("https://facebook.com/367089020688300_522389458491588", "367089020688300_522389458491588")</f>
        <v>367089020688300_522389458491588</v>
      </c>
      <c r="E2280" s="11">
        <v>105.0</v>
      </c>
      <c r="F2280" s="11">
        <v>2.0</v>
      </c>
      <c r="G2280" s="11">
        <v>124.0</v>
      </c>
      <c r="H2280" s="9" t="s">
        <v>26</v>
      </c>
      <c r="I2280" s="9" t="s">
        <v>9688</v>
      </c>
      <c r="J2280" s="16" t="s">
        <v>9689</v>
      </c>
      <c r="K2280" s="9"/>
      <c r="L2280" s="9" t="s">
        <v>30</v>
      </c>
      <c r="M2280" s="9" t="s">
        <v>31</v>
      </c>
      <c r="N2280" s="9" t="s">
        <v>32</v>
      </c>
      <c r="O2280" s="12" t="s">
        <v>33</v>
      </c>
      <c r="P2280" s="12" t="s">
        <v>34</v>
      </c>
      <c r="Q2280" s="9"/>
      <c r="R2280" s="18"/>
      <c r="S2280" s="18"/>
      <c r="T2280" s="18"/>
      <c r="U2280" s="18"/>
      <c r="V2280" s="18"/>
      <c r="W2280" s="15"/>
      <c r="X2280" s="15"/>
    </row>
    <row r="2281">
      <c r="A2281" s="7">
        <v>2280.0</v>
      </c>
      <c r="B2281" s="8" t="s">
        <v>9690</v>
      </c>
      <c r="C2281" s="9" t="s">
        <v>9691</v>
      </c>
      <c r="D2281" s="10" t="str">
        <f>HYPERLINK("https://facebook.com/367089020688300_531062747624259", "367089020688300_531062747624259")</f>
        <v>367089020688300_531062747624259</v>
      </c>
      <c r="E2281" s="11">
        <v>710.0</v>
      </c>
      <c r="F2281" s="11">
        <v>11.0</v>
      </c>
      <c r="G2281" s="11">
        <v>616.0</v>
      </c>
      <c r="H2281" s="9" t="s">
        <v>26</v>
      </c>
      <c r="I2281" s="9" t="s">
        <v>9692</v>
      </c>
      <c r="J2281" s="9" t="s">
        <v>9693</v>
      </c>
      <c r="K2281" s="9" t="s">
        <v>9694</v>
      </c>
      <c r="L2281" s="9" t="s">
        <v>30</v>
      </c>
      <c r="M2281" s="9" t="s">
        <v>31</v>
      </c>
      <c r="N2281" s="9" t="s">
        <v>32</v>
      </c>
      <c r="O2281" s="12" t="s">
        <v>33</v>
      </c>
      <c r="P2281" s="12" t="s">
        <v>34</v>
      </c>
      <c r="Q2281" s="9"/>
      <c r="R2281" s="18"/>
      <c r="S2281" s="18"/>
      <c r="T2281" s="18"/>
      <c r="U2281" s="18"/>
      <c r="V2281" s="18"/>
      <c r="W2281" s="15"/>
      <c r="X2281" s="15"/>
    </row>
    <row r="2282">
      <c r="A2282" s="7">
        <v>2281.0</v>
      </c>
      <c r="B2282" s="8" t="s">
        <v>9695</v>
      </c>
      <c r="C2282" s="9" t="s">
        <v>9696</v>
      </c>
      <c r="D2282" s="10" t="str">
        <f>HYPERLINK("https://facebook.com/367089020688300_493270374736830", "367089020688300_493270374736830")</f>
        <v>367089020688300_493270374736830</v>
      </c>
      <c r="E2282" s="11">
        <v>827.0</v>
      </c>
      <c r="F2282" s="11">
        <v>4.0</v>
      </c>
      <c r="G2282" s="11">
        <v>222.0</v>
      </c>
      <c r="H2282" s="9" t="s">
        <v>26</v>
      </c>
      <c r="I2282" s="9" t="s">
        <v>9697</v>
      </c>
      <c r="J2282" s="16" t="s">
        <v>9698</v>
      </c>
      <c r="K2282" s="9"/>
      <c r="L2282" s="9" t="s">
        <v>30</v>
      </c>
      <c r="M2282" s="9" t="s">
        <v>31</v>
      </c>
      <c r="N2282" s="9" t="s">
        <v>32</v>
      </c>
      <c r="O2282" s="12" t="s">
        <v>33</v>
      </c>
      <c r="P2282" s="12" t="s">
        <v>34</v>
      </c>
      <c r="Q2282" s="9"/>
      <c r="R2282" s="18"/>
      <c r="S2282" s="18"/>
      <c r="T2282" s="18"/>
      <c r="U2282" s="18"/>
      <c r="V2282" s="18"/>
      <c r="W2282" s="15"/>
      <c r="X2282" s="15"/>
    </row>
    <row r="2283">
      <c r="A2283" s="7">
        <v>2282.0</v>
      </c>
      <c r="B2283" s="8" t="s">
        <v>9699</v>
      </c>
      <c r="C2283" s="9" t="s">
        <v>9700</v>
      </c>
      <c r="D2283" s="10" t="str">
        <f>HYPERLINK("https://facebook.com/367089020688300_464806317583236", "367089020688300_464806317583236")</f>
        <v>367089020688300_464806317583236</v>
      </c>
      <c r="E2283" s="11">
        <v>600.0</v>
      </c>
      <c r="F2283" s="11">
        <v>13.0</v>
      </c>
      <c r="G2283" s="11">
        <v>572.0</v>
      </c>
      <c r="H2283" s="9" t="s">
        <v>26</v>
      </c>
      <c r="I2283" s="9" t="s">
        <v>9701</v>
      </c>
      <c r="J2283" s="9" t="s">
        <v>9702</v>
      </c>
      <c r="K2283" s="9" t="s">
        <v>9703</v>
      </c>
      <c r="L2283" s="9" t="s">
        <v>30</v>
      </c>
      <c r="M2283" s="9" t="s">
        <v>31</v>
      </c>
      <c r="N2283" s="9" t="s">
        <v>32</v>
      </c>
      <c r="O2283" s="12" t="s">
        <v>33</v>
      </c>
      <c r="P2283" s="12" t="s">
        <v>34</v>
      </c>
      <c r="Q2283" s="9"/>
      <c r="R2283" s="18"/>
      <c r="S2283" s="18"/>
      <c r="T2283" s="18"/>
      <c r="U2283" s="18"/>
      <c r="V2283" s="18"/>
      <c r="W2283" s="15"/>
      <c r="X2283" s="15"/>
    </row>
    <row r="2284">
      <c r="A2284" s="7">
        <v>2283.0</v>
      </c>
      <c r="B2284" s="8" t="s">
        <v>9704</v>
      </c>
      <c r="C2284" s="9" t="s">
        <v>9705</v>
      </c>
      <c r="D2284" s="10" t="str">
        <f>HYPERLINK("https://facebook.com/367089020688300_545048156225718", "367089020688300_545048156225718")</f>
        <v>367089020688300_545048156225718</v>
      </c>
      <c r="E2284" s="11">
        <v>775.0</v>
      </c>
      <c r="F2284" s="11">
        <v>14.0</v>
      </c>
      <c r="G2284" s="11">
        <v>239.0</v>
      </c>
      <c r="H2284" s="9" t="s">
        <v>26</v>
      </c>
      <c r="I2284" s="9" t="s">
        <v>998</v>
      </c>
      <c r="J2284" s="16" t="s">
        <v>999</v>
      </c>
      <c r="K2284" s="9"/>
      <c r="L2284" s="9" t="s">
        <v>30</v>
      </c>
      <c r="M2284" s="9" t="s">
        <v>31</v>
      </c>
      <c r="N2284" s="9" t="s">
        <v>32</v>
      </c>
      <c r="O2284" s="12" t="s">
        <v>33</v>
      </c>
      <c r="P2284" s="12" t="s">
        <v>34</v>
      </c>
      <c r="Q2284" s="9"/>
      <c r="R2284" s="18"/>
      <c r="S2284" s="18"/>
      <c r="T2284" s="18"/>
      <c r="U2284" s="18"/>
      <c r="V2284" s="18"/>
      <c r="W2284" s="15"/>
      <c r="X2284" s="15"/>
    </row>
    <row r="2285">
      <c r="A2285" s="7">
        <v>2284.0</v>
      </c>
      <c r="B2285" s="8" t="s">
        <v>9706</v>
      </c>
      <c r="C2285" s="9" t="s">
        <v>9707</v>
      </c>
      <c r="D2285" s="10" t="str">
        <f>HYPERLINK("https://facebook.com/367089020688300_507370566660144", "367089020688300_507370566660144")</f>
        <v>367089020688300_507370566660144</v>
      </c>
      <c r="E2285" s="11">
        <v>203.0</v>
      </c>
      <c r="F2285" s="11">
        <v>4.0</v>
      </c>
      <c r="G2285" s="11">
        <v>279.0</v>
      </c>
      <c r="H2285" s="9" t="s">
        <v>26</v>
      </c>
      <c r="I2285" s="9" t="s">
        <v>9708</v>
      </c>
      <c r="J2285" s="9" t="s">
        <v>9709</v>
      </c>
      <c r="K2285" s="9" t="s">
        <v>9710</v>
      </c>
      <c r="L2285" s="9" t="s">
        <v>30</v>
      </c>
      <c r="M2285" s="9" t="s">
        <v>31</v>
      </c>
      <c r="N2285" s="9" t="s">
        <v>32</v>
      </c>
      <c r="O2285" s="12" t="s">
        <v>33</v>
      </c>
      <c r="P2285" s="12" t="s">
        <v>34</v>
      </c>
      <c r="Q2285" s="9"/>
      <c r="R2285" s="18"/>
      <c r="S2285" s="18"/>
      <c r="T2285" s="18"/>
      <c r="U2285" s="18"/>
      <c r="V2285" s="18"/>
      <c r="W2285" s="15"/>
      <c r="X2285" s="15"/>
    </row>
    <row r="2286">
      <c r="A2286" s="7">
        <v>2285.0</v>
      </c>
      <c r="B2286" s="8" t="s">
        <v>9711</v>
      </c>
      <c r="C2286" s="9" t="s">
        <v>9712</v>
      </c>
      <c r="D2286" s="10" t="str">
        <f>HYPERLINK("https://facebook.com/367089020688300_543569513040249", "367089020688300_543569513040249")</f>
        <v>367089020688300_543569513040249</v>
      </c>
      <c r="E2286" s="11">
        <v>13.0</v>
      </c>
      <c r="F2286" s="11">
        <v>0.0</v>
      </c>
      <c r="G2286" s="11">
        <v>11.0</v>
      </c>
      <c r="H2286" s="9" t="s">
        <v>26</v>
      </c>
      <c r="I2286" s="9" t="s">
        <v>9713</v>
      </c>
      <c r="J2286" s="16" t="s">
        <v>9714</v>
      </c>
      <c r="K2286" s="9"/>
      <c r="L2286" s="9" t="s">
        <v>30</v>
      </c>
      <c r="M2286" s="9" t="s">
        <v>31</v>
      </c>
      <c r="N2286" s="9" t="s">
        <v>32</v>
      </c>
      <c r="O2286" s="12" t="s">
        <v>33</v>
      </c>
      <c r="P2286" s="12" t="s">
        <v>34</v>
      </c>
      <c r="Q2286" s="9"/>
      <c r="R2286" s="18"/>
      <c r="S2286" s="18"/>
      <c r="T2286" s="18"/>
      <c r="U2286" s="18"/>
      <c r="V2286" s="18"/>
      <c r="W2286" s="15"/>
      <c r="X2286" s="15"/>
    </row>
    <row r="2287">
      <c r="A2287" s="7">
        <v>2286.0</v>
      </c>
      <c r="B2287" s="8" t="s">
        <v>9715</v>
      </c>
      <c r="C2287" s="9" t="s">
        <v>9716</v>
      </c>
      <c r="D2287" s="10" t="str">
        <f>HYPERLINK("https://facebook.com/367089020688300_525089324888268", "367089020688300_525089324888268")</f>
        <v>367089020688300_525089324888268</v>
      </c>
      <c r="E2287" s="11">
        <v>386.0</v>
      </c>
      <c r="F2287" s="11">
        <v>2.0</v>
      </c>
      <c r="G2287" s="11">
        <v>384.0</v>
      </c>
      <c r="H2287" s="9" t="s">
        <v>26</v>
      </c>
      <c r="I2287" s="9" t="s">
        <v>8480</v>
      </c>
      <c r="J2287" s="16" t="s">
        <v>8481</v>
      </c>
      <c r="K2287" s="9"/>
      <c r="L2287" s="9" t="s">
        <v>30</v>
      </c>
      <c r="M2287" s="9" t="s">
        <v>31</v>
      </c>
      <c r="N2287" s="9" t="s">
        <v>32</v>
      </c>
      <c r="O2287" s="12" t="s">
        <v>33</v>
      </c>
      <c r="P2287" s="12" t="s">
        <v>34</v>
      </c>
      <c r="Q2287" s="9"/>
      <c r="R2287" s="18"/>
      <c r="S2287" s="18"/>
      <c r="T2287" s="18"/>
      <c r="U2287" s="18"/>
      <c r="V2287" s="18"/>
      <c r="W2287" s="15"/>
      <c r="X2287" s="15"/>
    </row>
    <row r="2288">
      <c r="A2288" s="7">
        <v>2287.0</v>
      </c>
      <c r="B2288" s="8" t="s">
        <v>9717</v>
      </c>
      <c r="C2288" s="9" t="s">
        <v>9718</v>
      </c>
      <c r="D2288" s="10" t="str">
        <f>HYPERLINK("https://facebook.com/367089020688300_546650142732186", "367089020688300_546650142732186")</f>
        <v>367089020688300_546650142732186</v>
      </c>
      <c r="E2288" s="11">
        <v>37.0</v>
      </c>
      <c r="F2288" s="11">
        <v>1.0</v>
      </c>
      <c r="G2288" s="11">
        <v>17.0</v>
      </c>
      <c r="H2288" s="9" t="s">
        <v>26</v>
      </c>
      <c r="I2288" s="9" t="s">
        <v>9719</v>
      </c>
      <c r="J2288" s="16" t="s">
        <v>9720</v>
      </c>
      <c r="K2288" s="9"/>
      <c r="L2288" s="9" t="s">
        <v>30</v>
      </c>
      <c r="M2288" s="9" t="s">
        <v>31</v>
      </c>
      <c r="N2288" s="9" t="s">
        <v>32</v>
      </c>
      <c r="O2288" s="12" t="s">
        <v>33</v>
      </c>
      <c r="P2288" s="12" t="s">
        <v>34</v>
      </c>
      <c r="Q2288" s="9"/>
      <c r="R2288" s="18"/>
      <c r="S2288" s="18"/>
      <c r="T2288" s="18"/>
      <c r="U2288" s="18"/>
      <c r="V2288" s="18"/>
      <c r="W2288" s="15"/>
      <c r="X2288" s="15"/>
    </row>
    <row r="2289">
      <c r="A2289" s="7">
        <v>2288.0</v>
      </c>
      <c r="B2289" s="8" t="s">
        <v>9721</v>
      </c>
      <c r="C2289" s="9" t="s">
        <v>9722</v>
      </c>
      <c r="D2289" s="10" t="str">
        <f>HYPERLINK("https://facebook.com/367089020688300_563280437735823", "367089020688300_563280437735823")</f>
        <v>367089020688300_563280437735823</v>
      </c>
      <c r="E2289" s="11">
        <v>396.0</v>
      </c>
      <c r="F2289" s="11">
        <v>9.0</v>
      </c>
      <c r="G2289" s="11">
        <v>684.0</v>
      </c>
      <c r="H2289" s="9" t="s">
        <v>26</v>
      </c>
      <c r="I2289" s="9" t="s">
        <v>9723</v>
      </c>
      <c r="J2289" s="16" t="s">
        <v>9724</v>
      </c>
      <c r="K2289" s="9"/>
      <c r="L2289" s="9" t="s">
        <v>30</v>
      </c>
      <c r="M2289" s="9" t="s">
        <v>31</v>
      </c>
      <c r="N2289" s="9" t="s">
        <v>32</v>
      </c>
      <c r="O2289" s="12" t="s">
        <v>33</v>
      </c>
      <c r="P2289" s="12" t="s">
        <v>34</v>
      </c>
      <c r="Q2289" s="9"/>
      <c r="R2289" s="18"/>
      <c r="S2289" s="18"/>
      <c r="T2289" s="18"/>
      <c r="U2289" s="18"/>
      <c r="V2289" s="18"/>
      <c r="W2289" s="15"/>
      <c r="X2289" s="15"/>
    </row>
    <row r="2290">
      <c r="A2290" s="7">
        <v>2289.0</v>
      </c>
      <c r="B2290" s="8" t="s">
        <v>9725</v>
      </c>
      <c r="C2290" s="9" t="s">
        <v>9726</v>
      </c>
      <c r="D2290" s="10" t="str">
        <f>HYPERLINK("https://facebook.com/367089020688300_394566651273870", "367089020688300_394566651273870")</f>
        <v>367089020688300_394566651273870</v>
      </c>
      <c r="E2290" s="11">
        <v>1448.0</v>
      </c>
      <c r="F2290" s="11">
        <v>34.0</v>
      </c>
      <c r="G2290" s="11">
        <v>1237.0</v>
      </c>
      <c r="H2290" s="9" t="s">
        <v>26</v>
      </c>
      <c r="I2290" s="9" t="s">
        <v>9727</v>
      </c>
      <c r="J2290" s="9" t="s">
        <v>9728</v>
      </c>
      <c r="K2290" s="9" t="s">
        <v>3003</v>
      </c>
      <c r="L2290" s="9" t="s">
        <v>30</v>
      </c>
      <c r="M2290" s="9" t="s">
        <v>31</v>
      </c>
      <c r="N2290" s="9" t="s">
        <v>32</v>
      </c>
      <c r="O2290" s="12" t="s">
        <v>33</v>
      </c>
      <c r="P2290" s="12" t="s">
        <v>34</v>
      </c>
      <c r="Q2290" s="9"/>
      <c r="R2290" s="18"/>
      <c r="S2290" s="18"/>
      <c r="T2290" s="18"/>
      <c r="U2290" s="18"/>
      <c r="V2290" s="18"/>
      <c r="W2290" s="15"/>
      <c r="X2290" s="15"/>
    </row>
    <row r="2291">
      <c r="A2291" s="7">
        <v>2290.0</v>
      </c>
      <c r="B2291" s="8" t="s">
        <v>9729</v>
      </c>
      <c r="C2291" s="9" t="s">
        <v>9730</v>
      </c>
      <c r="D2291" s="10" t="str">
        <f>HYPERLINK("https://facebook.com/367089020688300_539224680141399", "367089020688300_539224680141399")</f>
        <v>367089020688300_539224680141399</v>
      </c>
      <c r="E2291" s="11">
        <v>29.0</v>
      </c>
      <c r="F2291" s="11">
        <v>0.0</v>
      </c>
      <c r="G2291" s="11">
        <v>37.0</v>
      </c>
      <c r="H2291" s="9" t="s">
        <v>26</v>
      </c>
      <c r="I2291" s="9" t="s">
        <v>9731</v>
      </c>
      <c r="J2291" s="16" t="s">
        <v>9732</v>
      </c>
      <c r="K2291" s="9"/>
      <c r="L2291" s="9" t="s">
        <v>30</v>
      </c>
      <c r="M2291" s="9" t="s">
        <v>31</v>
      </c>
      <c r="N2291" s="9" t="s">
        <v>32</v>
      </c>
      <c r="O2291" s="12" t="s">
        <v>33</v>
      </c>
      <c r="P2291" s="12" t="s">
        <v>34</v>
      </c>
      <c r="Q2291" s="9"/>
      <c r="R2291" s="18"/>
      <c r="S2291" s="18"/>
      <c r="T2291" s="18"/>
      <c r="U2291" s="18"/>
      <c r="V2291" s="18"/>
      <c r="W2291" s="15"/>
      <c r="X2291" s="15"/>
    </row>
    <row r="2292">
      <c r="A2292" s="7">
        <v>2291.0</v>
      </c>
      <c r="B2292" s="8" t="s">
        <v>9733</v>
      </c>
      <c r="C2292" s="9" t="s">
        <v>9734</v>
      </c>
      <c r="D2292" s="10" t="str">
        <f>HYPERLINK("https://facebook.com/367089020688300_536397617090772", "367089020688300_536397617090772")</f>
        <v>367089020688300_536397617090772</v>
      </c>
      <c r="E2292" s="11">
        <v>83.0</v>
      </c>
      <c r="F2292" s="11">
        <v>0.0</v>
      </c>
      <c r="G2292" s="11">
        <v>128.0</v>
      </c>
      <c r="H2292" s="9" t="s">
        <v>26</v>
      </c>
      <c r="I2292" s="9" t="s">
        <v>9735</v>
      </c>
      <c r="J2292" s="9" t="s">
        <v>9736</v>
      </c>
      <c r="K2292" s="9" t="s">
        <v>2205</v>
      </c>
      <c r="L2292" s="9" t="s">
        <v>30</v>
      </c>
      <c r="M2292" s="9" t="s">
        <v>31</v>
      </c>
      <c r="N2292" s="9" t="s">
        <v>32</v>
      </c>
      <c r="O2292" s="12" t="s">
        <v>33</v>
      </c>
      <c r="P2292" s="12" t="s">
        <v>34</v>
      </c>
      <c r="Q2292" s="9"/>
      <c r="R2292" s="18"/>
      <c r="S2292" s="18"/>
      <c r="T2292" s="18"/>
      <c r="U2292" s="18"/>
      <c r="V2292" s="18"/>
      <c r="W2292" s="15"/>
      <c r="X2292" s="15"/>
    </row>
    <row r="2293">
      <c r="A2293" s="7">
        <v>2292.0</v>
      </c>
      <c r="B2293" s="8" t="s">
        <v>9737</v>
      </c>
      <c r="C2293" s="9" t="s">
        <v>9738</v>
      </c>
      <c r="D2293" s="10" t="str">
        <f>HYPERLINK("https://facebook.com/367089020688300_556678858395981", "367089020688300_556678858395981")</f>
        <v>367089020688300_556678858395981</v>
      </c>
      <c r="E2293" s="11">
        <v>15.0</v>
      </c>
      <c r="F2293" s="11">
        <v>0.0</v>
      </c>
      <c r="G2293" s="11">
        <v>17.0</v>
      </c>
      <c r="H2293" s="9" t="s">
        <v>26</v>
      </c>
      <c r="I2293" s="9" t="s">
        <v>9739</v>
      </c>
      <c r="J2293" s="16" t="s">
        <v>9740</v>
      </c>
      <c r="K2293" s="9"/>
      <c r="L2293" s="9" t="s">
        <v>30</v>
      </c>
      <c r="M2293" s="9" t="s">
        <v>31</v>
      </c>
      <c r="N2293" s="9" t="s">
        <v>32</v>
      </c>
      <c r="O2293" s="12" t="s">
        <v>33</v>
      </c>
      <c r="P2293" s="12" t="s">
        <v>34</v>
      </c>
      <c r="Q2293" s="9"/>
      <c r="R2293" s="18"/>
      <c r="S2293" s="18"/>
      <c r="T2293" s="18"/>
      <c r="U2293" s="18"/>
      <c r="V2293" s="18"/>
      <c r="W2293" s="15"/>
      <c r="X2293" s="15"/>
    </row>
    <row r="2294">
      <c r="A2294" s="7">
        <v>2293.0</v>
      </c>
      <c r="B2294" s="8" t="s">
        <v>9741</v>
      </c>
      <c r="C2294" s="9" t="s">
        <v>9742</v>
      </c>
      <c r="D2294" s="10" t="str">
        <f>HYPERLINK("https://facebook.com/367089020688300_485252372205297", "367089020688300_485252372205297")</f>
        <v>367089020688300_485252372205297</v>
      </c>
      <c r="E2294" s="11">
        <v>159.0</v>
      </c>
      <c r="F2294" s="11">
        <v>13.0</v>
      </c>
      <c r="G2294" s="11">
        <v>121.0</v>
      </c>
      <c r="H2294" s="9" t="s">
        <v>26</v>
      </c>
      <c r="I2294" s="9" t="s">
        <v>9743</v>
      </c>
      <c r="J2294" s="9" t="s">
        <v>9744</v>
      </c>
      <c r="K2294" s="9" t="s">
        <v>663</v>
      </c>
      <c r="L2294" s="9" t="s">
        <v>30</v>
      </c>
      <c r="M2294" s="9" t="s">
        <v>31</v>
      </c>
      <c r="N2294" s="9" t="s">
        <v>32</v>
      </c>
      <c r="O2294" s="12" t="s">
        <v>33</v>
      </c>
      <c r="P2294" s="12" t="s">
        <v>34</v>
      </c>
      <c r="Q2294" s="9"/>
      <c r="R2294" s="18"/>
      <c r="S2294" s="18"/>
      <c r="T2294" s="18"/>
      <c r="U2294" s="18"/>
      <c r="V2294" s="18"/>
      <c r="W2294" s="15"/>
      <c r="X2294" s="15"/>
    </row>
    <row r="2295">
      <c r="A2295" s="7">
        <v>2294.0</v>
      </c>
      <c r="B2295" s="8" t="s">
        <v>9745</v>
      </c>
      <c r="C2295" s="9" t="s">
        <v>9746</v>
      </c>
      <c r="D2295" s="10" t="str">
        <f>HYPERLINK("https://facebook.com/367089020688300_541039349959932", "367089020688300_541039349959932")</f>
        <v>367089020688300_541039349959932</v>
      </c>
      <c r="E2295" s="11">
        <v>7.0</v>
      </c>
      <c r="F2295" s="11">
        <v>0.0</v>
      </c>
      <c r="G2295" s="11">
        <v>10.0</v>
      </c>
      <c r="H2295" s="9" t="s">
        <v>26</v>
      </c>
      <c r="I2295" s="9" t="s">
        <v>9747</v>
      </c>
      <c r="J2295" s="16" t="s">
        <v>9748</v>
      </c>
      <c r="K2295" s="9"/>
      <c r="L2295" s="9" t="s">
        <v>30</v>
      </c>
      <c r="M2295" s="9" t="s">
        <v>31</v>
      </c>
      <c r="N2295" s="9" t="s">
        <v>32</v>
      </c>
      <c r="O2295" s="12" t="s">
        <v>33</v>
      </c>
      <c r="P2295" s="12" t="s">
        <v>34</v>
      </c>
      <c r="Q2295" s="9"/>
      <c r="R2295" s="18"/>
      <c r="S2295" s="18"/>
      <c r="T2295" s="18"/>
      <c r="U2295" s="18"/>
      <c r="V2295" s="18"/>
      <c r="W2295" s="15"/>
      <c r="X2295" s="15"/>
    </row>
    <row r="2296">
      <c r="A2296" s="7">
        <v>2295.0</v>
      </c>
      <c r="B2296" s="8" t="s">
        <v>9749</v>
      </c>
      <c r="C2296" s="9" t="s">
        <v>9750</v>
      </c>
      <c r="D2296" s="10" t="str">
        <f>HYPERLINK("https://facebook.com/367089020688300_410402639690271", "367089020688300_410402639690271")</f>
        <v>367089020688300_410402639690271</v>
      </c>
      <c r="E2296" s="11">
        <v>247.0</v>
      </c>
      <c r="F2296" s="11">
        <v>2.0</v>
      </c>
      <c r="G2296" s="11">
        <v>124.0</v>
      </c>
      <c r="H2296" s="9" t="s">
        <v>26</v>
      </c>
      <c r="I2296" s="9" t="s">
        <v>9751</v>
      </c>
      <c r="J2296" s="9" t="s">
        <v>9752</v>
      </c>
      <c r="K2296" s="9" t="s">
        <v>9753</v>
      </c>
      <c r="L2296" s="9" t="s">
        <v>30</v>
      </c>
      <c r="M2296" s="9" t="s">
        <v>31</v>
      </c>
      <c r="N2296" s="9" t="s">
        <v>32</v>
      </c>
      <c r="O2296" s="12" t="s">
        <v>33</v>
      </c>
      <c r="P2296" s="12" t="s">
        <v>34</v>
      </c>
      <c r="Q2296" s="9"/>
      <c r="R2296" s="18"/>
      <c r="S2296" s="18"/>
      <c r="T2296" s="18"/>
      <c r="U2296" s="18"/>
      <c r="V2296" s="18"/>
      <c r="W2296" s="15"/>
      <c r="X2296" s="15"/>
    </row>
    <row r="2297">
      <c r="A2297" s="7">
        <v>2296.0</v>
      </c>
      <c r="B2297" s="8" t="s">
        <v>9754</v>
      </c>
      <c r="C2297" s="9" t="s">
        <v>9755</v>
      </c>
      <c r="D2297" s="10" t="str">
        <f>HYPERLINK("https://facebook.com/367089020688300_539694703427730", "367089020688300_539694703427730")</f>
        <v>367089020688300_539694703427730</v>
      </c>
      <c r="E2297" s="11">
        <v>27.0</v>
      </c>
      <c r="F2297" s="11">
        <v>0.0</v>
      </c>
      <c r="G2297" s="11">
        <v>13.0</v>
      </c>
      <c r="H2297" s="9" t="s">
        <v>26</v>
      </c>
      <c r="I2297" s="9" t="s">
        <v>9756</v>
      </c>
      <c r="J2297" s="16" t="s">
        <v>9757</v>
      </c>
      <c r="K2297" s="9"/>
      <c r="L2297" s="9" t="s">
        <v>30</v>
      </c>
      <c r="M2297" s="9" t="s">
        <v>31</v>
      </c>
      <c r="N2297" s="9" t="s">
        <v>32</v>
      </c>
      <c r="O2297" s="12" t="s">
        <v>33</v>
      </c>
      <c r="P2297" s="12" t="s">
        <v>34</v>
      </c>
      <c r="Q2297" s="9"/>
      <c r="R2297" s="18"/>
      <c r="S2297" s="18"/>
      <c r="T2297" s="18"/>
      <c r="U2297" s="18"/>
      <c r="V2297" s="18"/>
      <c r="W2297" s="15"/>
      <c r="X2297" s="15"/>
    </row>
    <row r="2298">
      <c r="A2298" s="7">
        <v>2297.0</v>
      </c>
      <c r="B2298" s="8" t="s">
        <v>9758</v>
      </c>
      <c r="C2298" s="9" t="s">
        <v>9759</v>
      </c>
      <c r="D2298" s="10" t="str">
        <f>HYPERLINK("https://facebook.com/367089020688300_484409282289606", "367089020688300_484409282289606")</f>
        <v>367089020688300_484409282289606</v>
      </c>
      <c r="E2298" s="11">
        <v>599.0</v>
      </c>
      <c r="F2298" s="11">
        <v>62.0</v>
      </c>
      <c r="G2298" s="11">
        <v>589.0</v>
      </c>
      <c r="H2298" s="9" t="s">
        <v>26</v>
      </c>
      <c r="I2298" s="9" t="s">
        <v>9760</v>
      </c>
      <c r="J2298" s="9" t="s">
        <v>9761</v>
      </c>
      <c r="K2298" s="9" t="s">
        <v>9762</v>
      </c>
      <c r="L2298" s="9" t="s">
        <v>30</v>
      </c>
      <c r="M2298" s="9" t="s">
        <v>31</v>
      </c>
      <c r="N2298" s="9" t="s">
        <v>32</v>
      </c>
      <c r="O2298" s="12" t="s">
        <v>33</v>
      </c>
      <c r="P2298" s="12" t="s">
        <v>34</v>
      </c>
      <c r="Q2298" s="9"/>
      <c r="R2298" s="18"/>
      <c r="S2298" s="18"/>
      <c r="T2298" s="18"/>
      <c r="U2298" s="18"/>
      <c r="V2298" s="18"/>
      <c r="W2298" s="15"/>
      <c r="X2298" s="15"/>
    </row>
    <row r="2299">
      <c r="A2299" s="7">
        <v>2298.0</v>
      </c>
      <c r="B2299" s="8" t="s">
        <v>9763</v>
      </c>
      <c r="C2299" s="9" t="s">
        <v>9764</v>
      </c>
      <c r="D2299" s="10" t="str">
        <f>HYPERLINK("https://facebook.com/367089020688300_555937911803409", "367089020688300_555937911803409")</f>
        <v>367089020688300_555937911803409</v>
      </c>
      <c r="E2299" s="11">
        <v>235.0</v>
      </c>
      <c r="F2299" s="11">
        <v>6.0</v>
      </c>
      <c r="G2299" s="11">
        <v>210.0</v>
      </c>
      <c r="H2299" s="9" t="s">
        <v>26</v>
      </c>
      <c r="I2299" s="9" t="s">
        <v>9765</v>
      </c>
      <c r="J2299" s="9" t="s">
        <v>9766</v>
      </c>
      <c r="K2299" s="9" t="s">
        <v>9767</v>
      </c>
      <c r="L2299" s="9" t="s">
        <v>30</v>
      </c>
      <c r="M2299" s="9" t="s">
        <v>31</v>
      </c>
      <c r="N2299" s="9" t="s">
        <v>32</v>
      </c>
      <c r="O2299" s="12" t="s">
        <v>33</v>
      </c>
      <c r="P2299" s="12" t="s">
        <v>34</v>
      </c>
      <c r="Q2299" s="9"/>
      <c r="R2299" s="18"/>
      <c r="S2299" s="18"/>
      <c r="T2299" s="18"/>
      <c r="U2299" s="18"/>
      <c r="V2299" s="18"/>
      <c r="W2299" s="15"/>
      <c r="X2299" s="15"/>
    </row>
    <row r="2300">
      <c r="A2300" s="7">
        <v>2299.0</v>
      </c>
      <c r="B2300" s="8" t="s">
        <v>9768</v>
      </c>
      <c r="C2300" s="9" t="s">
        <v>9769</v>
      </c>
      <c r="D2300" s="10" t="str">
        <f>HYPERLINK("https://facebook.com/367089020688300_521665395230661", "367089020688300_521665395230661")</f>
        <v>367089020688300_521665395230661</v>
      </c>
      <c r="E2300" s="11">
        <v>2.0</v>
      </c>
      <c r="F2300" s="11">
        <v>0.0</v>
      </c>
      <c r="G2300" s="11">
        <v>8.0</v>
      </c>
      <c r="H2300" s="9" t="s">
        <v>26</v>
      </c>
      <c r="I2300" s="9" t="s">
        <v>9770</v>
      </c>
      <c r="J2300" s="9" t="s">
        <v>9771</v>
      </c>
      <c r="K2300" s="9" t="s">
        <v>9772</v>
      </c>
      <c r="L2300" s="9" t="s">
        <v>30</v>
      </c>
      <c r="M2300" s="9" t="s">
        <v>31</v>
      </c>
      <c r="N2300" s="9" t="s">
        <v>32</v>
      </c>
      <c r="O2300" s="12" t="s">
        <v>33</v>
      </c>
      <c r="P2300" s="12" t="s">
        <v>34</v>
      </c>
      <c r="Q2300" s="9"/>
      <c r="R2300" s="18"/>
      <c r="S2300" s="18"/>
      <c r="T2300" s="18"/>
      <c r="U2300" s="18"/>
      <c r="V2300" s="18"/>
      <c r="W2300" s="15"/>
      <c r="X2300" s="15"/>
    </row>
    <row r="2301">
      <c r="A2301" s="7">
        <v>2300.0</v>
      </c>
      <c r="B2301" s="8" t="s">
        <v>9773</v>
      </c>
      <c r="C2301" s="9" t="s">
        <v>9774</v>
      </c>
      <c r="D2301" s="10" t="str">
        <f>HYPERLINK("https://facebook.com/367089020688300_563417951055405", "367089020688300_563417951055405")</f>
        <v>367089020688300_563417951055405</v>
      </c>
      <c r="E2301" s="11">
        <v>189.0</v>
      </c>
      <c r="F2301" s="11">
        <v>0.0</v>
      </c>
      <c r="G2301" s="11">
        <v>249.0</v>
      </c>
      <c r="H2301" s="9" t="s">
        <v>26</v>
      </c>
      <c r="I2301" s="9" t="s">
        <v>9775</v>
      </c>
      <c r="J2301" s="9" t="s">
        <v>9776</v>
      </c>
      <c r="K2301" s="9" t="s">
        <v>9777</v>
      </c>
      <c r="L2301" s="9" t="s">
        <v>30</v>
      </c>
      <c r="M2301" s="9" t="s">
        <v>31</v>
      </c>
      <c r="N2301" s="9" t="s">
        <v>32</v>
      </c>
      <c r="O2301" s="12" t="s">
        <v>33</v>
      </c>
      <c r="P2301" s="12" t="s">
        <v>34</v>
      </c>
      <c r="Q2301" s="9"/>
      <c r="R2301" s="18"/>
      <c r="S2301" s="18"/>
      <c r="T2301" s="18"/>
      <c r="U2301" s="18"/>
      <c r="V2301" s="18"/>
      <c r="W2301" s="15"/>
      <c r="X2301" s="15"/>
    </row>
    <row r="2302">
      <c r="A2302" s="7">
        <v>2301.0</v>
      </c>
      <c r="B2302" s="8" t="s">
        <v>9778</v>
      </c>
      <c r="C2302" s="9" t="s">
        <v>9779</v>
      </c>
      <c r="D2302" s="10" t="str">
        <f>HYPERLINK("https://facebook.com/367089020688300_544217846308749", "367089020688300_544217846308749")</f>
        <v>367089020688300_544217846308749</v>
      </c>
      <c r="E2302" s="11">
        <v>35.0</v>
      </c>
      <c r="F2302" s="11">
        <v>0.0</v>
      </c>
      <c r="G2302" s="11">
        <v>33.0</v>
      </c>
      <c r="H2302" s="9" t="s">
        <v>26</v>
      </c>
      <c r="I2302" s="9" t="s">
        <v>9780</v>
      </c>
      <c r="J2302" s="16" t="s">
        <v>9781</v>
      </c>
      <c r="K2302" s="9"/>
      <c r="L2302" s="9" t="s">
        <v>30</v>
      </c>
      <c r="M2302" s="9" t="s">
        <v>31</v>
      </c>
      <c r="N2302" s="9" t="s">
        <v>32</v>
      </c>
      <c r="O2302" s="27" t="s">
        <v>33</v>
      </c>
      <c r="P2302" s="12" t="s">
        <v>34</v>
      </c>
      <c r="Q2302" s="9"/>
      <c r="R2302" s="18"/>
      <c r="S2302" s="18"/>
      <c r="T2302" s="18"/>
      <c r="U2302" s="18"/>
      <c r="V2302" s="18"/>
      <c r="W2302" s="15"/>
      <c r="X2302" s="15"/>
    </row>
    <row r="2303">
      <c r="A2303" s="7">
        <v>2302.0</v>
      </c>
      <c r="B2303" s="8" t="s">
        <v>9782</v>
      </c>
      <c r="C2303" s="9" t="s">
        <v>9783</v>
      </c>
      <c r="D2303" s="10" t="str">
        <f>HYPERLINK("https://facebook.com/367089020688300_524746651589202", "367089020688300_524746651589202")</f>
        <v>367089020688300_524746651589202</v>
      </c>
      <c r="E2303" s="11">
        <v>208.0</v>
      </c>
      <c r="F2303" s="11">
        <v>17.0</v>
      </c>
      <c r="G2303" s="11">
        <v>227.0</v>
      </c>
      <c r="H2303" s="9" t="s">
        <v>26</v>
      </c>
      <c r="I2303" s="9" t="s">
        <v>9784</v>
      </c>
      <c r="J2303" s="9" t="s">
        <v>9785</v>
      </c>
      <c r="K2303" s="9" t="s">
        <v>9786</v>
      </c>
      <c r="L2303" s="9" t="s">
        <v>30</v>
      </c>
      <c r="M2303" s="9" t="s">
        <v>31</v>
      </c>
      <c r="N2303" s="9" t="s">
        <v>32</v>
      </c>
      <c r="O2303" s="27" t="s">
        <v>33</v>
      </c>
      <c r="P2303" s="12" t="s">
        <v>34</v>
      </c>
      <c r="Q2303" s="9"/>
      <c r="R2303" s="18"/>
      <c r="S2303" s="18"/>
      <c r="T2303" s="18"/>
      <c r="U2303" s="18"/>
      <c r="V2303" s="18"/>
      <c r="W2303" s="15"/>
      <c r="X2303" s="15"/>
    </row>
    <row r="2304">
      <c r="A2304" s="7">
        <v>2303.0</v>
      </c>
      <c r="B2304" s="8" t="s">
        <v>9787</v>
      </c>
      <c r="C2304" s="9" t="s">
        <v>9788</v>
      </c>
      <c r="D2304" s="10" t="str">
        <f>HYPERLINK("https://facebook.com/367089020688300_537094773687723", "367089020688300_537094773687723")</f>
        <v>367089020688300_537094773687723</v>
      </c>
      <c r="E2304" s="11">
        <v>6.0</v>
      </c>
      <c r="F2304" s="11">
        <v>0.0</v>
      </c>
      <c r="G2304" s="11">
        <v>0.0</v>
      </c>
      <c r="H2304" s="9" t="s">
        <v>26</v>
      </c>
      <c r="I2304" s="9" t="s">
        <v>8862</v>
      </c>
      <c r="J2304" s="16" t="s">
        <v>9789</v>
      </c>
      <c r="K2304" s="9"/>
      <c r="L2304" s="9" t="s">
        <v>30</v>
      </c>
      <c r="M2304" s="9" t="s">
        <v>31</v>
      </c>
      <c r="N2304" s="9" t="s">
        <v>32</v>
      </c>
      <c r="O2304" s="12" t="s">
        <v>33</v>
      </c>
      <c r="P2304" s="12" t="s">
        <v>34</v>
      </c>
      <c r="Q2304" s="9"/>
      <c r="R2304" s="18"/>
      <c r="S2304" s="18"/>
      <c r="T2304" s="18"/>
      <c r="U2304" s="18"/>
      <c r="V2304" s="18"/>
      <c r="W2304" s="15"/>
      <c r="X2304" s="15"/>
    </row>
    <row r="2305">
      <c r="A2305" s="7">
        <v>2304.0</v>
      </c>
      <c r="B2305" s="8" t="s">
        <v>9790</v>
      </c>
      <c r="C2305" s="9" t="s">
        <v>9791</v>
      </c>
      <c r="D2305" s="10" t="str">
        <f>HYPERLINK("https://facebook.com/367089020688300_561578434572690", "367089020688300_561578434572690")</f>
        <v>367089020688300_561578434572690</v>
      </c>
      <c r="E2305" s="11">
        <v>34.0</v>
      </c>
      <c r="F2305" s="11">
        <v>0.0</v>
      </c>
      <c r="G2305" s="11">
        <v>29.0</v>
      </c>
      <c r="H2305" s="9" t="s">
        <v>26</v>
      </c>
      <c r="I2305" s="9" t="s">
        <v>9792</v>
      </c>
      <c r="J2305" s="16" t="s">
        <v>9793</v>
      </c>
      <c r="K2305" s="9"/>
      <c r="L2305" s="9" t="s">
        <v>30</v>
      </c>
      <c r="M2305" s="9" t="s">
        <v>31</v>
      </c>
      <c r="N2305" s="9" t="s">
        <v>32</v>
      </c>
      <c r="O2305" s="12" t="s">
        <v>33</v>
      </c>
      <c r="P2305" s="12" t="s">
        <v>34</v>
      </c>
      <c r="Q2305" s="9"/>
      <c r="R2305" s="18"/>
      <c r="S2305" s="18"/>
      <c r="T2305" s="18"/>
      <c r="U2305" s="18"/>
      <c r="V2305" s="18"/>
      <c r="W2305" s="15"/>
      <c r="X2305" s="15"/>
    </row>
    <row r="2306">
      <c r="A2306" s="7">
        <v>2305.0</v>
      </c>
      <c r="B2306" s="8" t="s">
        <v>9794</v>
      </c>
      <c r="C2306" s="9" t="s">
        <v>9795</v>
      </c>
      <c r="D2306" s="10" t="str">
        <f>HYPERLINK("https://facebook.com/367089020688300_494363437960857", "367089020688300_494363437960857")</f>
        <v>367089020688300_494363437960857</v>
      </c>
      <c r="E2306" s="11">
        <v>114.0</v>
      </c>
      <c r="F2306" s="11">
        <v>2.0</v>
      </c>
      <c r="G2306" s="11">
        <v>55.0</v>
      </c>
      <c r="H2306" s="9" t="s">
        <v>26</v>
      </c>
      <c r="I2306" s="9" t="s">
        <v>9796</v>
      </c>
      <c r="J2306" s="9" t="s">
        <v>9797</v>
      </c>
      <c r="K2306" s="9" t="s">
        <v>9798</v>
      </c>
      <c r="L2306" s="9" t="s">
        <v>30</v>
      </c>
      <c r="M2306" s="9" t="s">
        <v>31</v>
      </c>
      <c r="N2306" s="9" t="s">
        <v>32</v>
      </c>
      <c r="O2306" s="12" t="s">
        <v>33</v>
      </c>
      <c r="P2306" s="12" t="s">
        <v>34</v>
      </c>
      <c r="Q2306" s="9"/>
      <c r="R2306" s="18"/>
      <c r="S2306" s="18"/>
      <c r="T2306" s="18"/>
      <c r="U2306" s="18"/>
      <c r="V2306" s="18"/>
      <c r="W2306" s="15"/>
      <c r="X2306" s="15"/>
    </row>
    <row r="2307">
      <c r="A2307" s="7">
        <v>2306.0</v>
      </c>
      <c r="B2307" s="8" t="s">
        <v>9799</v>
      </c>
      <c r="C2307" s="9" t="s">
        <v>9800</v>
      </c>
      <c r="D2307" s="10" t="str">
        <f>HYPERLINK("https://facebook.com/367089020688300_527742024622998", "367089020688300_527742024622998")</f>
        <v>367089020688300_527742024622998</v>
      </c>
      <c r="E2307" s="11">
        <v>123.0</v>
      </c>
      <c r="F2307" s="11">
        <v>0.0</v>
      </c>
      <c r="G2307" s="11">
        <v>25.0</v>
      </c>
      <c r="H2307" s="9" t="s">
        <v>26</v>
      </c>
      <c r="I2307" s="9" t="s">
        <v>9801</v>
      </c>
      <c r="J2307" s="16" t="s">
        <v>9802</v>
      </c>
      <c r="K2307" s="9"/>
      <c r="L2307" s="9" t="s">
        <v>30</v>
      </c>
      <c r="M2307" s="9" t="s">
        <v>31</v>
      </c>
      <c r="N2307" s="9" t="s">
        <v>32</v>
      </c>
      <c r="O2307" s="12" t="s">
        <v>33</v>
      </c>
      <c r="P2307" s="12" t="s">
        <v>34</v>
      </c>
      <c r="Q2307" s="9"/>
      <c r="R2307" s="18"/>
      <c r="S2307" s="18"/>
      <c r="T2307" s="18"/>
      <c r="U2307" s="18"/>
      <c r="V2307" s="18"/>
      <c r="W2307" s="15"/>
      <c r="X2307" s="15"/>
    </row>
    <row r="2308">
      <c r="A2308" s="7">
        <v>2307.0</v>
      </c>
      <c r="B2308" s="8" t="s">
        <v>9803</v>
      </c>
      <c r="C2308" s="9" t="s">
        <v>9804</v>
      </c>
      <c r="D2308" s="10" t="str">
        <f>HYPERLINK("https://facebook.com/367089020688300_514535285943672", "367089020688300_514535285943672")</f>
        <v>367089020688300_514535285943672</v>
      </c>
      <c r="E2308" s="11">
        <v>65.0</v>
      </c>
      <c r="F2308" s="11">
        <v>3.0</v>
      </c>
      <c r="G2308" s="11">
        <v>52.0</v>
      </c>
      <c r="H2308" s="9" t="s">
        <v>26</v>
      </c>
      <c r="I2308" s="9" t="s">
        <v>9805</v>
      </c>
      <c r="J2308" s="9" t="s">
        <v>9806</v>
      </c>
      <c r="K2308" s="9" t="s">
        <v>9807</v>
      </c>
      <c r="L2308" s="9" t="s">
        <v>30</v>
      </c>
      <c r="M2308" s="9" t="s">
        <v>31</v>
      </c>
      <c r="N2308" s="9" t="s">
        <v>32</v>
      </c>
      <c r="O2308" s="12" t="s">
        <v>33</v>
      </c>
      <c r="P2308" s="12" t="s">
        <v>34</v>
      </c>
      <c r="Q2308" s="9"/>
      <c r="R2308" s="18"/>
      <c r="S2308" s="18"/>
      <c r="T2308" s="18"/>
      <c r="U2308" s="18"/>
      <c r="V2308" s="18"/>
      <c r="W2308" s="15"/>
      <c r="X2308" s="15"/>
    </row>
    <row r="2309">
      <c r="A2309" s="7">
        <v>2308.0</v>
      </c>
      <c r="B2309" s="8" t="s">
        <v>9808</v>
      </c>
      <c r="C2309" s="9" t="s">
        <v>9809</v>
      </c>
      <c r="D2309" s="10" t="str">
        <f>HYPERLINK("https://facebook.com/367089020688300_547180192679181", "367089020688300_547180192679181")</f>
        <v>367089020688300_547180192679181</v>
      </c>
      <c r="E2309" s="11">
        <v>326.0</v>
      </c>
      <c r="F2309" s="11">
        <v>22.0</v>
      </c>
      <c r="G2309" s="11">
        <v>359.0</v>
      </c>
      <c r="H2309" s="9" t="s">
        <v>26</v>
      </c>
      <c r="I2309" s="9" t="s">
        <v>9810</v>
      </c>
      <c r="J2309" s="16" t="s">
        <v>9811</v>
      </c>
      <c r="K2309" s="9"/>
      <c r="L2309" s="9" t="s">
        <v>30</v>
      </c>
      <c r="M2309" s="9" t="s">
        <v>31</v>
      </c>
      <c r="N2309" s="9" t="s">
        <v>32</v>
      </c>
      <c r="O2309" s="12" t="s">
        <v>33</v>
      </c>
      <c r="P2309" s="12" t="s">
        <v>34</v>
      </c>
      <c r="Q2309" s="9"/>
      <c r="R2309" s="18"/>
      <c r="S2309" s="18"/>
      <c r="T2309" s="18"/>
      <c r="U2309" s="18"/>
      <c r="V2309" s="18"/>
      <c r="W2309" s="15"/>
      <c r="X2309" s="15"/>
    </row>
    <row r="2310">
      <c r="A2310" s="7">
        <v>2309.0</v>
      </c>
      <c r="B2310" s="8" t="s">
        <v>9812</v>
      </c>
      <c r="C2310" s="9" t="s">
        <v>9813</v>
      </c>
      <c r="D2310" s="10" t="str">
        <f>HYPERLINK("https://facebook.com/367089020688300_521164175280783", "367089020688300_521164175280783")</f>
        <v>367089020688300_521164175280783</v>
      </c>
      <c r="E2310" s="11">
        <v>7.0</v>
      </c>
      <c r="F2310" s="11">
        <v>0.0</v>
      </c>
      <c r="G2310" s="11">
        <v>7.0</v>
      </c>
      <c r="H2310" s="9" t="s">
        <v>26</v>
      </c>
      <c r="I2310" s="9" t="s">
        <v>3926</v>
      </c>
      <c r="J2310" s="16" t="s">
        <v>3927</v>
      </c>
      <c r="K2310" s="9"/>
      <c r="L2310" s="9" t="s">
        <v>30</v>
      </c>
      <c r="M2310" s="9" t="s">
        <v>31</v>
      </c>
      <c r="N2310" s="9" t="s">
        <v>32</v>
      </c>
      <c r="O2310" s="12" t="s">
        <v>33</v>
      </c>
      <c r="P2310" s="12" t="s">
        <v>34</v>
      </c>
      <c r="Q2310" s="9"/>
      <c r="R2310" s="18"/>
      <c r="S2310" s="18"/>
      <c r="T2310" s="18"/>
      <c r="U2310" s="18"/>
      <c r="V2310" s="18"/>
      <c r="W2310" s="15"/>
      <c r="X2310" s="15"/>
    </row>
    <row r="2311">
      <c r="A2311" s="7">
        <v>2310.0</v>
      </c>
      <c r="B2311" s="8" t="s">
        <v>9814</v>
      </c>
      <c r="C2311" s="9" t="s">
        <v>9815</v>
      </c>
      <c r="D2311" s="10" t="str">
        <f>HYPERLINK("https://facebook.com/367089020688300_478095546254313", "367089020688300_478095546254313")</f>
        <v>367089020688300_478095546254313</v>
      </c>
      <c r="E2311" s="11">
        <v>582.0</v>
      </c>
      <c r="F2311" s="11">
        <v>19.0</v>
      </c>
      <c r="G2311" s="11">
        <v>511.0</v>
      </c>
      <c r="H2311" s="9" t="s">
        <v>26</v>
      </c>
      <c r="I2311" s="9" t="s">
        <v>9816</v>
      </c>
      <c r="J2311" s="9" t="s">
        <v>9817</v>
      </c>
      <c r="K2311" s="9" t="s">
        <v>9818</v>
      </c>
      <c r="L2311" s="9" t="s">
        <v>30</v>
      </c>
      <c r="M2311" s="9" t="s">
        <v>31</v>
      </c>
      <c r="N2311" s="9" t="s">
        <v>32</v>
      </c>
      <c r="O2311" s="12" t="s">
        <v>33</v>
      </c>
      <c r="P2311" s="12" t="s">
        <v>34</v>
      </c>
      <c r="Q2311" s="9"/>
      <c r="R2311" s="18"/>
      <c r="S2311" s="18"/>
      <c r="T2311" s="18"/>
      <c r="U2311" s="18"/>
      <c r="V2311" s="18"/>
      <c r="W2311" s="15"/>
      <c r="X2311" s="15"/>
    </row>
    <row r="2312">
      <c r="A2312" s="7">
        <v>2311.0</v>
      </c>
      <c r="B2312" s="8" t="s">
        <v>9819</v>
      </c>
      <c r="C2312" s="9" t="s">
        <v>9820</v>
      </c>
      <c r="D2312" s="10" t="str">
        <f>HYPERLINK("https://facebook.com/367089020688300_540431970020670", "367089020688300_540431970020670")</f>
        <v>367089020688300_540431970020670</v>
      </c>
      <c r="E2312" s="11">
        <v>22.0</v>
      </c>
      <c r="F2312" s="11">
        <v>0.0</v>
      </c>
      <c r="G2312" s="11">
        <v>26.0</v>
      </c>
      <c r="H2312" s="9" t="s">
        <v>26</v>
      </c>
      <c r="I2312" s="9" t="s">
        <v>9821</v>
      </c>
      <c r="J2312" s="16" t="s">
        <v>9822</v>
      </c>
      <c r="K2312" s="9"/>
      <c r="L2312" s="9" t="s">
        <v>30</v>
      </c>
      <c r="M2312" s="9" t="s">
        <v>31</v>
      </c>
      <c r="N2312" s="9" t="s">
        <v>32</v>
      </c>
      <c r="O2312" s="12" t="s">
        <v>33</v>
      </c>
      <c r="P2312" s="12" t="s">
        <v>34</v>
      </c>
      <c r="Q2312" s="9"/>
      <c r="R2312" s="18"/>
      <c r="S2312" s="18"/>
      <c r="T2312" s="18"/>
      <c r="U2312" s="18"/>
      <c r="V2312" s="18"/>
      <c r="W2312" s="15"/>
      <c r="X2312" s="15"/>
    </row>
    <row r="2313">
      <c r="A2313" s="7">
        <v>2312.0</v>
      </c>
      <c r="B2313" s="8" t="s">
        <v>9823</v>
      </c>
      <c r="C2313" s="9" t="s">
        <v>9824</v>
      </c>
      <c r="D2313" s="10" t="str">
        <f>HYPERLINK("https://facebook.com/367089020688300_557663448297522", "367089020688300_557663448297522")</f>
        <v>367089020688300_557663448297522</v>
      </c>
      <c r="E2313" s="11">
        <v>18.0</v>
      </c>
      <c r="F2313" s="11">
        <v>0.0</v>
      </c>
      <c r="G2313" s="11">
        <v>18.0</v>
      </c>
      <c r="H2313" s="9" t="s">
        <v>26</v>
      </c>
      <c r="I2313" s="9" t="s">
        <v>1173</v>
      </c>
      <c r="J2313" s="16" t="s">
        <v>5249</v>
      </c>
      <c r="K2313" s="9"/>
      <c r="L2313" s="9" t="s">
        <v>30</v>
      </c>
      <c r="M2313" s="9" t="s">
        <v>31</v>
      </c>
      <c r="N2313" s="9" t="s">
        <v>32</v>
      </c>
      <c r="O2313" s="12" t="s">
        <v>33</v>
      </c>
      <c r="P2313" s="12" t="s">
        <v>34</v>
      </c>
      <c r="Q2313" s="9"/>
      <c r="R2313" s="18"/>
      <c r="S2313" s="18"/>
      <c r="T2313" s="18"/>
      <c r="U2313" s="18"/>
      <c r="V2313" s="18"/>
      <c r="W2313" s="15"/>
      <c r="X2313" s="15"/>
    </row>
    <row r="2314">
      <c r="A2314" s="7">
        <v>2313.0</v>
      </c>
      <c r="B2314" s="8" t="s">
        <v>9825</v>
      </c>
      <c r="C2314" s="9" t="s">
        <v>9826</v>
      </c>
      <c r="D2314" s="10" t="str">
        <f>HYPERLINK("https://facebook.com/367089020688300_530918487638685", "367089020688300_530918487638685")</f>
        <v>367089020688300_530918487638685</v>
      </c>
      <c r="E2314" s="11">
        <v>1039.0</v>
      </c>
      <c r="F2314" s="11">
        <v>24.0</v>
      </c>
      <c r="G2314" s="11">
        <v>364.0</v>
      </c>
      <c r="H2314" s="9" t="s">
        <v>26</v>
      </c>
      <c r="I2314" s="9" t="s">
        <v>1173</v>
      </c>
      <c r="J2314" s="16" t="s">
        <v>9827</v>
      </c>
      <c r="K2314" s="9"/>
      <c r="L2314" s="9" t="s">
        <v>30</v>
      </c>
      <c r="M2314" s="9" t="s">
        <v>31</v>
      </c>
      <c r="N2314" s="9" t="s">
        <v>32</v>
      </c>
      <c r="O2314" s="12" t="s">
        <v>33</v>
      </c>
      <c r="P2314" s="12" t="s">
        <v>34</v>
      </c>
      <c r="Q2314" s="9"/>
      <c r="R2314" s="18"/>
      <c r="S2314" s="18"/>
      <c r="T2314" s="18"/>
      <c r="U2314" s="18"/>
      <c r="V2314" s="18"/>
      <c r="W2314" s="15"/>
      <c r="X2314" s="15"/>
    </row>
    <row r="2315">
      <c r="A2315" s="7">
        <v>2314.0</v>
      </c>
      <c r="B2315" s="8" t="s">
        <v>9828</v>
      </c>
      <c r="C2315" s="9" t="s">
        <v>9829</v>
      </c>
      <c r="D2315" s="10" t="str">
        <f>HYPERLINK("https://facebook.com/367089020688300_455104535220081", "367089020688300_455104535220081")</f>
        <v>367089020688300_455104535220081</v>
      </c>
      <c r="E2315" s="11">
        <v>523.0</v>
      </c>
      <c r="F2315" s="11">
        <v>13.0</v>
      </c>
      <c r="G2315" s="11">
        <v>626.0</v>
      </c>
      <c r="H2315" s="9" t="s">
        <v>26</v>
      </c>
      <c r="I2315" s="9" t="s">
        <v>9830</v>
      </c>
      <c r="J2315" s="9" t="s">
        <v>9831</v>
      </c>
      <c r="K2315" s="9" t="s">
        <v>9832</v>
      </c>
      <c r="L2315" s="9" t="s">
        <v>30</v>
      </c>
      <c r="M2315" s="9" t="s">
        <v>31</v>
      </c>
      <c r="N2315" s="9" t="s">
        <v>32</v>
      </c>
      <c r="O2315" s="12" t="s">
        <v>33</v>
      </c>
      <c r="P2315" s="12" t="s">
        <v>34</v>
      </c>
      <c r="Q2315" s="9"/>
      <c r="R2315" s="18"/>
      <c r="S2315" s="18"/>
      <c r="T2315" s="18"/>
      <c r="U2315" s="18"/>
      <c r="V2315" s="18"/>
      <c r="W2315" s="15"/>
      <c r="X2315" s="15"/>
    </row>
    <row r="2316">
      <c r="A2316" s="7">
        <v>2315.0</v>
      </c>
      <c r="B2316" s="8" t="s">
        <v>9833</v>
      </c>
      <c r="C2316" s="9" t="s">
        <v>9834</v>
      </c>
      <c r="D2316" s="10" t="str">
        <f>HYPERLINK("https://facebook.com/367089020688300_553223112074889", "367089020688300_553223112074889")</f>
        <v>367089020688300_553223112074889</v>
      </c>
      <c r="E2316" s="11">
        <v>116.0</v>
      </c>
      <c r="F2316" s="11">
        <v>1.0</v>
      </c>
      <c r="G2316" s="11">
        <v>180.0</v>
      </c>
      <c r="H2316" s="9" t="s">
        <v>26</v>
      </c>
      <c r="I2316" s="9" t="s">
        <v>9835</v>
      </c>
      <c r="J2316" s="16" t="s">
        <v>9836</v>
      </c>
      <c r="K2316" s="9"/>
      <c r="L2316" s="9" t="s">
        <v>30</v>
      </c>
      <c r="M2316" s="9" t="s">
        <v>31</v>
      </c>
      <c r="N2316" s="9" t="s">
        <v>32</v>
      </c>
      <c r="O2316" s="12" t="s">
        <v>33</v>
      </c>
      <c r="P2316" s="12" t="s">
        <v>34</v>
      </c>
      <c r="Q2316" s="9"/>
      <c r="R2316" s="18"/>
      <c r="S2316" s="18"/>
      <c r="T2316" s="18"/>
      <c r="U2316" s="18"/>
      <c r="V2316" s="18"/>
      <c r="W2316" s="15"/>
      <c r="X2316" s="15"/>
    </row>
    <row r="2317">
      <c r="A2317" s="7">
        <v>2316.0</v>
      </c>
      <c r="B2317" s="8" t="s">
        <v>9837</v>
      </c>
      <c r="C2317" s="9" t="s">
        <v>9838</v>
      </c>
      <c r="D2317" s="10" t="str">
        <f>HYPERLINK("https://facebook.com/367089020688300_537348093662391", "367089020688300_537348093662391")</f>
        <v>367089020688300_537348093662391</v>
      </c>
      <c r="E2317" s="11">
        <v>11.0</v>
      </c>
      <c r="F2317" s="11">
        <v>0.0</v>
      </c>
      <c r="G2317" s="11">
        <v>14.0</v>
      </c>
      <c r="H2317" s="9" t="s">
        <v>26</v>
      </c>
      <c r="I2317" s="9" t="s">
        <v>9839</v>
      </c>
      <c r="J2317" s="16" t="s">
        <v>9840</v>
      </c>
      <c r="K2317" s="9"/>
      <c r="L2317" s="9" t="s">
        <v>30</v>
      </c>
      <c r="M2317" s="9" t="s">
        <v>31</v>
      </c>
      <c r="N2317" s="9" t="s">
        <v>32</v>
      </c>
      <c r="O2317" s="12" t="s">
        <v>33</v>
      </c>
      <c r="P2317" s="12" t="s">
        <v>34</v>
      </c>
      <c r="Q2317" s="9"/>
      <c r="R2317" s="18"/>
      <c r="S2317" s="18"/>
      <c r="T2317" s="18"/>
      <c r="U2317" s="18"/>
      <c r="V2317" s="18"/>
      <c r="W2317" s="15"/>
      <c r="X2317" s="15"/>
    </row>
    <row r="2318">
      <c r="A2318" s="7">
        <v>2317.0</v>
      </c>
      <c r="B2318" s="8" t="s">
        <v>9841</v>
      </c>
      <c r="C2318" s="9" t="s">
        <v>9842</v>
      </c>
      <c r="D2318" s="10" t="str">
        <f>HYPERLINK("https://facebook.com/367089020688300_537507770313090", "367089020688300_537507770313090")</f>
        <v>367089020688300_537507770313090</v>
      </c>
      <c r="E2318" s="11">
        <v>154.0</v>
      </c>
      <c r="F2318" s="11">
        <v>6.0</v>
      </c>
      <c r="G2318" s="11">
        <v>87.0</v>
      </c>
      <c r="H2318" s="9" t="s">
        <v>26</v>
      </c>
      <c r="I2318" s="9" t="s">
        <v>9843</v>
      </c>
      <c r="J2318" s="16" t="s">
        <v>9844</v>
      </c>
      <c r="K2318" s="9"/>
      <c r="L2318" s="9" t="s">
        <v>30</v>
      </c>
      <c r="M2318" s="9" t="s">
        <v>31</v>
      </c>
      <c r="N2318" s="9" t="s">
        <v>32</v>
      </c>
      <c r="O2318" s="12" t="s">
        <v>33</v>
      </c>
      <c r="P2318" s="12" t="s">
        <v>34</v>
      </c>
      <c r="Q2318" s="9"/>
      <c r="R2318" s="18"/>
      <c r="S2318" s="18"/>
      <c r="T2318" s="18"/>
      <c r="U2318" s="18"/>
      <c r="V2318" s="18"/>
      <c r="W2318" s="15"/>
      <c r="X2318" s="15"/>
    </row>
    <row r="2319">
      <c r="A2319" s="7">
        <v>2318.0</v>
      </c>
      <c r="B2319" s="8" t="s">
        <v>9845</v>
      </c>
      <c r="C2319" s="9" t="s">
        <v>9846</v>
      </c>
      <c r="D2319" s="10" t="str">
        <f>HYPERLINK("https://facebook.com/367089020688300_508273413236526", "367089020688300_508273413236526")</f>
        <v>367089020688300_508273413236526</v>
      </c>
      <c r="E2319" s="11">
        <v>32.0</v>
      </c>
      <c r="F2319" s="11">
        <v>2.0</v>
      </c>
      <c r="G2319" s="11">
        <v>61.0</v>
      </c>
      <c r="H2319" s="9" t="s">
        <v>26</v>
      </c>
      <c r="I2319" s="9" t="s">
        <v>9847</v>
      </c>
      <c r="J2319" s="9" t="s">
        <v>9848</v>
      </c>
      <c r="K2319" s="9" t="s">
        <v>1749</v>
      </c>
      <c r="L2319" s="9" t="s">
        <v>30</v>
      </c>
      <c r="M2319" s="9" t="s">
        <v>31</v>
      </c>
      <c r="N2319" s="9" t="s">
        <v>32</v>
      </c>
      <c r="O2319" s="12" t="s">
        <v>33</v>
      </c>
      <c r="P2319" s="12" t="s">
        <v>34</v>
      </c>
      <c r="Q2319" s="9"/>
      <c r="R2319" s="18"/>
      <c r="S2319" s="18"/>
      <c r="T2319" s="18"/>
      <c r="U2319" s="18"/>
      <c r="V2319" s="18"/>
      <c r="W2319" s="15"/>
      <c r="X2319" s="15"/>
    </row>
    <row r="2320">
      <c r="A2320" s="7">
        <v>2319.0</v>
      </c>
      <c r="B2320" s="8" t="s">
        <v>9849</v>
      </c>
      <c r="C2320" s="9" t="s">
        <v>9850</v>
      </c>
      <c r="D2320" s="10" t="str">
        <f>HYPERLINK("https://facebook.com/367089020688300_377801029617099", "367089020688300_377801029617099")</f>
        <v>367089020688300_377801029617099</v>
      </c>
      <c r="E2320" s="11">
        <v>266.0</v>
      </c>
      <c r="F2320" s="11">
        <v>6.0</v>
      </c>
      <c r="G2320" s="11">
        <v>261.0</v>
      </c>
      <c r="H2320" s="9" t="s">
        <v>26</v>
      </c>
      <c r="I2320" s="9" t="s">
        <v>9851</v>
      </c>
      <c r="J2320" s="9" t="s">
        <v>9852</v>
      </c>
      <c r="K2320" s="9" t="s">
        <v>9853</v>
      </c>
      <c r="L2320" s="9" t="s">
        <v>30</v>
      </c>
      <c r="M2320" s="9" t="s">
        <v>31</v>
      </c>
      <c r="N2320" s="9" t="s">
        <v>32</v>
      </c>
      <c r="O2320" s="12" t="s">
        <v>33</v>
      </c>
      <c r="P2320" s="12" t="s">
        <v>34</v>
      </c>
      <c r="Q2320" s="9"/>
      <c r="R2320" s="18"/>
      <c r="S2320" s="18"/>
      <c r="T2320" s="18"/>
      <c r="U2320" s="18"/>
      <c r="V2320" s="18"/>
      <c r="W2320" s="15"/>
      <c r="X2320" s="15"/>
    </row>
    <row r="2321">
      <c r="A2321" s="7">
        <v>2320.0</v>
      </c>
      <c r="B2321" s="8" t="s">
        <v>9854</v>
      </c>
      <c r="C2321" s="9" t="s">
        <v>9855</v>
      </c>
      <c r="D2321" s="10" t="str">
        <f>HYPERLINK("https://facebook.com/367089020688300_555091628554704", "367089020688300_555091628554704")</f>
        <v>367089020688300_555091628554704</v>
      </c>
      <c r="E2321" s="11">
        <v>34.0</v>
      </c>
      <c r="F2321" s="11">
        <v>0.0</v>
      </c>
      <c r="G2321" s="11">
        <v>26.0</v>
      </c>
      <c r="H2321" s="9" t="s">
        <v>26</v>
      </c>
      <c r="I2321" s="9" t="s">
        <v>7509</v>
      </c>
      <c r="J2321" s="9" t="s">
        <v>9856</v>
      </c>
      <c r="K2321" s="9" t="s">
        <v>9857</v>
      </c>
      <c r="L2321" s="9" t="s">
        <v>30</v>
      </c>
      <c r="M2321" s="9" t="s">
        <v>31</v>
      </c>
      <c r="N2321" s="9" t="s">
        <v>32</v>
      </c>
      <c r="O2321" s="12" t="s">
        <v>33</v>
      </c>
      <c r="P2321" s="12" t="s">
        <v>34</v>
      </c>
      <c r="Q2321" s="9"/>
      <c r="R2321" s="18"/>
      <c r="S2321" s="18"/>
      <c r="T2321" s="18"/>
      <c r="U2321" s="18"/>
      <c r="V2321" s="18"/>
      <c r="W2321" s="15"/>
      <c r="X2321" s="15"/>
    </row>
    <row r="2322">
      <c r="A2322" s="7">
        <v>2321.0</v>
      </c>
      <c r="B2322" s="8" t="s">
        <v>9858</v>
      </c>
      <c r="C2322" s="9" t="s">
        <v>9859</v>
      </c>
      <c r="D2322" s="10" t="str">
        <f>HYPERLINK("https://facebook.com/367089020688300_519523195444881", "367089020688300_519523195444881")</f>
        <v>367089020688300_519523195444881</v>
      </c>
      <c r="E2322" s="11">
        <v>205.0</v>
      </c>
      <c r="F2322" s="11">
        <v>2.0</v>
      </c>
      <c r="G2322" s="11">
        <v>229.0</v>
      </c>
      <c r="H2322" s="9" t="s">
        <v>26</v>
      </c>
      <c r="I2322" s="9" t="s">
        <v>9860</v>
      </c>
      <c r="J2322" s="9" t="s">
        <v>9861</v>
      </c>
      <c r="K2322" s="9" t="s">
        <v>9862</v>
      </c>
      <c r="L2322" s="9" t="s">
        <v>30</v>
      </c>
      <c r="M2322" s="9" t="s">
        <v>31</v>
      </c>
      <c r="N2322" s="9" t="s">
        <v>32</v>
      </c>
      <c r="O2322" s="12" t="s">
        <v>33</v>
      </c>
      <c r="P2322" s="12" t="s">
        <v>34</v>
      </c>
      <c r="Q2322" s="9"/>
      <c r="R2322" s="18"/>
      <c r="S2322" s="18"/>
      <c r="T2322" s="18"/>
      <c r="U2322" s="18"/>
      <c r="V2322" s="18"/>
      <c r="W2322" s="15"/>
      <c r="X2322" s="15"/>
    </row>
    <row r="2323">
      <c r="A2323" s="7">
        <v>2322.0</v>
      </c>
      <c r="B2323" s="8" t="s">
        <v>9863</v>
      </c>
      <c r="C2323" s="9" t="s">
        <v>9864</v>
      </c>
      <c r="D2323" s="10" t="str">
        <f>HYPERLINK("https://facebook.com/367089020688300_536426410421226", "367089020688300_536426410421226")</f>
        <v>367089020688300_536426410421226</v>
      </c>
      <c r="E2323" s="11">
        <v>93.0</v>
      </c>
      <c r="F2323" s="11">
        <v>1.0</v>
      </c>
      <c r="G2323" s="11">
        <v>42.0</v>
      </c>
      <c r="H2323" s="9" t="s">
        <v>26</v>
      </c>
      <c r="I2323" s="9" t="s">
        <v>9865</v>
      </c>
      <c r="J2323" s="9" t="s">
        <v>9866</v>
      </c>
      <c r="K2323" s="9" t="s">
        <v>51</v>
      </c>
      <c r="L2323" s="9" t="s">
        <v>30</v>
      </c>
      <c r="M2323" s="9" t="s">
        <v>31</v>
      </c>
      <c r="N2323" s="9" t="s">
        <v>32</v>
      </c>
      <c r="O2323" s="12" t="s">
        <v>33</v>
      </c>
      <c r="P2323" s="12" t="s">
        <v>34</v>
      </c>
      <c r="Q2323" s="9"/>
      <c r="R2323" s="18"/>
      <c r="S2323" s="18"/>
      <c r="T2323" s="18"/>
      <c r="U2323" s="18"/>
      <c r="V2323" s="18"/>
      <c r="W2323" s="15"/>
      <c r="X2323" s="15"/>
    </row>
    <row r="2324">
      <c r="A2324" s="7">
        <v>2323.0</v>
      </c>
      <c r="B2324" s="8" t="s">
        <v>9867</v>
      </c>
      <c r="C2324" s="9" t="s">
        <v>9868</v>
      </c>
      <c r="D2324" s="10" t="str">
        <f>HYPERLINK("https://facebook.com/367089020688300_537178967012637", "367089020688300_537178967012637")</f>
        <v>367089020688300_537178967012637</v>
      </c>
      <c r="E2324" s="11">
        <v>33.0</v>
      </c>
      <c r="F2324" s="11">
        <v>0.0</v>
      </c>
      <c r="G2324" s="11">
        <v>8.0</v>
      </c>
      <c r="H2324" s="9" t="s">
        <v>26</v>
      </c>
      <c r="I2324" s="9" t="s">
        <v>9869</v>
      </c>
      <c r="J2324" s="16" t="s">
        <v>9870</v>
      </c>
      <c r="K2324" s="9"/>
      <c r="L2324" s="9" t="s">
        <v>30</v>
      </c>
      <c r="M2324" s="9" t="s">
        <v>31</v>
      </c>
      <c r="N2324" s="9" t="s">
        <v>32</v>
      </c>
      <c r="O2324" s="12" t="s">
        <v>33</v>
      </c>
      <c r="P2324" s="12" t="s">
        <v>34</v>
      </c>
      <c r="Q2324" s="9"/>
      <c r="R2324" s="18"/>
      <c r="S2324" s="18"/>
      <c r="T2324" s="18"/>
      <c r="U2324" s="18"/>
      <c r="V2324" s="18"/>
      <c r="W2324" s="15"/>
      <c r="X2324" s="15"/>
    </row>
    <row r="2325">
      <c r="A2325" s="7">
        <v>2324.0</v>
      </c>
      <c r="B2325" s="8" t="s">
        <v>9871</v>
      </c>
      <c r="C2325" s="9" t="s">
        <v>9872</v>
      </c>
      <c r="D2325" s="10" t="str">
        <f>HYPERLINK("https://facebook.com/367089020688300_486842575379610", "367089020688300_486842575379610")</f>
        <v>367089020688300_486842575379610</v>
      </c>
      <c r="E2325" s="11">
        <v>188.0</v>
      </c>
      <c r="F2325" s="11">
        <v>14.0</v>
      </c>
      <c r="G2325" s="11">
        <v>221.0</v>
      </c>
      <c r="H2325" s="9" t="s">
        <v>26</v>
      </c>
      <c r="I2325" s="9" t="s">
        <v>9873</v>
      </c>
      <c r="J2325" s="9" t="s">
        <v>9874</v>
      </c>
      <c r="K2325" s="9" t="s">
        <v>9875</v>
      </c>
      <c r="L2325" s="9" t="s">
        <v>30</v>
      </c>
      <c r="M2325" s="9" t="s">
        <v>31</v>
      </c>
      <c r="N2325" s="9" t="s">
        <v>32</v>
      </c>
      <c r="O2325" s="12" t="s">
        <v>33</v>
      </c>
      <c r="P2325" s="12" t="s">
        <v>34</v>
      </c>
      <c r="Q2325" s="9"/>
      <c r="R2325" s="18"/>
      <c r="S2325" s="18"/>
      <c r="T2325" s="18"/>
      <c r="U2325" s="18"/>
      <c r="V2325" s="18"/>
      <c r="W2325" s="15"/>
      <c r="X2325" s="15"/>
    </row>
    <row r="2326">
      <c r="A2326" s="7">
        <v>2325.0</v>
      </c>
      <c r="B2326" s="8" t="s">
        <v>9876</v>
      </c>
      <c r="C2326" s="9" t="s">
        <v>9877</v>
      </c>
      <c r="D2326" s="10" t="str">
        <f>HYPERLINK("https://facebook.com/367089020688300_399646210765914", "367089020688300_399646210765914")</f>
        <v>367089020688300_399646210765914</v>
      </c>
      <c r="E2326" s="11">
        <v>66.0</v>
      </c>
      <c r="F2326" s="11">
        <v>3.0</v>
      </c>
      <c r="G2326" s="11">
        <v>64.0</v>
      </c>
      <c r="H2326" s="9" t="s">
        <v>26</v>
      </c>
      <c r="I2326" s="9" t="s">
        <v>5582</v>
      </c>
      <c r="J2326" s="9" t="s">
        <v>9878</v>
      </c>
      <c r="K2326" s="9" t="s">
        <v>9879</v>
      </c>
      <c r="L2326" s="9" t="s">
        <v>30</v>
      </c>
      <c r="M2326" s="9" t="s">
        <v>31</v>
      </c>
      <c r="N2326" s="9" t="s">
        <v>32</v>
      </c>
      <c r="O2326" s="12" t="s">
        <v>33</v>
      </c>
      <c r="P2326" s="12" t="s">
        <v>34</v>
      </c>
      <c r="Q2326" s="9"/>
      <c r="R2326" s="18"/>
      <c r="S2326" s="18"/>
      <c r="T2326" s="18"/>
      <c r="U2326" s="18"/>
      <c r="V2326" s="18"/>
      <c r="W2326" s="15"/>
      <c r="X2326" s="15"/>
    </row>
    <row r="2327">
      <c r="A2327" s="7">
        <v>2326.0</v>
      </c>
      <c r="B2327" s="8" t="s">
        <v>9880</v>
      </c>
      <c r="C2327" s="9" t="s">
        <v>9881</v>
      </c>
      <c r="D2327" s="10" t="str">
        <f>HYPERLINK("https://facebook.com/367089020688300_463323551064846", "367089020688300_463323551064846")</f>
        <v>367089020688300_463323551064846</v>
      </c>
      <c r="E2327" s="11">
        <v>1128.0</v>
      </c>
      <c r="F2327" s="11">
        <v>138.0</v>
      </c>
      <c r="G2327" s="11">
        <v>1117.0</v>
      </c>
      <c r="H2327" s="9" t="s">
        <v>26</v>
      </c>
      <c r="I2327" s="9" t="s">
        <v>9882</v>
      </c>
      <c r="J2327" s="9" t="s">
        <v>9883</v>
      </c>
      <c r="K2327" s="9" t="s">
        <v>9884</v>
      </c>
      <c r="L2327" s="9" t="s">
        <v>30</v>
      </c>
      <c r="M2327" s="9" t="s">
        <v>31</v>
      </c>
      <c r="N2327" s="9" t="s">
        <v>32</v>
      </c>
      <c r="O2327" s="12" t="s">
        <v>33</v>
      </c>
      <c r="P2327" s="12" t="s">
        <v>34</v>
      </c>
      <c r="Q2327" s="9"/>
      <c r="R2327" s="18"/>
      <c r="S2327" s="18"/>
      <c r="T2327" s="18"/>
      <c r="U2327" s="18"/>
      <c r="V2327" s="18"/>
      <c r="W2327" s="15"/>
      <c r="X2327" s="15"/>
    </row>
    <row r="2328">
      <c r="A2328" s="7">
        <v>2327.0</v>
      </c>
      <c r="B2328" s="8" t="s">
        <v>9885</v>
      </c>
      <c r="C2328" s="9" t="s">
        <v>9886</v>
      </c>
      <c r="D2328" s="10" t="str">
        <f>HYPERLINK("https://facebook.com/367089020688300_558483104882223", "367089020688300_558483104882223")</f>
        <v>367089020688300_558483104882223</v>
      </c>
      <c r="E2328" s="11">
        <v>138.0</v>
      </c>
      <c r="F2328" s="11">
        <v>0.0</v>
      </c>
      <c r="G2328" s="11">
        <v>14.0</v>
      </c>
      <c r="H2328" s="9" t="s">
        <v>26</v>
      </c>
      <c r="I2328" s="9" t="s">
        <v>7706</v>
      </c>
      <c r="J2328" s="16" t="s">
        <v>9887</v>
      </c>
      <c r="K2328" s="9"/>
      <c r="L2328" s="9" t="s">
        <v>30</v>
      </c>
      <c r="M2328" s="9" t="s">
        <v>31</v>
      </c>
      <c r="N2328" s="9" t="s">
        <v>32</v>
      </c>
      <c r="O2328" s="12" t="s">
        <v>33</v>
      </c>
      <c r="P2328" s="12" t="s">
        <v>34</v>
      </c>
      <c r="Q2328" s="9"/>
      <c r="R2328" s="18"/>
      <c r="S2328" s="18"/>
      <c r="T2328" s="18"/>
      <c r="U2328" s="18"/>
      <c r="V2328" s="18"/>
      <c r="W2328" s="15"/>
      <c r="X2328" s="15"/>
    </row>
    <row r="2329">
      <c r="A2329" s="7">
        <v>2328.0</v>
      </c>
      <c r="B2329" s="8" t="s">
        <v>9888</v>
      </c>
      <c r="C2329" s="9" t="s">
        <v>9889</v>
      </c>
      <c r="D2329" s="10" t="str">
        <f>HYPERLINK("https://facebook.com/367089020688300_536719923725208", "367089020688300_536719923725208")</f>
        <v>367089020688300_536719923725208</v>
      </c>
      <c r="E2329" s="11">
        <v>78.0</v>
      </c>
      <c r="F2329" s="11">
        <v>0.0</v>
      </c>
      <c r="G2329" s="11">
        <v>40.0</v>
      </c>
      <c r="H2329" s="9" t="s">
        <v>26</v>
      </c>
      <c r="I2329" s="9" t="s">
        <v>4280</v>
      </c>
      <c r="J2329" s="16" t="s">
        <v>9890</v>
      </c>
      <c r="K2329" s="9"/>
      <c r="L2329" s="9" t="s">
        <v>30</v>
      </c>
      <c r="M2329" s="9" t="s">
        <v>31</v>
      </c>
      <c r="N2329" s="9" t="s">
        <v>32</v>
      </c>
      <c r="O2329" s="12" t="s">
        <v>33</v>
      </c>
      <c r="P2329" s="12" t="s">
        <v>34</v>
      </c>
      <c r="Q2329" s="9"/>
      <c r="R2329" s="18"/>
      <c r="S2329" s="18"/>
      <c r="T2329" s="18"/>
      <c r="U2329" s="18"/>
      <c r="V2329" s="18"/>
      <c r="W2329" s="15"/>
      <c r="X2329" s="15"/>
    </row>
    <row r="2330">
      <c r="A2330" s="7">
        <v>2329.0</v>
      </c>
      <c r="B2330" s="8" t="s">
        <v>9891</v>
      </c>
      <c r="C2330" s="9" t="s">
        <v>9892</v>
      </c>
      <c r="D2330" s="10" t="str">
        <f>HYPERLINK("https://facebook.com/367089020688300_534498350614032", "367089020688300_534498350614032")</f>
        <v>367089020688300_534498350614032</v>
      </c>
      <c r="E2330" s="11">
        <v>127.0</v>
      </c>
      <c r="F2330" s="11">
        <v>1.0</v>
      </c>
      <c r="G2330" s="11">
        <v>169.0</v>
      </c>
      <c r="H2330" s="9" t="s">
        <v>26</v>
      </c>
      <c r="I2330" s="9" t="s">
        <v>9893</v>
      </c>
      <c r="J2330" s="9" t="s">
        <v>9894</v>
      </c>
      <c r="K2330" s="9" t="s">
        <v>9895</v>
      </c>
      <c r="L2330" s="9" t="s">
        <v>30</v>
      </c>
      <c r="M2330" s="9" t="s">
        <v>31</v>
      </c>
      <c r="N2330" s="9" t="s">
        <v>32</v>
      </c>
      <c r="O2330" s="12" t="s">
        <v>33</v>
      </c>
      <c r="P2330" s="12" t="s">
        <v>34</v>
      </c>
      <c r="Q2330" s="9"/>
      <c r="R2330" s="18"/>
      <c r="S2330" s="18"/>
      <c r="T2330" s="18"/>
      <c r="U2330" s="18"/>
      <c r="V2330" s="18"/>
      <c r="W2330" s="15"/>
      <c r="X2330" s="15"/>
    </row>
    <row r="2331">
      <c r="A2331" s="7">
        <v>2330.0</v>
      </c>
      <c r="B2331" s="8" t="s">
        <v>9896</v>
      </c>
      <c r="C2331" s="9" t="s">
        <v>9897</v>
      </c>
      <c r="D2331" s="10" t="str">
        <f>HYPERLINK("https://facebook.com/367089020688300_546334549430412", "367089020688300_546334549430412")</f>
        <v>367089020688300_546334549430412</v>
      </c>
      <c r="E2331" s="11">
        <v>434.0</v>
      </c>
      <c r="F2331" s="11">
        <v>8.0</v>
      </c>
      <c r="G2331" s="11">
        <v>697.0</v>
      </c>
      <c r="H2331" s="9" t="s">
        <v>26</v>
      </c>
      <c r="I2331" s="9" t="s">
        <v>9898</v>
      </c>
      <c r="J2331" s="16" t="s">
        <v>9899</v>
      </c>
      <c r="K2331" s="9"/>
      <c r="L2331" s="9" t="s">
        <v>30</v>
      </c>
      <c r="M2331" s="9" t="s">
        <v>31</v>
      </c>
      <c r="N2331" s="9" t="s">
        <v>32</v>
      </c>
      <c r="O2331" s="12" t="s">
        <v>33</v>
      </c>
      <c r="P2331" s="12" t="s">
        <v>34</v>
      </c>
      <c r="Q2331" s="9"/>
      <c r="R2331" s="18"/>
      <c r="S2331" s="18"/>
      <c r="T2331" s="18"/>
      <c r="U2331" s="18"/>
      <c r="V2331" s="18"/>
      <c r="W2331" s="15"/>
      <c r="X2331" s="15"/>
    </row>
    <row r="2332">
      <c r="A2332" s="7">
        <v>2331.0</v>
      </c>
      <c r="B2332" s="8" t="s">
        <v>9900</v>
      </c>
      <c r="C2332" s="9" t="s">
        <v>9901</v>
      </c>
      <c r="D2332" s="10" t="str">
        <f>HYPERLINK("https://facebook.com/367089020688300_516641972399670", "367089020688300_516641972399670")</f>
        <v>367089020688300_516641972399670</v>
      </c>
      <c r="E2332" s="11">
        <v>1131.0</v>
      </c>
      <c r="F2332" s="11">
        <v>227.0</v>
      </c>
      <c r="G2332" s="11">
        <v>325.0</v>
      </c>
      <c r="H2332" s="9" t="s">
        <v>26</v>
      </c>
      <c r="I2332" s="9" t="s">
        <v>9902</v>
      </c>
      <c r="J2332" s="16" t="s">
        <v>9903</v>
      </c>
      <c r="K2332" s="9"/>
      <c r="L2332" s="9" t="s">
        <v>30</v>
      </c>
      <c r="M2332" s="9" t="s">
        <v>31</v>
      </c>
      <c r="N2332" s="9" t="s">
        <v>32</v>
      </c>
      <c r="O2332" s="12" t="s">
        <v>33</v>
      </c>
      <c r="P2332" s="12" t="s">
        <v>34</v>
      </c>
      <c r="Q2332" s="9"/>
      <c r="R2332" s="18"/>
      <c r="S2332" s="18"/>
      <c r="T2332" s="18"/>
      <c r="U2332" s="18"/>
      <c r="V2332" s="18"/>
      <c r="W2332" s="15"/>
      <c r="X2332" s="15"/>
    </row>
    <row r="2333">
      <c r="A2333" s="7">
        <v>2332.0</v>
      </c>
      <c r="B2333" s="8" t="s">
        <v>9904</v>
      </c>
      <c r="C2333" s="9" t="s">
        <v>9905</v>
      </c>
      <c r="D2333" s="10" t="str">
        <f>HYPERLINK("https://facebook.com/367089020688300_547780572619143", "367089020688300_547780572619143")</f>
        <v>367089020688300_547780572619143</v>
      </c>
      <c r="E2333" s="11">
        <v>6.0</v>
      </c>
      <c r="F2333" s="11">
        <v>0.0</v>
      </c>
      <c r="G2333" s="11">
        <v>0.0</v>
      </c>
      <c r="H2333" s="9" t="s">
        <v>26</v>
      </c>
      <c r="I2333" s="9" t="s">
        <v>9906</v>
      </c>
      <c r="J2333" s="9" t="s">
        <v>9907</v>
      </c>
      <c r="K2333" s="9" t="s">
        <v>1530</v>
      </c>
      <c r="L2333" s="9" t="s">
        <v>30</v>
      </c>
      <c r="M2333" s="9" t="s">
        <v>31</v>
      </c>
      <c r="N2333" s="9" t="s">
        <v>32</v>
      </c>
      <c r="O2333" s="12" t="s">
        <v>33</v>
      </c>
      <c r="P2333" s="12" t="s">
        <v>34</v>
      </c>
      <c r="Q2333" s="9"/>
      <c r="R2333" s="18"/>
      <c r="S2333" s="18"/>
      <c r="T2333" s="18"/>
      <c r="U2333" s="18"/>
      <c r="V2333" s="18"/>
      <c r="W2333" s="15"/>
      <c r="X2333" s="15"/>
    </row>
    <row r="2334">
      <c r="A2334" s="7">
        <v>2333.0</v>
      </c>
      <c r="B2334" s="8" t="s">
        <v>9908</v>
      </c>
      <c r="C2334" s="9" t="s">
        <v>9909</v>
      </c>
      <c r="D2334" s="10" t="str">
        <f>HYPERLINK("https://facebook.com/367089020688300_545831116147422", "367089020688300_545831116147422")</f>
        <v>367089020688300_545831116147422</v>
      </c>
      <c r="E2334" s="11">
        <v>498.0</v>
      </c>
      <c r="F2334" s="11">
        <v>5.0</v>
      </c>
      <c r="G2334" s="11">
        <v>267.0</v>
      </c>
      <c r="H2334" s="9" t="s">
        <v>26</v>
      </c>
      <c r="I2334" s="9" t="s">
        <v>3853</v>
      </c>
      <c r="J2334" s="16" t="s">
        <v>9910</v>
      </c>
      <c r="K2334" s="9"/>
      <c r="L2334" s="9" t="s">
        <v>30</v>
      </c>
      <c r="M2334" s="9" t="s">
        <v>31</v>
      </c>
      <c r="N2334" s="9" t="s">
        <v>32</v>
      </c>
      <c r="O2334" s="12" t="s">
        <v>33</v>
      </c>
      <c r="P2334" s="12" t="s">
        <v>34</v>
      </c>
      <c r="Q2334" s="9"/>
      <c r="R2334" s="18"/>
      <c r="S2334" s="18"/>
      <c r="T2334" s="18"/>
      <c r="U2334" s="18"/>
      <c r="V2334" s="18"/>
      <c r="W2334" s="15"/>
      <c r="X2334" s="15"/>
    </row>
    <row r="2335">
      <c r="A2335" s="7">
        <v>2334.0</v>
      </c>
      <c r="B2335" s="8" t="s">
        <v>9911</v>
      </c>
      <c r="C2335" s="9" t="s">
        <v>9912</v>
      </c>
      <c r="D2335" s="10" t="str">
        <f>HYPERLINK("https://facebook.com/367089020688300_499214754142392", "367089020688300_499214754142392")</f>
        <v>367089020688300_499214754142392</v>
      </c>
      <c r="E2335" s="11">
        <v>112.0</v>
      </c>
      <c r="F2335" s="11">
        <v>2.0</v>
      </c>
      <c r="G2335" s="11">
        <v>35.0</v>
      </c>
      <c r="H2335" s="9" t="s">
        <v>26</v>
      </c>
      <c r="I2335" s="9" t="s">
        <v>9913</v>
      </c>
      <c r="J2335" s="9" t="s">
        <v>9914</v>
      </c>
      <c r="K2335" s="9" t="s">
        <v>9915</v>
      </c>
      <c r="L2335" s="9" t="s">
        <v>30</v>
      </c>
      <c r="M2335" s="9" t="s">
        <v>31</v>
      </c>
      <c r="N2335" s="9" t="s">
        <v>32</v>
      </c>
      <c r="O2335" s="12" t="s">
        <v>33</v>
      </c>
      <c r="P2335" s="12" t="s">
        <v>34</v>
      </c>
      <c r="Q2335" s="9"/>
      <c r="R2335" s="18"/>
      <c r="S2335" s="18"/>
      <c r="T2335" s="18"/>
      <c r="U2335" s="18"/>
      <c r="V2335" s="18"/>
      <c r="W2335" s="15"/>
      <c r="X2335" s="15"/>
    </row>
    <row r="2336">
      <c r="A2336" s="7">
        <v>2335.0</v>
      </c>
      <c r="B2336" s="8" t="s">
        <v>9916</v>
      </c>
      <c r="C2336" s="9" t="s">
        <v>9917</v>
      </c>
      <c r="D2336" s="10" t="str">
        <f>HYPERLINK("https://facebook.com/367089020688300_562487477815119", "367089020688300_562487477815119")</f>
        <v>367089020688300_562487477815119</v>
      </c>
      <c r="E2336" s="11">
        <v>67.0</v>
      </c>
      <c r="F2336" s="11">
        <v>1.0</v>
      </c>
      <c r="G2336" s="11">
        <v>100.0</v>
      </c>
      <c r="H2336" s="9" t="s">
        <v>26</v>
      </c>
      <c r="I2336" s="9" t="s">
        <v>9918</v>
      </c>
      <c r="J2336" s="16" t="s">
        <v>9919</v>
      </c>
      <c r="K2336" s="9"/>
      <c r="L2336" s="9" t="s">
        <v>30</v>
      </c>
      <c r="M2336" s="9" t="s">
        <v>31</v>
      </c>
      <c r="N2336" s="9" t="s">
        <v>32</v>
      </c>
      <c r="O2336" s="12" t="s">
        <v>33</v>
      </c>
      <c r="P2336" s="12" t="s">
        <v>34</v>
      </c>
      <c r="Q2336" s="9"/>
      <c r="R2336" s="18"/>
      <c r="S2336" s="18"/>
      <c r="T2336" s="18"/>
      <c r="U2336" s="18"/>
      <c r="V2336" s="18"/>
      <c r="W2336" s="15"/>
      <c r="X2336" s="15"/>
    </row>
    <row r="2337">
      <c r="A2337" s="7">
        <v>2336.0</v>
      </c>
      <c r="B2337" s="8" t="s">
        <v>9920</v>
      </c>
      <c r="C2337" s="9" t="s">
        <v>9921</v>
      </c>
      <c r="D2337" s="10" t="str">
        <f>HYPERLINK("https://facebook.com/367089020688300_522873611776506", "367089020688300_522873611776506")</f>
        <v>367089020688300_522873611776506</v>
      </c>
      <c r="E2337" s="11">
        <v>19.0</v>
      </c>
      <c r="F2337" s="11">
        <v>0.0</v>
      </c>
      <c r="G2337" s="11">
        <v>54.0</v>
      </c>
      <c r="H2337" s="9" t="s">
        <v>26</v>
      </c>
      <c r="I2337" s="9" t="s">
        <v>474</v>
      </c>
      <c r="J2337" s="9" t="s">
        <v>475</v>
      </c>
      <c r="K2337" s="9" t="s">
        <v>9922</v>
      </c>
      <c r="L2337" s="9" t="s">
        <v>30</v>
      </c>
      <c r="M2337" s="9" t="s">
        <v>31</v>
      </c>
      <c r="N2337" s="9" t="s">
        <v>32</v>
      </c>
      <c r="O2337" s="12" t="s">
        <v>33</v>
      </c>
      <c r="P2337" s="12" t="s">
        <v>34</v>
      </c>
      <c r="Q2337" s="9"/>
      <c r="R2337" s="18"/>
      <c r="S2337" s="18"/>
      <c r="T2337" s="18"/>
      <c r="U2337" s="18"/>
      <c r="V2337" s="18"/>
      <c r="W2337" s="15"/>
      <c r="X2337" s="15"/>
    </row>
    <row r="2338">
      <c r="A2338" s="7">
        <v>2337.0</v>
      </c>
      <c r="B2338" s="8" t="s">
        <v>9923</v>
      </c>
      <c r="C2338" s="9" t="s">
        <v>9924</v>
      </c>
      <c r="D2338" s="10" t="str">
        <f>HYPERLINK("https://facebook.com/367089020688300_558523561544844", "367089020688300_558523561544844")</f>
        <v>367089020688300_558523561544844</v>
      </c>
      <c r="E2338" s="11">
        <v>2.0</v>
      </c>
      <c r="F2338" s="11">
        <v>0.0</v>
      </c>
      <c r="G2338" s="11">
        <v>0.0</v>
      </c>
      <c r="H2338" s="9" t="s">
        <v>26</v>
      </c>
      <c r="I2338" s="9" t="s">
        <v>9925</v>
      </c>
      <c r="J2338" s="9" t="s">
        <v>9926</v>
      </c>
      <c r="K2338" s="9" t="s">
        <v>9927</v>
      </c>
      <c r="L2338" s="9" t="s">
        <v>30</v>
      </c>
      <c r="M2338" s="9" t="s">
        <v>31</v>
      </c>
      <c r="N2338" s="9" t="s">
        <v>32</v>
      </c>
      <c r="O2338" s="12" t="s">
        <v>33</v>
      </c>
      <c r="P2338" s="12" t="s">
        <v>34</v>
      </c>
      <c r="Q2338" s="9"/>
      <c r="R2338" s="18"/>
      <c r="S2338" s="18"/>
      <c r="T2338" s="18"/>
      <c r="U2338" s="18"/>
      <c r="V2338" s="18"/>
      <c r="W2338" s="15"/>
      <c r="X2338" s="15"/>
    </row>
    <row r="2339">
      <c r="A2339" s="7">
        <v>2338.0</v>
      </c>
      <c r="B2339" s="8" t="s">
        <v>9928</v>
      </c>
      <c r="C2339" s="9" t="s">
        <v>9929</v>
      </c>
      <c r="D2339" s="10" t="str">
        <f>HYPERLINK("https://facebook.com/367089020688300_549831925747341", "367089020688300_549831925747341")</f>
        <v>367089020688300_549831925747341</v>
      </c>
      <c r="E2339" s="11">
        <v>59.0</v>
      </c>
      <c r="F2339" s="11">
        <v>1.0</v>
      </c>
      <c r="G2339" s="11">
        <v>38.0</v>
      </c>
      <c r="H2339" s="9" t="s">
        <v>26</v>
      </c>
      <c r="I2339" s="9" t="s">
        <v>9310</v>
      </c>
      <c r="J2339" s="9" t="s">
        <v>9930</v>
      </c>
      <c r="K2339" s="9" t="s">
        <v>9931</v>
      </c>
      <c r="L2339" s="9" t="s">
        <v>30</v>
      </c>
      <c r="M2339" s="9" t="s">
        <v>31</v>
      </c>
      <c r="N2339" s="9" t="s">
        <v>32</v>
      </c>
      <c r="O2339" s="12" t="s">
        <v>33</v>
      </c>
      <c r="P2339" s="12" t="s">
        <v>34</v>
      </c>
      <c r="Q2339" s="9"/>
      <c r="R2339" s="18"/>
      <c r="S2339" s="18"/>
      <c r="T2339" s="18"/>
      <c r="U2339" s="18"/>
      <c r="V2339" s="18"/>
      <c r="W2339" s="15"/>
      <c r="X2339" s="15"/>
    </row>
    <row r="2340">
      <c r="A2340" s="7">
        <v>2339.0</v>
      </c>
      <c r="B2340" s="8" t="s">
        <v>9932</v>
      </c>
      <c r="C2340" s="9" t="s">
        <v>9933</v>
      </c>
      <c r="D2340" s="10" t="str">
        <f>HYPERLINK("https://facebook.com/367089020688300_500580814005786", "367089020688300_500580814005786")</f>
        <v>367089020688300_500580814005786</v>
      </c>
      <c r="E2340" s="11">
        <v>309.0</v>
      </c>
      <c r="F2340" s="11">
        <v>6.0</v>
      </c>
      <c r="G2340" s="11">
        <v>225.0</v>
      </c>
      <c r="H2340" s="9" t="s">
        <v>26</v>
      </c>
      <c r="I2340" s="9" t="s">
        <v>9934</v>
      </c>
      <c r="J2340" s="9" t="s">
        <v>9935</v>
      </c>
      <c r="K2340" s="9" t="s">
        <v>9936</v>
      </c>
      <c r="L2340" s="9" t="s">
        <v>30</v>
      </c>
      <c r="M2340" s="9" t="s">
        <v>31</v>
      </c>
      <c r="N2340" s="9" t="s">
        <v>32</v>
      </c>
      <c r="O2340" s="12" t="s">
        <v>33</v>
      </c>
      <c r="P2340" s="12" t="s">
        <v>34</v>
      </c>
      <c r="Q2340" s="9"/>
      <c r="R2340" s="18"/>
      <c r="S2340" s="18"/>
      <c r="T2340" s="18"/>
      <c r="U2340" s="18"/>
      <c r="V2340" s="18"/>
      <c r="W2340" s="15"/>
      <c r="X2340" s="15"/>
    </row>
    <row r="2341">
      <c r="A2341" s="7">
        <v>2340.0</v>
      </c>
      <c r="B2341" s="8" t="s">
        <v>9937</v>
      </c>
      <c r="C2341" s="9" t="s">
        <v>9938</v>
      </c>
      <c r="D2341" s="10" t="str">
        <f>HYPERLINK("https://facebook.com/367089020688300_556064668457400", "367089020688300_556064668457400")</f>
        <v>367089020688300_556064668457400</v>
      </c>
      <c r="E2341" s="11">
        <v>62.0</v>
      </c>
      <c r="F2341" s="11">
        <v>0.0</v>
      </c>
      <c r="G2341" s="11">
        <v>53.0</v>
      </c>
      <c r="H2341" s="9" t="s">
        <v>26</v>
      </c>
      <c r="I2341" s="9" t="s">
        <v>9939</v>
      </c>
      <c r="J2341" s="9" t="s">
        <v>9940</v>
      </c>
      <c r="K2341" s="9" t="s">
        <v>9941</v>
      </c>
      <c r="L2341" s="9" t="s">
        <v>30</v>
      </c>
      <c r="M2341" s="9" t="s">
        <v>31</v>
      </c>
      <c r="N2341" s="9" t="s">
        <v>32</v>
      </c>
      <c r="O2341" s="12" t="s">
        <v>33</v>
      </c>
      <c r="P2341" s="12" t="s">
        <v>34</v>
      </c>
      <c r="Q2341" s="9"/>
      <c r="R2341" s="18"/>
      <c r="S2341" s="18"/>
      <c r="T2341" s="18"/>
      <c r="U2341" s="18"/>
      <c r="V2341" s="18"/>
      <c r="W2341" s="15"/>
      <c r="X2341" s="15"/>
    </row>
    <row r="2342">
      <c r="A2342" s="7">
        <v>2341.0</v>
      </c>
      <c r="B2342" s="8" t="s">
        <v>9942</v>
      </c>
      <c r="C2342" s="9" t="s">
        <v>9943</v>
      </c>
      <c r="D2342" s="10" t="str">
        <f>HYPERLINK("https://facebook.com/367089020688300_552693822127818", "367089020688300_552693822127818")</f>
        <v>367089020688300_552693822127818</v>
      </c>
      <c r="E2342" s="11">
        <v>73.0</v>
      </c>
      <c r="F2342" s="11">
        <v>1.0</v>
      </c>
      <c r="G2342" s="11">
        <v>26.0</v>
      </c>
      <c r="H2342" s="9" t="s">
        <v>26</v>
      </c>
      <c r="I2342" s="9" t="s">
        <v>2260</v>
      </c>
      <c r="J2342" s="9" t="s">
        <v>2261</v>
      </c>
      <c r="K2342" s="9" t="s">
        <v>920</v>
      </c>
      <c r="L2342" s="9" t="s">
        <v>30</v>
      </c>
      <c r="M2342" s="9" t="s">
        <v>31</v>
      </c>
      <c r="N2342" s="9" t="s">
        <v>32</v>
      </c>
      <c r="O2342" s="12" t="s">
        <v>33</v>
      </c>
      <c r="P2342" s="12" t="s">
        <v>34</v>
      </c>
      <c r="Q2342" s="9"/>
      <c r="R2342" s="18"/>
      <c r="S2342" s="18"/>
      <c r="T2342" s="18"/>
      <c r="U2342" s="18"/>
      <c r="V2342" s="18"/>
      <c r="W2342" s="15"/>
      <c r="X2342" s="15"/>
    </row>
    <row r="2343">
      <c r="A2343" s="7">
        <v>2342.0</v>
      </c>
      <c r="B2343" s="8" t="s">
        <v>9944</v>
      </c>
      <c r="C2343" s="9" t="s">
        <v>9945</v>
      </c>
      <c r="D2343" s="10" t="str">
        <f>HYPERLINK("https://facebook.com/367089020688300_502322267164974", "367089020688300_502322267164974")</f>
        <v>367089020688300_502322267164974</v>
      </c>
      <c r="E2343" s="11">
        <v>61.0</v>
      </c>
      <c r="F2343" s="11">
        <v>1.0</v>
      </c>
      <c r="G2343" s="11">
        <v>129.0</v>
      </c>
      <c r="H2343" s="9" t="s">
        <v>26</v>
      </c>
      <c r="I2343" s="9" t="s">
        <v>9132</v>
      </c>
      <c r="J2343" s="9" t="s">
        <v>9946</v>
      </c>
      <c r="K2343" s="9" t="s">
        <v>9947</v>
      </c>
      <c r="L2343" s="9" t="s">
        <v>30</v>
      </c>
      <c r="M2343" s="9" t="s">
        <v>31</v>
      </c>
      <c r="N2343" s="9" t="s">
        <v>32</v>
      </c>
      <c r="O2343" s="12" t="s">
        <v>33</v>
      </c>
      <c r="P2343" s="12" t="s">
        <v>34</v>
      </c>
      <c r="Q2343" s="9"/>
      <c r="R2343" s="18"/>
      <c r="S2343" s="18"/>
      <c r="T2343" s="18"/>
      <c r="U2343" s="18"/>
      <c r="V2343" s="18"/>
      <c r="W2343" s="15"/>
      <c r="X2343" s="15"/>
    </row>
    <row r="2344">
      <c r="A2344" s="7">
        <v>2343.0</v>
      </c>
      <c r="B2344" s="8" t="s">
        <v>9948</v>
      </c>
      <c r="C2344" s="9" t="s">
        <v>9949</v>
      </c>
      <c r="D2344" s="10" t="str">
        <f>HYPERLINK("https://facebook.com/367089020688300_546422562754944", "367089020688300_546422562754944")</f>
        <v>367089020688300_546422562754944</v>
      </c>
      <c r="E2344" s="11">
        <v>7.0</v>
      </c>
      <c r="F2344" s="11">
        <v>0.0</v>
      </c>
      <c r="G2344" s="11">
        <v>3.0</v>
      </c>
      <c r="H2344" s="9" t="s">
        <v>26</v>
      </c>
      <c r="I2344" s="9" t="s">
        <v>6530</v>
      </c>
      <c r="J2344" s="9" t="s">
        <v>9950</v>
      </c>
      <c r="K2344" s="9" t="s">
        <v>51</v>
      </c>
      <c r="L2344" s="9" t="s">
        <v>30</v>
      </c>
      <c r="M2344" s="9" t="s">
        <v>31</v>
      </c>
      <c r="N2344" s="9" t="s">
        <v>32</v>
      </c>
      <c r="O2344" s="12" t="s">
        <v>33</v>
      </c>
      <c r="P2344" s="12" t="s">
        <v>34</v>
      </c>
      <c r="Q2344" s="9"/>
      <c r="R2344" s="18"/>
      <c r="S2344" s="18"/>
      <c r="T2344" s="18"/>
      <c r="U2344" s="18"/>
      <c r="V2344" s="18"/>
      <c r="W2344" s="15"/>
      <c r="X2344" s="15"/>
    </row>
    <row r="2345">
      <c r="A2345" s="7">
        <v>2344.0</v>
      </c>
      <c r="B2345" s="8" t="s">
        <v>9951</v>
      </c>
      <c r="C2345" s="9" t="s">
        <v>9952</v>
      </c>
      <c r="D2345" s="10" t="str">
        <f>HYPERLINK("https://facebook.com/367089020688300_427432144653987", "367089020688300_427432144653987")</f>
        <v>367089020688300_427432144653987</v>
      </c>
      <c r="E2345" s="11">
        <v>100.0</v>
      </c>
      <c r="F2345" s="11">
        <v>3.0</v>
      </c>
      <c r="G2345" s="11">
        <v>120.0</v>
      </c>
      <c r="H2345" s="9" t="s">
        <v>26</v>
      </c>
      <c r="I2345" s="9" t="s">
        <v>9953</v>
      </c>
      <c r="J2345" s="9" t="s">
        <v>9954</v>
      </c>
      <c r="K2345" s="9" t="s">
        <v>9955</v>
      </c>
      <c r="L2345" s="9" t="s">
        <v>30</v>
      </c>
      <c r="M2345" s="9" t="s">
        <v>31</v>
      </c>
      <c r="N2345" s="9" t="s">
        <v>32</v>
      </c>
      <c r="O2345" s="12" t="s">
        <v>33</v>
      </c>
      <c r="P2345" s="12" t="s">
        <v>34</v>
      </c>
      <c r="Q2345" s="9"/>
      <c r="R2345" s="18"/>
      <c r="S2345" s="18"/>
      <c r="T2345" s="18"/>
      <c r="U2345" s="18"/>
      <c r="V2345" s="18"/>
      <c r="W2345" s="15"/>
      <c r="X2345" s="15"/>
    </row>
    <row r="2346">
      <c r="A2346" s="7">
        <v>2345.0</v>
      </c>
      <c r="B2346" s="8" t="s">
        <v>9956</v>
      </c>
      <c r="C2346" s="9" t="s">
        <v>9957</v>
      </c>
      <c r="D2346" s="10" t="str">
        <f>HYPERLINK("https://facebook.com/367089020688300_542675739796293", "367089020688300_542675739796293")</f>
        <v>367089020688300_542675739796293</v>
      </c>
      <c r="E2346" s="11">
        <v>149.0</v>
      </c>
      <c r="F2346" s="11">
        <v>1.0</v>
      </c>
      <c r="G2346" s="11">
        <v>109.0</v>
      </c>
      <c r="H2346" s="9" t="s">
        <v>26</v>
      </c>
      <c r="I2346" s="9" t="s">
        <v>9958</v>
      </c>
      <c r="J2346" s="9" t="s">
        <v>9959</v>
      </c>
      <c r="K2346" s="9" t="s">
        <v>476</v>
      </c>
      <c r="L2346" s="9" t="s">
        <v>30</v>
      </c>
      <c r="M2346" s="9" t="s">
        <v>31</v>
      </c>
      <c r="N2346" s="9" t="s">
        <v>32</v>
      </c>
      <c r="O2346" s="12" t="s">
        <v>33</v>
      </c>
      <c r="P2346" s="12" t="s">
        <v>34</v>
      </c>
      <c r="Q2346" s="9"/>
      <c r="R2346" s="18"/>
      <c r="S2346" s="18"/>
      <c r="T2346" s="18"/>
      <c r="U2346" s="18"/>
      <c r="V2346" s="18"/>
      <c r="W2346" s="15"/>
      <c r="X2346" s="15"/>
    </row>
    <row r="2347">
      <c r="A2347" s="7">
        <v>2346.0</v>
      </c>
      <c r="B2347" s="8" t="s">
        <v>9960</v>
      </c>
      <c r="C2347" s="9" t="s">
        <v>9961</v>
      </c>
      <c r="D2347" s="10" t="str">
        <f>HYPERLINK("https://facebook.com/367089020688300_528562501207617", "367089020688300_528562501207617")</f>
        <v>367089020688300_528562501207617</v>
      </c>
      <c r="E2347" s="11">
        <v>219.0</v>
      </c>
      <c r="F2347" s="11">
        <v>3.0</v>
      </c>
      <c r="G2347" s="11">
        <v>83.0</v>
      </c>
      <c r="H2347" s="9" t="s">
        <v>26</v>
      </c>
      <c r="I2347" s="9" t="s">
        <v>132</v>
      </c>
      <c r="J2347" s="16" t="s">
        <v>9962</v>
      </c>
      <c r="K2347" s="9"/>
      <c r="L2347" s="9" t="s">
        <v>30</v>
      </c>
      <c r="M2347" s="9" t="s">
        <v>31</v>
      </c>
      <c r="N2347" s="9" t="s">
        <v>32</v>
      </c>
      <c r="O2347" s="12" t="s">
        <v>33</v>
      </c>
      <c r="P2347" s="12" t="s">
        <v>34</v>
      </c>
      <c r="Q2347" s="9"/>
      <c r="R2347" s="18"/>
      <c r="S2347" s="18"/>
      <c r="T2347" s="18"/>
      <c r="U2347" s="18"/>
      <c r="V2347" s="18"/>
      <c r="W2347" s="15"/>
      <c r="X2347" s="15"/>
    </row>
    <row r="2348">
      <c r="A2348" s="7">
        <v>2347.0</v>
      </c>
      <c r="B2348" s="8" t="s">
        <v>9963</v>
      </c>
      <c r="C2348" s="9" t="s">
        <v>9964</v>
      </c>
      <c r="D2348" s="10" t="str">
        <f>HYPERLINK("https://facebook.com/367089020688300_562014084529125", "367089020688300_562014084529125")</f>
        <v>367089020688300_562014084529125</v>
      </c>
      <c r="E2348" s="11">
        <v>15.0</v>
      </c>
      <c r="F2348" s="11">
        <v>0.0</v>
      </c>
      <c r="G2348" s="11">
        <v>30.0</v>
      </c>
      <c r="H2348" s="9" t="s">
        <v>26</v>
      </c>
      <c r="I2348" s="9" t="s">
        <v>9965</v>
      </c>
      <c r="J2348" s="16" t="s">
        <v>9966</v>
      </c>
      <c r="K2348" s="9"/>
      <c r="L2348" s="9" t="s">
        <v>30</v>
      </c>
      <c r="M2348" s="9" t="s">
        <v>31</v>
      </c>
      <c r="N2348" s="9" t="s">
        <v>32</v>
      </c>
      <c r="O2348" s="12" t="s">
        <v>33</v>
      </c>
      <c r="P2348" s="12" t="s">
        <v>34</v>
      </c>
      <c r="Q2348" s="9"/>
      <c r="R2348" s="18"/>
      <c r="S2348" s="18"/>
      <c r="T2348" s="18"/>
      <c r="U2348" s="18"/>
      <c r="V2348" s="18"/>
      <c r="W2348" s="15"/>
      <c r="X2348" s="15"/>
    </row>
    <row r="2349">
      <c r="A2349" s="7">
        <v>2348.0</v>
      </c>
      <c r="B2349" s="8" t="s">
        <v>9967</v>
      </c>
      <c r="C2349" s="9" t="s">
        <v>9968</v>
      </c>
      <c r="D2349" s="10" t="str">
        <f>HYPERLINK("https://facebook.com/367089020688300_549747752422425", "367089020688300_549747752422425")</f>
        <v>367089020688300_549747752422425</v>
      </c>
      <c r="E2349" s="11">
        <v>96.0</v>
      </c>
      <c r="F2349" s="11">
        <v>0.0</v>
      </c>
      <c r="G2349" s="11">
        <v>89.0</v>
      </c>
      <c r="H2349" s="9" t="s">
        <v>26</v>
      </c>
      <c r="I2349" s="9" t="s">
        <v>9969</v>
      </c>
      <c r="J2349" s="16" t="s">
        <v>9970</v>
      </c>
      <c r="K2349" s="9"/>
      <c r="L2349" s="9" t="s">
        <v>30</v>
      </c>
      <c r="M2349" s="9" t="s">
        <v>31</v>
      </c>
      <c r="N2349" s="9" t="s">
        <v>32</v>
      </c>
      <c r="O2349" s="12" t="s">
        <v>33</v>
      </c>
      <c r="P2349" s="12" t="s">
        <v>34</v>
      </c>
      <c r="Q2349" s="9"/>
      <c r="R2349" s="18"/>
      <c r="S2349" s="18"/>
      <c r="T2349" s="18"/>
      <c r="U2349" s="18"/>
      <c r="V2349" s="18"/>
      <c r="W2349" s="15"/>
      <c r="X2349" s="15"/>
    </row>
    <row r="2350">
      <c r="A2350" s="7">
        <v>2349.0</v>
      </c>
      <c r="B2350" s="8" t="s">
        <v>9971</v>
      </c>
      <c r="C2350" s="9" t="s">
        <v>9972</v>
      </c>
      <c r="D2350" s="10" t="str">
        <f>HYPERLINK("https://facebook.com/367089020688300_537430683654132", "367089020688300_537430683654132")</f>
        <v>367089020688300_537430683654132</v>
      </c>
      <c r="E2350" s="11">
        <v>48.0</v>
      </c>
      <c r="F2350" s="11">
        <v>1.0</v>
      </c>
      <c r="G2350" s="11">
        <v>73.0</v>
      </c>
      <c r="H2350" s="9" t="s">
        <v>26</v>
      </c>
      <c r="I2350" s="9" t="s">
        <v>9973</v>
      </c>
      <c r="J2350" s="9" t="s">
        <v>9974</v>
      </c>
      <c r="K2350" s="9" t="s">
        <v>9975</v>
      </c>
      <c r="L2350" s="9" t="s">
        <v>30</v>
      </c>
      <c r="M2350" s="9" t="s">
        <v>31</v>
      </c>
      <c r="N2350" s="9" t="s">
        <v>32</v>
      </c>
      <c r="O2350" s="12" t="s">
        <v>33</v>
      </c>
      <c r="P2350" s="12" t="s">
        <v>34</v>
      </c>
      <c r="Q2350" s="9"/>
      <c r="R2350" s="18"/>
      <c r="S2350" s="18"/>
      <c r="T2350" s="18"/>
      <c r="U2350" s="18"/>
      <c r="V2350" s="18"/>
      <c r="W2350" s="15"/>
      <c r="X2350" s="15"/>
    </row>
    <row r="2351">
      <c r="A2351" s="7">
        <v>2350.0</v>
      </c>
      <c r="B2351" s="8" t="s">
        <v>9976</v>
      </c>
      <c r="C2351" s="9" t="s">
        <v>9977</v>
      </c>
      <c r="D2351" s="10" t="str">
        <f>HYPERLINK("https://facebook.com/367089020688300_491857848211416", "367089020688300_491857848211416")</f>
        <v>367089020688300_491857848211416</v>
      </c>
      <c r="E2351" s="11">
        <v>124.0</v>
      </c>
      <c r="F2351" s="11">
        <v>2.0</v>
      </c>
      <c r="G2351" s="11">
        <v>192.0</v>
      </c>
      <c r="H2351" s="9" t="s">
        <v>26</v>
      </c>
      <c r="I2351" s="9" t="s">
        <v>9978</v>
      </c>
      <c r="J2351" s="9" t="s">
        <v>9979</v>
      </c>
      <c r="K2351" s="9" t="s">
        <v>9980</v>
      </c>
      <c r="L2351" s="9" t="s">
        <v>30</v>
      </c>
      <c r="M2351" s="9" t="s">
        <v>31</v>
      </c>
      <c r="N2351" s="9" t="s">
        <v>32</v>
      </c>
      <c r="O2351" s="12" t="s">
        <v>33</v>
      </c>
      <c r="P2351" s="12" t="s">
        <v>34</v>
      </c>
      <c r="Q2351" s="9"/>
      <c r="R2351" s="18"/>
      <c r="S2351" s="18"/>
      <c r="T2351" s="18"/>
      <c r="U2351" s="18"/>
      <c r="V2351" s="18"/>
      <c r="W2351" s="15"/>
      <c r="X2351" s="15"/>
    </row>
    <row r="2352">
      <c r="A2352" s="7">
        <v>2351.0</v>
      </c>
      <c r="B2352" s="8" t="s">
        <v>9981</v>
      </c>
      <c r="C2352" s="9" t="s">
        <v>9982</v>
      </c>
      <c r="D2352" s="10" t="str">
        <f>HYPERLINK("https://facebook.com/367089020688300_494673477929853", "367089020688300_494673477929853")</f>
        <v>367089020688300_494673477929853</v>
      </c>
      <c r="E2352" s="11">
        <v>167.0</v>
      </c>
      <c r="F2352" s="11">
        <v>5.0</v>
      </c>
      <c r="G2352" s="11">
        <v>153.0</v>
      </c>
      <c r="H2352" s="9" t="s">
        <v>26</v>
      </c>
      <c r="I2352" s="9" t="s">
        <v>9983</v>
      </c>
      <c r="J2352" s="9" t="s">
        <v>9984</v>
      </c>
      <c r="K2352" s="9" t="s">
        <v>9985</v>
      </c>
      <c r="L2352" s="9" t="s">
        <v>30</v>
      </c>
      <c r="M2352" s="9" t="s">
        <v>31</v>
      </c>
      <c r="N2352" s="9" t="s">
        <v>32</v>
      </c>
      <c r="O2352" s="12" t="s">
        <v>33</v>
      </c>
      <c r="P2352" s="12" t="s">
        <v>34</v>
      </c>
      <c r="Q2352" s="9"/>
      <c r="R2352" s="18"/>
      <c r="S2352" s="18"/>
      <c r="T2352" s="18"/>
      <c r="U2352" s="18"/>
      <c r="V2352" s="18"/>
      <c r="W2352" s="15"/>
      <c r="X2352" s="15"/>
    </row>
    <row r="2353">
      <c r="A2353" s="7">
        <v>2352.0</v>
      </c>
      <c r="B2353" s="8" t="s">
        <v>9986</v>
      </c>
      <c r="C2353" s="9" t="s">
        <v>9987</v>
      </c>
      <c r="D2353" s="10" t="str">
        <f>HYPERLINK("https://facebook.com/367089020688300_546665559397311", "367089020688300_546665559397311")</f>
        <v>367089020688300_546665559397311</v>
      </c>
      <c r="E2353" s="11">
        <v>41.0</v>
      </c>
      <c r="F2353" s="11">
        <v>1.0</v>
      </c>
      <c r="G2353" s="11">
        <v>79.0</v>
      </c>
      <c r="H2353" s="9" t="s">
        <v>26</v>
      </c>
      <c r="I2353" s="9" t="s">
        <v>9988</v>
      </c>
      <c r="J2353" s="16" t="s">
        <v>9989</v>
      </c>
      <c r="K2353" s="9"/>
      <c r="L2353" s="9" t="s">
        <v>30</v>
      </c>
      <c r="M2353" s="9" t="s">
        <v>31</v>
      </c>
      <c r="N2353" s="9" t="s">
        <v>32</v>
      </c>
      <c r="O2353" s="12" t="s">
        <v>33</v>
      </c>
      <c r="P2353" s="12" t="s">
        <v>34</v>
      </c>
      <c r="Q2353" s="9"/>
      <c r="R2353" s="18"/>
      <c r="S2353" s="18"/>
      <c r="T2353" s="18"/>
      <c r="U2353" s="18"/>
      <c r="V2353" s="18"/>
      <c r="W2353" s="15"/>
      <c r="X2353" s="15"/>
    </row>
    <row r="2354">
      <c r="A2354" s="7">
        <v>2353.0</v>
      </c>
      <c r="B2354" s="8" t="s">
        <v>9990</v>
      </c>
      <c r="C2354" s="9" t="s">
        <v>9991</v>
      </c>
      <c r="D2354" s="10" t="str">
        <f>HYPERLINK("https://facebook.com/367089020688300_554880721909128", "367089020688300_554880721909128")</f>
        <v>367089020688300_554880721909128</v>
      </c>
      <c r="E2354" s="11">
        <v>188.0</v>
      </c>
      <c r="F2354" s="11">
        <v>23.0</v>
      </c>
      <c r="G2354" s="11">
        <v>265.0</v>
      </c>
      <c r="H2354" s="9" t="s">
        <v>26</v>
      </c>
      <c r="I2354" s="9" t="s">
        <v>9992</v>
      </c>
      <c r="J2354" s="16" t="s">
        <v>9993</v>
      </c>
      <c r="K2354" s="9"/>
      <c r="L2354" s="9" t="s">
        <v>30</v>
      </c>
      <c r="M2354" s="9" t="s">
        <v>31</v>
      </c>
      <c r="N2354" s="9" t="s">
        <v>32</v>
      </c>
      <c r="O2354" s="12" t="s">
        <v>33</v>
      </c>
      <c r="P2354" s="12" t="s">
        <v>34</v>
      </c>
      <c r="Q2354" s="9"/>
      <c r="R2354" s="18"/>
      <c r="S2354" s="18"/>
      <c r="T2354" s="18"/>
      <c r="U2354" s="18"/>
      <c r="V2354" s="18"/>
      <c r="W2354" s="15"/>
      <c r="X2354" s="15"/>
    </row>
    <row r="2355">
      <c r="A2355" s="7">
        <v>2354.0</v>
      </c>
      <c r="B2355" s="8" t="s">
        <v>9994</v>
      </c>
      <c r="C2355" s="9" t="s">
        <v>9995</v>
      </c>
      <c r="D2355" s="10" t="str">
        <f>HYPERLINK("https://facebook.com/367089020688300_557440131653187", "367089020688300_557440131653187")</f>
        <v>367089020688300_557440131653187</v>
      </c>
      <c r="E2355" s="11">
        <v>260.0</v>
      </c>
      <c r="F2355" s="11">
        <v>0.0</v>
      </c>
      <c r="G2355" s="11">
        <v>193.0</v>
      </c>
      <c r="H2355" s="9" t="s">
        <v>26</v>
      </c>
      <c r="I2355" s="9" t="s">
        <v>9996</v>
      </c>
      <c r="J2355" s="16" t="s">
        <v>9997</v>
      </c>
      <c r="K2355" s="9"/>
      <c r="L2355" s="9" t="s">
        <v>30</v>
      </c>
      <c r="M2355" s="9" t="s">
        <v>31</v>
      </c>
      <c r="N2355" s="9" t="s">
        <v>32</v>
      </c>
      <c r="O2355" s="12" t="s">
        <v>33</v>
      </c>
      <c r="P2355" s="12" t="s">
        <v>34</v>
      </c>
      <c r="Q2355" s="9"/>
      <c r="R2355" s="18"/>
      <c r="S2355" s="18"/>
      <c r="T2355" s="18"/>
      <c r="U2355" s="18"/>
      <c r="V2355" s="18"/>
      <c r="W2355" s="15"/>
      <c r="X2355" s="15"/>
    </row>
    <row r="2356">
      <c r="A2356" s="7">
        <v>2355.0</v>
      </c>
      <c r="B2356" s="8" t="s">
        <v>9998</v>
      </c>
      <c r="C2356" s="9" t="s">
        <v>9999</v>
      </c>
      <c r="D2356" s="10" t="str">
        <f>HYPERLINK("https://facebook.com/367089020688300_528804164516784", "367089020688300_528804164516784")</f>
        <v>367089020688300_528804164516784</v>
      </c>
      <c r="E2356" s="11">
        <v>702.0</v>
      </c>
      <c r="F2356" s="11">
        <v>5.0</v>
      </c>
      <c r="G2356" s="11">
        <v>231.0</v>
      </c>
      <c r="H2356" s="9" t="s">
        <v>26</v>
      </c>
      <c r="I2356" s="9" t="s">
        <v>10000</v>
      </c>
      <c r="J2356" s="9" t="s">
        <v>10001</v>
      </c>
      <c r="K2356" s="9" t="s">
        <v>249</v>
      </c>
      <c r="L2356" s="9" t="s">
        <v>30</v>
      </c>
      <c r="M2356" s="9" t="s">
        <v>31</v>
      </c>
      <c r="N2356" s="9" t="s">
        <v>32</v>
      </c>
      <c r="O2356" s="12" t="s">
        <v>33</v>
      </c>
      <c r="P2356" s="12" t="s">
        <v>34</v>
      </c>
      <c r="Q2356" s="9"/>
      <c r="R2356" s="18"/>
      <c r="S2356" s="18"/>
      <c r="T2356" s="18"/>
      <c r="U2356" s="18"/>
      <c r="V2356" s="18"/>
      <c r="W2356" s="15"/>
      <c r="X2356" s="15"/>
    </row>
    <row r="2357">
      <c r="A2357" s="7">
        <v>2356.0</v>
      </c>
      <c r="B2357" s="8" t="s">
        <v>10002</v>
      </c>
      <c r="C2357" s="9" t="s">
        <v>10003</v>
      </c>
      <c r="D2357" s="10" t="str">
        <f>HYPERLINK("https://facebook.com/367089020688300_535641563833044", "367089020688300_535641563833044")</f>
        <v>367089020688300_535641563833044</v>
      </c>
      <c r="E2357" s="11">
        <v>192.0</v>
      </c>
      <c r="F2357" s="11">
        <v>0.0</v>
      </c>
      <c r="G2357" s="11">
        <v>51.0</v>
      </c>
      <c r="H2357" s="9" t="s">
        <v>26</v>
      </c>
      <c r="I2357" s="9" t="s">
        <v>10004</v>
      </c>
      <c r="J2357" s="16" t="s">
        <v>10005</v>
      </c>
      <c r="K2357" s="9"/>
      <c r="L2357" s="9" t="s">
        <v>30</v>
      </c>
      <c r="M2357" s="9" t="s">
        <v>31</v>
      </c>
      <c r="N2357" s="9" t="s">
        <v>32</v>
      </c>
      <c r="O2357" s="12" t="s">
        <v>33</v>
      </c>
      <c r="P2357" s="12" t="s">
        <v>34</v>
      </c>
      <c r="Q2357" s="9"/>
      <c r="R2357" s="18"/>
      <c r="S2357" s="18"/>
      <c r="T2357" s="18"/>
      <c r="U2357" s="18"/>
      <c r="V2357" s="18"/>
      <c r="W2357" s="15"/>
      <c r="X2357" s="15"/>
    </row>
    <row r="2358">
      <c r="A2358" s="7">
        <v>2357.0</v>
      </c>
      <c r="B2358" s="8" t="s">
        <v>10006</v>
      </c>
      <c r="C2358" s="9" t="s">
        <v>10007</v>
      </c>
      <c r="D2358" s="10" t="str">
        <f>HYPERLINK("https://facebook.com/367089020688300_540100980053769", "367089020688300_540100980053769")</f>
        <v>367089020688300_540100980053769</v>
      </c>
      <c r="E2358" s="11">
        <v>530.0</v>
      </c>
      <c r="F2358" s="11">
        <v>23.0</v>
      </c>
      <c r="G2358" s="11">
        <v>290.0</v>
      </c>
      <c r="H2358" s="9" t="s">
        <v>26</v>
      </c>
      <c r="I2358" s="9" t="s">
        <v>4749</v>
      </c>
      <c r="J2358" s="9" t="s">
        <v>10008</v>
      </c>
      <c r="K2358" s="9" t="s">
        <v>10009</v>
      </c>
      <c r="L2358" s="9" t="s">
        <v>30</v>
      </c>
      <c r="M2358" s="9" t="s">
        <v>31</v>
      </c>
      <c r="N2358" s="9" t="s">
        <v>32</v>
      </c>
      <c r="O2358" s="12" t="s">
        <v>33</v>
      </c>
      <c r="P2358" s="12" t="s">
        <v>34</v>
      </c>
      <c r="Q2358" s="9"/>
      <c r="R2358" s="18"/>
      <c r="S2358" s="18"/>
      <c r="T2358" s="18"/>
      <c r="U2358" s="18"/>
      <c r="V2358" s="18"/>
      <c r="W2358" s="15"/>
      <c r="X2358" s="15"/>
    </row>
    <row r="2359">
      <c r="A2359" s="7">
        <v>2358.0</v>
      </c>
      <c r="B2359" s="8" t="s">
        <v>10010</v>
      </c>
      <c r="C2359" s="9" t="s">
        <v>10011</v>
      </c>
      <c r="D2359" s="10" t="str">
        <f>HYPERLINK("https://facebook.com/367089020688300_537751176955416", "367089020688300_537751176955416")</f>
        <v>367089020688300_537751176955416</v>
      </c>
      <c r="E2359" s="11">
        <v>54.0</v>
      </c>
      <c r="F2359" s="11">
        <v>1.0</v>
      </c>
      <c r="G2359" s="11">
        <v>20.0</v>
      </c>
      <c r="H2359" s="9" t="s">
        <v>26</v>
      </c>
      <c r="I2359" s="9" t="s">
        <v>10012</v>
      </c>
      <c r="J2359" s="16" t="s">
        <v>10013</v>
      </c>
      <c r="K2359" s="9"/>
      <c r="L2359" s="9" t="s">
        <v>30</v>
      </c>
      <c r="M2359" s="9" t="s">
        <v>31</v>
      </c>
      <c r="N2359" s="9" t="s">
        <v>32</v>
      </c>
      <c r="O2359" s="12" t="s">
        <v>33</v>
      </c>
      <c r="P2359" s="12" t="s">
        <v>34</v>
      </c>
      <c r="Q2359" s="9"/>
      <c r="R2359" s="18"/>
      <c r="S2359" s="18"/>
      <c r="T2359" s="18"/>
      <c r="U2359" s="18"/>
      <c r="V2359" s="18"/>
      <c r="W2359" s="15"/>
      <c r="X2359" s="15"/>
    </row>
    <row r="2360">
      <c r="A2360" s="7">
        <v>2359.0</v>
      </c>
      <c r="B2360" s="8" t="s">
        <v>10014</v>
      </c>
      <c r="C2360" s="9" t="s">
        <v>10015</v>
      </c>
      <c r="D2360" s="10" t="str">
        <f>HYPERLINK("https://facebook.com/367089020688300_508790863184781", "367089020688300_508790863184781")</f>
        <v>367089020688300_508790863184781</v>
      </c>
      <c r="E2360" s="11">
        <v>281.0</v>
      </c>
      <c r="F2360" s="11">
        <v>4.0</v>
      </c>
      <c r="G2360" s="11">
        <v>305.0</v>
      </c>
      <c r="H2360" s="9" t="s">
        <v>26</v>
      </c>
      <c r="I2360" s="9" t="s">
        <v>3154</v>
      </c>
      <c r="J2360" s="9" t="s">
        <v>10016</v>
      </c>
      <c r="K2360" s="9" t="s">
        <v>51</v>
      </c>
      <c r="L2360" s="9" t="s">
        <v>30</v>
      </c>
      <c r="M2360" s="9" t="s">
        <v>31</v>
      </c>
      <c r="N2360" s="9" t="s">
        <v>32</v>
      </c>
      <c r="O2360" s="12" t="s">
        <v>33</v>
      </c>
      <c r="P2360" s="12" t="s">
        <v>34</v>
      </c>
      <c r="Q2360" s="9"/>
      <c r="R2360" s="18"/>
      <c r="S2360" s="18"/>
      <c r="T2360" s="18"/>
      <c r="U2360" s="18"/>
      <c r="V2360" s="18"/>
      <c r="W2360" s="15"/>
      <c r="X2360" s="15"/>
    </row>
    <row r="2361">
      <c r="A2361" s="7">
        <v>2360.0</v>
      </c>
      <c r="B2361" s="8" t="s">
        <v>10017</v>
      </c>
      <c r="C2361" s="9" t="s">
        <v>10018</v>
      </c>
      <c r="D2361" s="10" t="str">
        <f>HYPERLINK("https://facebook.com/367089020688300_561315374598996", "367089020688300_561315374598996")</f>
        <v>367089020688300_561315374598996</v>
      </c>
      <c r="E2361" s="11">
        <v>170.0</v>
      </c>
      <c r="F2361" s="11">
        <v>1.0</v>
      </c>
      <c r="G2361" s="11">
        <v>148.0</v>
      </c>
      <c r="H2361" s="9" t="s">
        <v>26</v>
      </c>
      <c r="I2361" s="9" t="s">
        <v>6607</v>
      </c>
      <c r="J2361" s="9" t="s">
        <v>10019</v>
      </c>
      <c r="K2361" s="9" t="s">
        <v>10020</v>
      </c>
      <c r="L2361" s="9" t="s">
        <v>30</v>
      </c>
      <c r="M2361" s="9" t="s">
        <v>31</v>
      </c>
      <c r="N2361" s="9" t="s">
        <v>32</v>
      </c>
      <c r="O2361" s="12" t="s">
        <v>33</v>
      </c>
      <c r="P2361" s="12" t="s">
        <v>34</v>
      </c>
      <c r="Q2361" s="9"/>
      <c r="R2361" s="18"/>
      <c r="S2361" s="18"/>
      <c r="T2361" s="18"/>
      <c r="U2361" s="18"/>
      <c r="V2361" s="18"/>
      <c r="W2361" s="15"/>
      <c r="X2361" s="15"/>
    </row>
    <row r="2362">
      <c r="A2362" s="7">
        <v>2361.0</v>
      </c>
      <c r="B2362" s="8" t="s">
        <v>10021</v>
      </c>
      <c r="C2362" s="9" t="s">
        <v>10022</v>
      </c>
      <c r="D2362" s="10" t="str">
        <f>HYPERLINK("https://facebook.com/367089020688300_545044992892701", "367089020688300_545044992892701")</f>
        <v>367089020688300_545044992892701</v>
      </c>
      <c r="E2362" s="11">
        <v>116.0</v>
      </c>
      <c r="F2362" s="11">
        <v>0.0</v>
      </c>
      <c r="G2362" s="11">
        <v>61.0</v>
      </c>
      <c r="H2362" s="9" t="s">
        <v>26</v>
      </c>
      <c r="I2362" s="9" t="s">
        <v>10023</v>
      </c>
      <c r="J2362" s="16" t="s">
        <v>10024</v>
      </c>
      <c r="K2362" s="9"/>
      <c r="L2362" s="9" t="s">
        <v>30</v>
      </c>
      <c r="M2362" s="9" t="s">
        <v>31</v>
      </c>
      <c r="N2362" s="9" t="s">
        <v>32</v>
      </c>
      <c r="O2362" s="12" t="s">
        <v>33</v>
      </c>
      <c r="P2362" s="12" t="s">
        <v>34</v>
      </c>
      <c r="Q2362" s="9"/>
      <c r="R2362" s="18"/>
      <c r="S2362" s="18"/>
      <c r="T2362" s="18"/>
      <c r="U2362" s="18"/>
      <c r="V2362" s="18"/>
      <c r="W2362" s="15"/>
      <c r="X2362" s="15"/>
    </row>
    <row r="2363">
      <c r="A2363" s="7">
        <v>2362.0</v>
      </c>
      <c r="B2363" s="8" t="s">
        <v>10025</v>
      </c>
      <c r="C2363" s="9" t="s">
        <v>10026</v>
      </c>
      <c r="D2363" s="10" t="str">
        <f>HYPERLINK("https://facebook.com/367089020688300_511779566219244", "367089020688300_511779566219244")</f>
        <v>367089020688300_511779566219244</v>
      </c>
      <c r="E2363" s="11">
        <v>475.0</v>
      </c>
      <c r="F2363" s="11">
        <v>13.0</v>
      </c>
      <c r="G2363" s="11">
        <v>242.0</v>
      </c>
      <c r="H2363" s="9" t="s">
        <v>26</v>
      </c>
      <c r="I2363" s="9" t="s">
        <v>10027</v>
      </c>
      <c r="J2363" s="16" t="s">
        <v>10028</v>
      </c>
      <c r="K2363" s="9"/>
      <c r="L2363" s="9" t="s">
        <v>30</v>
      </c>
      <c r="M2363" s="9" t="s">
        <v>31</v>
      </c>
      <c r="N2363" s="9" t="s">
        <v>32</v>
      </c>
      <c r="O2363" s="12" t="s">
        <v>33</v>
      </c>
      <c r="P2363" s="12" t="s">
        <v>34</v>
      </c>
      <c r="Q2363" s="9"/>
      <c r="R2363" s="18"/>
      <c r="S2363" s="18"/>
      <c r="T2363" s="18"/>
      <c r="U2363" s="18"/>
      <c r="V2363" s="18"/>
      <c r="W2363" s="15"/>
      <c r="X2363" s="15"/>
    </row>
    <row r="2364">
      <c r="A2364" s="7">
        <v>2363.0</v>
      </c>
      <c r="B2364" s="8" t="s">
        <v>10029</v>
      </c>
      <c r="C2364" s="9" t="s">
        <v>10030</v>
      </c>
      <c r="D2364" s="10" t="str">
        <f>HYPERLINK("https://facebook.com/367089020688300_522948788435655", "367089020688300_522948788435655")</f>
        <v>367089020688300_522948788435655</v>
      </c>
      <c r="E2364" s="11">
        <v>401.0</v>
      </c>
      <c r="F2364" s="11">
        <v>9.0</v>
      </c>
      <c r="G2364" s="11">
        <v>95.0</v>
      </c>
      <c r="H2364" s="9" t="s">
        <v>26</v>
      </c>
      <c r="I2364" s="9" t="s">
        <v>10031</v>
      </c>
      <c r="J2364" s="9" t="s">
        <v>10032</v>
      </c>
      <c r="K2364" s="9" t="s">
        <v>10033</v>
      </c>
      <c r="L2364" s="9" t="s">
        <v>30</v>
      </c>
      <c r="M2364" s="9" t="s">
        <v>31</v>
      </c>
      <c r="N2364" s="9" t="s">
        <v>32</v>
      </c>
      <c r="O2364" s="12" t="s">
        <v>33</v>
      </c>
      <c r="P2364" s="12" t="s">
        <v>34</v>
      </c>
      <c r="Q2364" s="9"/>
      <c r="R2364" s="18"/>
      <c r="S2364" s="18"/>
      <c r="T2364" s="18"/>
      <c r="U2364" s="18"/>
      <c r="V2364" s="18"/>
      <c r="W2364" s="15"/>
      <c r="X2364" s="15"/>
    </row>
    <row r="2365">
      <c r="A2365" s="7">
        <v>2364.0</v>
      </c>
      <c r="B2365" s="8" t="s">
        <v>10034</v>
      </c>
      <c r="C2365" s="9" t="s">
        <v>10035</v>
      </c>
      <c r="D2365" s="10" t="str">
        <f>HYPERLINK("https://facebook.com/367089020688300_546095812787619", "367089020688300_546095812787619")</f>
        <v>367089020688300_546095812787619</v>
      </c>
      <c r="E2365" s="11">
        <v>188.0</v>
      </c>
      <c r="F2365" s="11">
        <v>1.0</v>
      </c>
      <c r="G2365" s="11">
        <v>55.0</v>
      </c>
      <c r="H2365" s="9" t="s">
        <v>26</v>
      </c>
      <c r="I2365" s="9" t="s">
        <v>10036</v>
      </c>
      <c r="J2365" s="16" t="s">
        <v>10037</v>
      </c>
      <c r="K2365" s="9"/>
      <c r="L2365" s="9" t="s">
        <v>30</v>
      </c>
      <c r="M2365" s="9" t="s">
        <v>31</v>
      </c>
      <c r="N2365" s="9" t="s">
        <v>32</v>
      </c>
      <c r="O2365" s="12" t="s">
        <v>33</v>
      </c>
      <c r="P2365" s="12" t="s">
        <v>34</v>
      </c>
      <c r="Q2365" s="9"/>
      <c r="R2365" s="18"/>
      <c r="S2365" s="18"/>
      <c r="T2365" s="18"/>
      <c r="U2365" s="18"/>
      <c r="V2365" s="18"/>
      <c r="W2365" s="15"/>
      <c r="X2365" s="15"/>
    </row>
    <row r="2366">
      <c r="A2366" s="7">
        <v>2365.0</v>
      </c>
      <c r="B2366" s="8" t="s">
        <v>10038</v>
      </c>
      <c r="C2366" s="9" t="s">
        <v>10039</v>
      </c>
      <c r="D2366" s="10" t="str">
        <f>HYPERLINK("https://facebook.com/367089020688300_494902417906959", "367089020688300_494902417906959")</f>
        <v>367089020688300_494902417906959</v>
      </c>
      <c r="E2366" s="11">
        <v>490.0</v>
      </c>
      <c r="F2366" s="11">
        <v>3.0</v>
      </c>
      <c r="G2366" s="11">
        <v>440.0</v>
      </c>
      <c r="H2366" s="9" t="s">
        <v>26</v>
      </c>
      <c r="I2366" s="9" t="s">
        <v>10040</v>
      </c>
      <c r="J2366" s="9" t="s">
        <v>10041</v>
      </c>
      <c r="K2366" s="9" t="s">
        <v>10042</v>
      </c>
      <c r="L2366" s="9" t="s">
        <v>30</v>
      </c>
      <c r="M2366" s="9" t="s">
        <v>31</v>
      </c>
      <c r="N2366" s="9" t="s">
        <v>32</v>
      </c>
      <c r="O2366" s="12" t="s">
        <v>33</v>
      </c>
      <c r="P2366" s="12" t="s">
        <v>34</v>
      </c>
      <c r="Q2366" s="9"/>
      <c r="R2366" s="18"/>
      <c r="S2366" s="18"/>
      <c r="T2366" s="18"/>
      <c r="U2366" s="18"/>
      <c r="V2366" s="18"/>
      <c r="W2366" s="15"/>
      <c r="X2366" s="15"/>
    </row>
    <row r="2367">
      <c r="A2367" s="7">
        <v>2366.0</v>
      </c>
      <c r="B2367" s="8" t="s">
        <v>10043</v>
      </c>
      <c r="C2367" s="9" t="s">
        <v>10044</v>
      </c>
      <c r="D2367" s="10" t="str">
        <f>HYPERLINK("https://facebook.com/367089020688300_561293011267899", "367089020688300_561293011267899")</f>
        <v>367089020688300_561293011267899</v>
      </c>
      <c r="E2367" s="11">
        <v>27.0</v>
      </c>
      <c r="F2367" s="11">
        <v>1.0</v>
      </c>
      <c r="G2367" s="11">
        <v>5.0</v>
      </c>
      <c r="H2367" s="9" t="s">
        <v>26</v>
      </c>
      <c r="I2367" s="9" t="s">
        <v>10045</v>
      </c>
      <c r="J2367" s="16" t="s">
        <v>10046</v>
      </c>
      <c r="K2367" s="9"/>
      <c r="L2367" s="9" t="s">
        <v>30</v>
      </c>
      <c r="M2367" s="9" t="s">
        <v>31</v>
      </c>
      <c r="N2367" s="9" t="s">
        <v>32</v>
      </c>
      <c r="O2367" s="12" t="s">
        <v>33</v>
      </c>
      <c r="P2367" s="12" t="s">
        <v>34</v>
      </c>
      <c r="Q2367" s="9"/>
      <c r="R2367" s="18"/>
      <c r="S2367" s="18"/>
      <c r="T2367" s="18"/>
      <c r="U2367" s="18"/>
      <c r="V2367" s="18"/>
      <c r="W2367" s="15"/>
      <c r="X2367" s="15"/>
    </row>
    <row r="2368">
      <c r="A2368" s="7">
        <v>2367.0</v>
      </c>
      <c r="B2368" s="8" t="s">
        <v>10047</v>
      </c>
      <c r="C2368" s="9" t="s">
        <v>10048</v>
      </c>
      <c r="D2368" s="10" t="str">
        <f>HYPERLINK("https://facebook.com/367089020688300_556238068440060", "367089020688300_556238068440060")</f>
        <v>367089020688300_556238068440060</v>
      </c>
      <c r="E2368" s="11">
        <v>40.0</v>
      </c>
      <c r="F2368" s="11">
        <v>0.0</v>
      </c>
      <c r="G2368" s="11">
        <v>21.0</v>
      </c>
      <c r="H2368" s="9" t="s">
        <v>26</v>
      </c>
      <c r="I2368" s="9" t="s">
        <v>10049</v>
      </c>
      <c r="J2368" s="16" t="s">
        <v>10050</v>
      </c>
      <c r="K2368" s="9"/>
      <c r="L2368" s="9" t="s">
        <v>30</v>
      </c>
      <c r="M2368" s="9" t="s">
        <v>31</v>
      </c>
      <c r="N2368" s="9" t="s">
        <v>32</v>
      </c>
      <c r="O2368" s="12" t="s">
        <v>33</v>
      </c>
      <c r="P2368" s="12" t="s">
        <v>34</v>
      </c>
      <c r="Q2368" s="9"/>
      <c r="R2368" s="18"/>
      <c r="S2368" s="18"/>
      <c r="T2368" s="18"/>
      <c r="U2368" s="18"/>
      <c r="V2368" s="18"/>
      <c r="W2368" s="15"/>
      <c r="X2368" s="15"/>
    </row>
    <row r="2369">
      <c r="A2369" s="7">
        <v>2368.0</v>
      </c>
      <c r="B2369" s="8" t="s">
        <v>10051</v>
      </c>
      <c r="C2369" s="9" t="s">
        <v>10052</v>
      </c>
      <c r="D2369" s="10" t="str">
        <f>HYPERLINK("https://facebook.com/367089020688300_555252788538588", "367089020688300_555252788538588")</f>
        <v>367089020688300_555252788538588</v>
      </c>
      <c r="E2369" s="11">
        <v>128.0</v>
      </c>
      <c r="F2369" s="11">
        <v>0.0</v>
      </c>
      <c r="G2369" s="11">
        <v>64.0</v>
      </c>
      <c r="H2369" s="9" t="s">
        <v>26</v>
      </c>
      <c r="I2369" s="9" t="s">
        <v>10053</v>
      </c>
      <c r="J2369" s="9" t="s">
        <v>10054</v>
      </c>
      <c r="K2369" s="9" t="s">
        <v>10055</v>
      </c>
      <c r="L2369" s="9" t="s">
        <v>30</v>
      </c>
      <c r="M2369" s="9" t="s">
        <v>31</v>
      </c>
      <c r="N2369" s="9" t="s">
        <v>32</v>
      </c>
      <c r="O2369" s="12" t="s">
        <v>33</v>
      </c>
      <c r="P2369" s="12" t="s">
        <v>34</v>
      </c>
      <c r="Q2369" s="9"/>
      <c r="R2369" s="18"/>
      <c r="S2369" s="18"/>
      <c r="T2369" s="18"/>
      <c r="U2369" s="18"/>
      <c r="V2369" s="18"/>
      <c r="W2369" s="15"/>
      <c r="X2369" s="15"/>
    </row>
    <row r="2370">
      <c r="A2370" s="7">
        <v>2369.0</v>
      </c>
      <c r="B2370" s="8" t="s">
        <v>10056</v>
      </c>
      <c r="C2370" s="9" t="s">
        <v>10057</v>
      </c>
      <c r="D2370" s="10" t="str">
        <f>HYPERLINK("https://facebook.com/367089020688300_486464148750786", "367089020688300_486464148750786")</f>
        <v>367089020688300_486464148750786</v>
      </c>
      <c r="E2370" s="11">
        <v>9.0</v>
      </c>
      <c r="F2370" s="11">
        <v>0.0</v>
      </c>
      <c r="G2370" s="11">
        <v>12.0</v>
      </c>
      <c r="H2370" s="9" t="s">
        <v>26</v>
      </c>
      <c r="I2370" s="9" t="s">
        <v>10058</v>
      </c>
      <c r="J2370" s="9" t="s">
        <v>10059</v>
      </c>
      <c r="K2370" s="9" t="s">
        <v>10060</v>
      </c>
      <c r="L2370" s="9" t="s">
        <v>30</v>
      </c>
      <c r="M2370" s="9" t="s">
        <v>31</v>
      </c>
      <c r="N2370" s="9" t="s">
        <v>32</v>
      </c>
      <c r="O2370" s="12" t="s">
        <v>33</v>
      </c>
      <c r="P2370" s="12" t="s">
        <v>34</v>
      </c>
      <c r="Q2370" s="9"/>
      <c r="R2370" s="18"/>
      <c r="S2370" s="18"/>
      <c r="T2370" s="18"/>
      <c r="U2370" s="18"/>
      <c r="V2370" s="18"/>
      <c r="W2370" s="15"/>
      <c r="X2370" s="15"/>
    </row>
    <row r="2371">
      <c r="A2371" s="7">
        <v>2370.0</v>
      </c>
      <c r="B2371" s="8" t="s">
        <v>10061</v>
      </c>
      <c r="C2371" s="9" t="s">
        <v>10062</v>
      </c>
      <c r="D2371" s="10" t="str">
        <f>HYPERLINK("https://facebook.com/367089020688300_549546465775887", "367089020688300_549546465775887")</f>
        <v>367089020688300_549546465775887</v>
      </c>
      <c r="E2371" s="11">
        <v>8.0</v>
      </c>
      <c r="F2371" s="11">
        <v>0.0</v>
      </c>
      <c r="G2371" s="11">
        <v>10.0</v>
      </c>
      <c r="H2371" s="9" t="s">
        <v>26</v>
      </c>
      <c r="I2371" s="9" t="s">
        <v>10063</v>
      </c>
      <c r="J2371" s="16" t="s">
        <v>10064</v>
      </c>
      <c r="K2371" s="9"/>
      <c r="L2371" s="9" t="s">
        <v>30</v>
      </c>
      <c r="M2371" s="9" t="s">
        <v>31</v>
      </c>
      <c r="N2371" s="9" t="s">
        <v>32</v>
      </c>
      <c r="O2371" s="12" t="s">
        <v>33</v>
      </c>
      <c r="P2371" s="12" t="s">
        <v>34</v>
      </c>
      <c r="Q2371" s="9"/>
      <c r="R2371" s="18"/>
      <c r="S2371" s="18"/>
      <c r="T2371" s="18"/>
      <c r="U2371" s="18"/>
      <c r="V2371" s="18"/>
      <c r="W2371" s="15"/>
      <c r="X2371" s="15"/>
    </row>
    <row r="2372">
      <c r="A2372" s="7">
        <v>2371.0</v>
      </c>
      <c r="B2372" s="8" t="s">
        <v>10065</v>
      </c>
      <c r="C2372" s="9" t="s">
        <v>10066</v>
      </c>
      <c r="D2372" s="10" t="str">
        <f>HYPERLINK("https://facebook.com/367089020688300_535315780532289", "367089020688300_535315780532289")</f>
        <v>367089020688300_535315780532289</v>
      </c>
      <c r="E2372" s="11">
        <v>1027.0</v>
      </c>
      <c r="F2372" s="11">
        <v>41.0</v>
      </c>
      <c r="G2372" s="11">
        <v>263.0</v>
      </c>
      <c r="H2372" s="9" t="s">
        <v>26</v>
      </c>
      <c r="I2372" s="9" t="s">
        <v>10067</v>
      </c>
      <c r="J2372" s="16" t="s">
        <v>10068</v>
      </c>
      <c r="K2372" s="9"/>
      <c r="L2372" s="9" t="s">
        <v>30</v>
      </c>
      <c r="M2372" s="9" t="s">
        <v>31</v>
      </c>
      <c r="N2372" s="9" t="s">
        <v>32</v>
      </c>
      <c r="O2372" s="12" t="s">
        <v>33</v>
      </c>
      <c r="P2372" s="12" t="s">
        <v>34</v>
      </c>
      <c r="Q2372" s="9"/>
      <c r="R2372" s="18"/>
      <c r="S2372" s="18"/>
      <c r="T2372" s="18"/>
      <c r="U2372" s="18"/>
      <c r="V2372" s="18"/>
      <c r="W2372" s="15"/>
      <c r="X2372" s="15"/>
    </row>
    <row r="2373">
      <c r="A2373" s="7">
        <v>2372.0</v>
      </c>
      <c r="B2373" s="8" t="s">
        <v>10069</v>
      </c>
      <c r="C2373" s="9" t="s">
        <v>10070</v>
      </c>
      <c r="D2373" s="10" t="str">
        <f>HYPERLINK("https://facebook.com/367089020688300_535418247188709", "367089020688300_535418247188709")</f>
        <v>367089020688300_535418247188709</v>
      </c>
      <c r="E2373" s="11">
        <v>118.0</v>
      </c>
      <c r="F2373" s="11">
        <v>3.0</v>
      </c>
      <c r="G2373" s="11">
        <v>174.0</v>
      </c>
      <c r="H2373" s="9" t="s">
        <v>26</v>
      </c>
      <c r="I2373" s="9" t="s">
        <v>10071</v>
      </c>
      <c r="J2373" s="9" t="s">
        <v>10072</v>
      </c>
      <c r="K2373" s="9" t="s">
        <v>10073</v>
      </c>
      <c r="L2373" s="9" t="s">
        <v>30</v>
      </c>
      <c r="M2373" s="9" t="s">
        <v>31</v>
      </c>
      <c r="N2373" s="9" t="s">
        <v>32</v>
      </c>
      <c r="O2373" s="12" t="s">
        <v>33</v>
      </c>
      <c r="P2373" s="12" t="s">
        <v>34</v>
      </c>
      <c r="Q2373" s="9"/>
      <c r="R2373" s="18"/>
      <c r="S2373" s="18"/>
      <c r="T2373" s="18"/>
      <c r="U2373" s="18"/>
      <c r="V2373" s="18"/>
      <c r="W2373" s="15"/>
      <c r="X2373" s="15"/>
    </row>
    <row r="2374">
      <c r="A2374" s="7">
        <v>2373.0</v>
      </c>
      <c r="B2374" s="8" t="s">
        <v>10074</v>
      </c>
      <c r="C2374" s="9" t="s">
        <v>10075</v>
      </c>
      <c r="D2374" s="10" t="str">
        <f>HYPERLINK("https://facebook.com/367089020688300_460240441373157", "367089020688300_460240441373157")</f>
        <v>367089020688300_460240441373157</v>
      </c>
      <c r="E2374" s="11">
        <v>251.0</v>
      </c>
      <c r="F2374" s="11">
        <v>10.0</v>
      </c>
      <c r="G2374" s="11">
        <v>286.0</v>
      </c>
      <c r="H2374" s="9" t="s">
        <v>26</v>
      </c>
      <c r="I2374" s="9" t="s">
        <v>10076</v>
      </c>
      <c r="J2374" s="9" t="s">
        <v>10077</v>
      </c>
      <c r="K2374" s="9" t="s">
        <v>10078</v>
      </c>
      <c r="L2374" s="9" t="s">
        <v>30</v>
      </c>
      <c r="M2374" s="9" t="s">
        <v>31</v>
      </c>
      <c r="N2374" s="9" t="s">
        <v>32</v>
      </c>
      <c r="O2374" s="12" t="s">
        <v>33</v>
      </c>
      <c r="P2374" s="12" t="s">
        <v>34</v>
      </c>
      <c r="Q2374" s="9"/>
      <c r="R2374" s="18"/>
      <c r="S2374" s="18"/>
      <c r="T2374" s="18"/>
      <c r="U2374" s="18"/>
      <c r="V2374" s="18"/>
      <c r="W2374" s="15"/>
      <c r="X2374" s="15"/>
    </row>
    <row r="2375">
      <c r="A2375" s="7">
        <v>2374.0</v>
      </c>
      <c r="B2375" s="8" t="s">
        <v>10079</v>
      </c>
      <c r="C2375" s="9" t="s">
        <v>10080</v>
      </c>
      <c r="D2375" s="10" t="str">
        <f>HYPERLINK("https://facebook.com/367089020688300_488105978586603", "367089020688300_488105978586603")</f>
        <v>367089020688300_488105978586603</v>
      </c>
      <c r="E2375" s="11">
        <v>387.0</v>
      </c>
      <c r="F2375" s="11">
        <v>8.0</v>
      </c>
      <c r="G2375" s="11">
        <v>374.0</v>
      </c>
      <c r="H2375" s="9" t="s">
        <v>26</v>
      </c>
      <c r="I2375" s="9" t="s">
        <v>10081</v>
      </c>
      <c r="J2375" s="9" t="s">
        <v>10082</v>
      </c>
      <c r="K2375" s="9" t="s">
        <v>10083</v>
      </c>
      <c r="L2375" s="9" t="s">
        <v>30</v>
      </c>
      <c r="M2375" s="9" t="s">
        <v>31</v>
      </c>
      <c r="N2375" s="9" t="s">
        <v>32</v>
      </c>
      <c r="O2375" s="12" t="s">
        <v>33</v>
      </c>
      <c r="P2375" s="12" t="s">
        <v>34</v>
      </c>
      <c r="Q2375" s="9"/>
      <c r="R2375" s="18"/>
      <c r="S2375" s="18"/>
      <c r="T2375" s="18"/>
      <c r="U2375" s="18"/>
      <c r="V2375" s="18"/>
      <c r="W2375" s="15"/>
      <c r="X2375" s="15"/>
    </row>
    <row r="2376">
      <c r="A2376" s="7">
        <v>2375.0</v>
      </c>
      <c r="B2376" s="8" t="s">
        <v>10084</v>
      </c>
      <c r="C2376" s="9" t="s">
        <v>10085</v>
      </c>
      <c r="D2376" s="10" t="str">
        <f>HYPERLINK("https://facebook.com/367089020688300_546858529378014", "367089020688300_546858529378014")</f>
        <v>367089020688300_546858529378014</v>
      </c>
      <c r="E2376" s="11">
        <v>222.0</v>
      </c>
      <c r="F2376" s="11">
        <v>7.0</v>
      </c>
      <c r="G2376" s="11">
        <v>162.0</v>
      </c>
      <c r="H2376" s="9" t="s">
        <v>26</v>
      </c>
      <c r="I2376" s="9" t="s">
        <v>10086</v>
      </c>
      <c r="J2376" s="16" t="s">
        <v>10087</v>
      </c>
      <c r="K2376" s="9"/>
      <c r="L2376" s="9" t="s">
        <v>30</v>
      </c>
      <c r="M2376" s="9" t="s">
        <v>31</v>
      </c>
      <c r="N2376" s="9" t="s">
        <v>32</v>
      </c>
      <c r="O2376" s="12" t="s">
        <v>33</v>
      </c>
      <c r="P2376" s="12" t="s">
        <v>34</v>
      </c>
      <c r="Q2376" s="9"/>
      <c r="R2376" s="18"/>
      <c r="S2376" s="18"/>
      <c r="T2376" s="18"/>
      <c r="U2376" s="18"/>
      <c r="V2376" s="18"/>
      <c r="W2376" s="15"/>
      <c r="X2376" s="15"/>
    </row>
    <row r="2377">
      <c r="A2377" s="7">
        <v>2376.0</v>
      </c>
      <c r="B2377" s="8" t="s">
        <v>10088</v>
      </c>
      <c r="C2377" s="9" t="s">
        <v>10089</v>
      </c>
      <c r="D2377" s="10" t="str">
        <f>HYPERLINK("https://facebook.com/367089020688300_545826792814521", "367089020688300_545826792814521")</f>
        <v>367089020688300_545826792814521</v>
      </c>
      <c r="E2377" s="11">
        <v>23.0</v>
      </c>
      <c r="F2377" s="11">
        <v>0.0</v>
      </c>
      <c r="G2377" s="11">
        <v>5.0</v>
      </c>
      <c r="H2377" s="9" t="s">
        <v>26</v>
      </c>
      <c r="I2377" s="9" t="s">
        <v>8691</v>
      </c>
      <c r="J2377" s="9" t="s">
        <v>9567</v>
      </c>
      <c r="K2377" s="9" t="s">
        <v>10090</v>
      </c>
      <c r="L2377" s="9" t="s">
        <v>30</v>
      </c>
      <c r="M2377" s="9" t="s">
        <v>31</v>
      </c>
      <c r="N2377" s="9" t="s">
        <v>32</v>
      </c>
      <c r="O2377" s="12" t="s">
        <v>33</v>
      </c>
      <c r="P2377" s="12" t="s">
        <v>34</v>
      </c>
      <c r="Q2377" s="9"/>
      <c r="R2377" s="18"/>
      <c r="S2377" s="18"/>
      <c r="T2377" s="18"/>
      <c r="U2377" s="18"/>
      <c r="V2377" s="18"/>
      <c r="W2377" s="15"/>
      <c r="X2377" s="15"/>
    </row>
    <row r="2378">
      <c r="A2378" s="7">
        <v>2377.0</v>
      </c>
      <c r="B2378" s="8" t="s">
        <v>10091</v>
      </c>
      <c r="C2378" s="9" t="s">
        <v>10092</v>
      </c>
      <c r="D2378" s="10" t="str">
        <f>HYPERLINK("https://facebook.com/367089020688300_562945224436011", "367089020688300_562945224436011")</f>
        <v>367089020688300_562945224436011</v>
      </c>
      <c r="E2378" s="11">
        <v>18.0</v>
      </c>
      <c r="F2378" s="11">
        <v>0.0</v>
      </c>
      <c r="G2378" s="11">
        <v>9.0</v>
      </c>
      <c r="H2378" s="9" t="s">
        <v>26</v>
      </c>
      <c r="I2378" s="9" t="s">
        <v>10093</v>
      </c>
      <c r="J2378" s="9" t="s">
        <v>10094</v>
      </c>
      <c r="K2378" s="9" t="s">
        <v>10095</v>
      </c>
      <c r="L2378" s="9" t="s">
        <v>30</v>
      </c>
      <c r="M2378" s="9" t="s">
        <v>31</v>
      </c>
      <c r="N2378" s="9" t="s">
        <v>32</v>
      </c>
      <c r="O2378" s="12" t="s">
        <v>33</v>
      </c>
      <c r="P2378" s="12" t="s">
        <v>34</v>
      </c>
      <c r="Q2378" s="9"/>
      <c r="R2378" s="18"/>
      <c r="S2378" s="18"/>
      <c r="T2378" s="18"/>
      <c r="U2378" s="18"/>
      <c r="V2378" s="18"/>
      <c r="W2378" s="15"/>
      <c r="X2378" s="15"/>
    </row>
    <row r="2379">
      <c r="A2379" s="7">
        <v>2378.0</v>
      </c>
      <c r="B2379" s="8" t="s">
        <v>10096</v>
      </c>
      <c r="C2379" s="9" t="s">
        <v>10097</v>
      </c>
      <c r="D2379" s="10" t="str">
        <f>HYPERLINK("https://facebook.com/367089020688300_553446155385918", "367089020688300_553446155385918")</f>
        <v>367089020688300_553446155385918</v>
      </c>
      <c r="E2379" s="11">
        <v>579.0</v>
      </c>
      <c r="F2379" s="11">
        <v>7.0</v>
      </c>
      <c r="G2379" s="11">
        <v>685.0</v>
      </c>
      <c r="H2379" s="9" t="s">
        <v>26</v>
      </c>
      <c r="I2379" s="9" t="s">
        <v>9188</v>
      </c>
      <c r="J2379" s="16" t="s">
        <v>9189</v>
      </c>
      <c r="K2379" s="9"/>
      <c r="L2379" s="9" t="s">
        <v>30</v>
      </c>
      <c r="M2379" s="9" t="s">
        <v>31</v>
      </c>
      <c r="N2379" s="9" t="s">
        <v>32</v>
      </c>
      <c r="O2379" s="12" t="s">
        <v>33</v>
      </c>
      <c r="P2379" s="12" t="s">
        <v>34</v>
      </c>
      <c r="Q2379" s="9"/>
      <c r="R2379" s="18"/>
      <c r="S2379" s="18"/>
      <c r="T2379" s="18"/>
      <c r="U2379" s="18"/>
      <c r="V2379" s="18"/>
      <c r="W2379" s="15"/>
      <c r="X2379" s="15"/>
    </row>
    <row r="2380">
      <c r="A2380" s="7">
        <v>2379.0</v>
      </c>
      <c r="B2380" s="8" t="s">
        <v>10098</v>
      </c>
      <c r="C2380" s="9" t="s">
        <v>10099</v>
      </c>
      <c r="D2380" s="10" t="str">
        <f>HYPERLINK("https://facebook.com/367089020688300_481736029223598", "367089020688300_481736029223598")</f>
        <v>367089020688300_481736029223598</v>
      </c>
      <c r="E2380" s="11">
        <v>788.0</v>
      </c>
      <c r="F2380" s="11">
        <v>10.0</v>
      </c>
      <c r="G2380" s="11">
        <v>723.0</v>
      </c>
      <c r="H2380" s="9" t="s">
        <v>26</v>
      </c>
      <c r="I2380" s="9" t="s">
        <v>3199</v>
      </c>
      <c r="J2380" s="9" t="s">
        <v>10100</v>
      </c>
      <c r="K2380" s="9" t="s">
        <v>10101</v>
      </c>
      <c r="L2380" s="9" t="s">
        <v>30</v>
      </c>
      <c r="M2380" s="9" t="s">
        <v>31</v>
      </c>
      <c r="N2380" s="9" t="s">
        <v>32</v>
      </c>
      <c r="O2380" s="12" t="s">
        <v>33</v>
      </c>
      <c r="P2380" s="12" t="s">
        <v>34</v>
      </c>
      <c r="Q2380" s="9"/>
      <c r="R2380" s="18"/>
      <c r="S2380" s="18"/>
      <c r="T2380" s="18"/>
      <c r="U2380" s="18"/>
      <c r="V2380" s="18"/>
      <c r="W2380" s="15"/>
      <c r="X2380" s="15"/>
    </row>
    <row r="2381">
      <c r="A2381" s="7">
        <v>2380.0</v>
      </c>
      <c r="B2381" s="8" t="s">
        <v>10102</v>
      </c>
      <c r="C2381" s="9" t="s">
        <v>10103</v>
      </c>
      <c r="D2381" s="10" t="str">
        <f>HYPERLINK("https://facebook.com/367089020688300_543278709735996", "367089020688300_543278709735996")</f>
        <v>367089020688300_543278709735996</v>
      </c>
      <c r="E2381" s="11">
        <v>84.0</v>
      </c>
      <c r="F2381" s="11">
        <v>2.0</v>
      </c>
      <c r="G2381" s="11">
        <v>72.0</v>
      </c>
      <c r="H2381" s="9" t="s">
        <v>26</v>
      </c>
      <c r="I2381" s="9" t="s">
        <v>3804</v>
      </c>
      <c r="J2381" s="16" t="s">
        <v>3805</v>
      </c>
      <c r="K2381" s="9"/>
      <c r="L2381" s="9" t="s">
        <v>30</v>
      </c>
      <c r="M2381" s="9" t="s">
        <v>31</v>
      </c>
      <c r="N2381" s="9" t="s">
        <v>32</v>
      </c>
      <c r="O2381" s="12" t="s">
        <v>33</v>
      </c>
      <c r="P2381" s="12" t="s">
        <v>34</v>
      </c>
      <c r="Q2381" s="9"/>
      <c r="R2381" s="18"/>
      <c r="S2381" s="18"/>
      <c r="T2381" s="18"/>
      <c r="U2381" s="18"/>
      <c r="V2381" s="18"/>
      <c r="W2381" s="15"/>
      <c r="X2381" s="15"/>
    </row>
    <row r="2382">
      <c r="A2382" s="7">
        <v>2381.0</v>
      </c>
      <c r="B2382" s="8" t="s">
        <v>10104</v>
      </c>
      <c r="C2382" s="9" t="s">
        <v>10105</v>
      </c>
      <c r="D2382" s="10" t="str">
        <f>HYPERLINK("https://facebook.com/367089020688300_553958715334662", "367089020688300_553958715334662")</f>
        <v>367089020688300_553958715334662</v>
      </c>
      <c r="E2382" s="11">
        <v>115.0</v>
      </c>
      <c r="F2382" s="11">
        <v>2.0</v>
      </c>
      <c r="G2382" s="11">
        <v>105.0</v>
      </c>
      <c r="H2382" s="9" t="s">
        <v>26</v>
      </c>
      <c r="I2382" s="9" t="s">
        <v>10106</v>
      </c>
      <c r="J2382" s="9" t="s">
        <v>10107</v>
      </c>
      <c r="K2382" s="9" t="s">
        <v>10108</v>
      </c>
      <c r="L2382" s="9" t="s">
        <v>30</v>
      </c>
      <c r="M2382" s="9" t="s">
        <v>31</v>
      </c>
      <c r="N2382" s="9" t="s">
        <v>32</v>
      </c>
      <c r="O2382" s="12" t="s">
        <v>33</v>
      </c>
      <c r="P2382" s="12" t="s">
        <v>34</v>
      </c>
      <c r="Q2382" s="9"/>
      <c r="R2382" s="18"/>
      <c r="S2382" s="18"/>
      <c r="T2382" s="18"/>
      <c r="U2382" s="18"/>
      <c r="V2382" s="18"/>
      <c r="W2382" s="15"/>
      <c r="X2382" s="15"/>
    </row>
    <row r="2383">
      <c r="A2383" s="7">
        <v>2382.0</v>
      </c>
      <c r="B2383" s="8" t="s">
        <v>10109</v>
      </c>
      <c r="C2383" s="9" t="s">
        <v>10110</v>
      </c>
      <c r="D2383" s="10" t="str">
        <f>HYPERLINK("https://facebook.com/367089020688300_559784998085367", "367089020688300_559784998085367")</f>
        <v>367089020688300_559784998085367</v>
      </c>
      <c r="E2383" s="11">
        <v>11.0</v>
      </c>
      <c r="F2383" s="11">
        <v>0.0</v>
      </c>
      <c r="G2383" s="11">
        <v>4.0</v>
      </c>
      <c r="H2383" s="9" t="s">
        <v>26</v>
      </c>
      <c r="I2383" s="9" t="s">
        <v>10111</v>
      </c>
      <c r="J2383" s="9" t="s">
        <v>10112</v>
      </c>
      <c r="K2383" s="9" t="s">
        <v>10113</v>
      </c>
      <c r="L2383" s="9" t="s">
        <v>30</v>
      </c>
      <c r="M2383" s="9" t="s">
        <v>31</v>
      </c>
      <c r="N2383" s="9" t="s">
        <v>32</v>
      </c>
      <c r="O2383" s="12" t="s">
        <v>33</v>
      </c>
      <c r="P2383" s="12" t="s">
        <v>34</v>
      </c>
      <c r="Q2383" s="9"/>
      <c r="R2383" s="18"/>
      <c r="S2383" s="18"/>
      <c r="T2383" s="18"/>
      <c r="U2383" s="18"/>
      <c r="V2383" s="18"/>
      <c r="W2383" s="15"/>
      <c r="X2383" s="15"/>
    </row>
    <row r="2384">
      <c r="A2384" s="7">
        <v>2383.0</v>
      </c>
      <c r="B2384" s="8" t="s">
        <v>10114</v>
      </c>
      <c r="C2384" s="9" t="s">
        <v>10115</v>
      </c>
      <c r="D2384" s="10" t="str">
        <f>HYPERLINK("https://facebook.com/367089020688300_536423687088165", "367089020688300_536423687088165")</f>
        <v>367089020688300_536423687088165</v>
      </c>
      <c r="E2384" s="11">
        <v>32.0</v>
      </c>
      <c r="F2384" s="11">
        <v>1.0</v>
      </c>
      <c r="G2384" s="11">
        <v>20.0</v>
      </c>
      <c r="H2384" s="9" t="s">
        <v>26</v>
      </c>
      <c r="I2384" s="9" t="s">
        <v>10116</v>
      </c>
      <c r="J2384" s="9" t="s">
        <v>10117</v>
      </c>
      <c r="K2384" s="9" t="s">
        <v>10118</v>
      </c>
      <c r="L2384" s="9" t="s">
        <v>30</v>
      </c>
      <c r="M2384" s="9" t="s">
        <v>31</v>
      </c>
      <c r="N2384" s="9" t="s">
        <v>32</v>
      </c>
      <c r="O2384" s="12" t="s">
        <v>33</v>
      </c>
      <c r="P2384" s="12" t="s">
        <v>34</v>
      </c>
      <c r="Q2384" s="9"/>
      <c r="R2384" s="18"/>
      <c r="S2384" s="18"/>
      <c r="T2384" s="18"/>
      <c r="U2384" s="18"/>
      <c r="V2384" s="18"/>
      <c r="W2384" s="15"/>
      <c r="X2384" s="15"/>
    </row>
    <row r="2385">
      <c r="A2385" s="7">
        <v>2384.0</v>
      </c>
      <c r="B2385" s="8" t="s">
        <v>10119</v>
      </c>
      <c r="C2385" s="9" t="s">
        <v>10120</v>
      </c>
      <c r="D2385" s="10" t="str">
        <f>HYPERLINK("https://facebook.com/367089020688300_553578615372672", "367089020688300_553578615372672")</f>
        <v>367089020688300_553578615372672</v>
      </c>
      <c r="E2385" s="11">
        <v>165.0</v>
      </c>
      <c r="F2385" s="11">
        <v>3.0</v>
      </c>
      <c r="G2385" s="11">
        <v>85.0</v>
      </c>
      <c r="H2385" s="9" t="s">
        <v>26</v>
      </c>
      <c r="I2385" s="9" t="s">
        <v>10121</v>
      </c>
      <c r="J2385" s="9" t="s">
        <v>10122</v>
      </c>
      <c r="K2385" s="9" t="s">
        <v>10123</v>
      </c>
      <c r="L2385" s="9" t="s">
        <v>30</v>
      </c>
      <c r="M2385" s="9" t="s">
        <v>31</v>
      </c>
      <c r="N2385" s="9" t="s">
        <v>32</v>
      </c>
      <c r="O2385" s="12" t="s">
        <v>33</v>
      </c>
      <c r="P2385" s="12" t="s">
        <v>34</v>
      </c>
      <c r="Q2385" s="9"/>
      <c r="R2385" s="18"/>
      <c r="S2385" s="18"/>
      <c r="T2385" s="18"/>
      <c r="U2385" s="18"/>
      <c r="V2385" s="18"/>
      <c r="W2385" s="15"/>
      <c r="X2385" s="15"/>
    </row>
    <row r="2386">
      <c r="A2386" s="7">
        <v>2385.0</v>
      </c>
      <c r="B2386" s="8" t="s">
        <v>10124</v>
      </c>
      <c r="C2386" s="9" t="s">
        <v>10125</v>
      </c>
      <c r="D2386" s="10" t="str">
        <f>HYPERLINK("https://facebook.com/367089020688300_539907276739806", "367089020688300_539907276739806")</f>
        <v>367089020688300_539907276739806</v>
      </c>
      <c r="E2386" s="11">
        <v>4.0</v>
      </c>
      <c r="F2386" s="11">
        <v>0.0</v>
      </c>
      <c r="G2386" s="11">
        <v>0.0</v>
      </c>
      <c r="H2386" s="9" t="s">
        <v>26</v>
      </c>
      <c r="I2386" s="9" t="s">
        <v>10126</v>
      </c>
      <c r="J2386" s="9" t="s">
        <v>10127</v>
      </c>
      <c r="K2386" s="9" t="s">
        <v>10128</v>
      </c>
      <c r="L2386" s="9" t="s">
        <v>30</v>
      </c>
      <c r="M2386" s="9" t="s">
        <v>31</v>
      </c>
      <c r="N2386" s="9" t="s">
        <v>32</v>
      </c>
      <c r="O2386" s="12" t="s">
        <v>33</v>
      </c>
      <c r="P2386" s="12" t="s">
        <v>34</v>
      </c>
      <c r="Q2386" s="9"/>
      <c r="R2386" s="18"/>
      <c r="S2386" s="18"/>
      <c r="T2386" s="18"/>
      <c r="U2386" s="18"/>
      <c r="V2386" s="18"/>
      <c r="W2386" s="15"/>
      <c r="X2386" s="15"/>
    </row>
    <row r="2387">
      <c r="A2387" s="7">
        <v>2386.0</v>
      </c>
      <c r="B2387" s="8" t="s">
        <v>10129</v>
      </c>
      <c r="C2387" s="9" t="s">
        <v>10130</v>
      </c>
      <c r="D2387" s="10" t="str">
        <f>HYPERLINK("https://facebook.com/367089020688300_548685185862015", "367089020688300_548685185862015")</f>
        <v>367089020688300_548685185862015</v>
      </c>
      <c r="E2387" s="11">
        <v>334.0</v>
      </c>
      <c r="F2387" s="11">
        <v>5.0</v>
      </c>
      <c r="G2387" s="11">
        <v>256.0</v>
      </c>
      <c r="H2387" s="9" t="s">
        <v>26</v>
      </c>
      <c r="I2387" s="9" t="s">
        <v>10131</v>
      </c>
      <c r="J2387" s="16" t="s">
        <v>10132</v>
      </c>
      <c r="K2387" s="9"/>
      <c r="L2387" s="9" t="s">
        <v>30</v>
      </c>
      <c r="M2387" s="9" t="s">
        <v>31</v>
      </c>
      <c r="N2387" s="9" t="s">
        <v>32</v>
      </c>
      <c r="O2387" s="12" t="s">
        <v>33</v>
      </c>
      <c r="P2387" s="12" t="s">
        <v>34</v>
      </c>
      <c r="Q2387" s="9"/>
      <c r="R2387" s="18"/>
      <c r="S2387" s="18"/>
      <c r="T2387" s="18"/>
      <c r="U2387" s="18"/>
      <c r="V2387" s="18"/>
      <c r="W2387" s="15"/>
      <c r="X2387" s="15"/>
    </row>
    <row r="2388">
      <c r="A2388" s="7">
        <v>2387.0</v>
      </c>
      <c r="B2388" s="8" t="s">
        <v>10133</v>
      </c>
      <c r="C2388" s="9" t="s">
        <v>10134</v>
      </c>
      <c r="D2388" s="10" t="str">
        <f>HYPERLINK("https://facebook.com/367089020688300_532671354130065", "367089020688300_532671354130065")</f>
        <v>367089020688300_532671354130065</v>
      </c>
      <c r="E2388" s="11">
        <v>95.0</v>
      </c>
      <c r="F2388" s="11">
        <v>0.0</v>
      </c>
      <c r="G2388" s="11">
        <v>17.0</v>
      </c>
      <c r="H2388" s="9" t="s">
        <v>26</v>
      </c>
      <c r="I2388" s="9" t="s">
        <v>10135</v>
      </c>
      <c r="J2388" s="16" t="s">
        <v>10136</v>
      </c>
      <c r="K2388" s="9"/>
      <c r="L2388" s="9" t="s">
        <v>30</v>
      </c>
      <c r="M2388" s="9" t="s">
        <v>31</v>
      </c>
      <c r="N2388" s="9" t="s">
        <v>32</v>
      </c>
      <c r="O2388" s="12" t="s">
        <v>33</v>
      </c>
      <c r="P2388" s="12" t="s">
        <v>34</v>
      </c>
      <c r="Q2388" s="9"/>
      <c r="R2388" s="18"/>
      <c r="S2388" s="18"/>
      <c r="T2388" s="18"/>
      <c r="U2388" s="18"/>
      <c r="V2388" s="18"/>
      <c r="W2388" s="15"/>
      <c r="X2388" s="15"/>
    </row>
    <row r="2389">
      <c r="A2389" s="7">
        <v>2388.0</v>
      </c>
      <c r="B2389" s="8" t="s">
        <v>10137</v>
      </c>
      <c r="C2389" s="9" t="s">
        <v>10138</v>
      </c>
      <c r="D2389" s="10" t="str">
        <f>HYPERLINK("https://facebook.com/367089020688300_529463944450806", "367089020688300_529463944450806")</f>
        <v>367089020688300_529463944450806</v>
      </c>
      <c r="E2389" s="11">
        <v>308.0</v>
      </c>
      <c r="F2389" s="11">
        <v>8.0</v>
      </c>
      <c r="G2389" s="11">
        <v>157.0</v>
      </c>
      <c r="H2389" s="9" t="s">
        <v>26</v>
      </c>
      <c r="I2389" s="9" t="s">
        <v>10139</v>
      </c>
      <c r="J2389" s="9" t="s">
        <v>10140</v>
      </c>
      <c r="K2389" s="9" t="s">
        <v>10141</v>
      </c>
      <c r="L2389" s="9" t="s">
        <v>30</v>
      </c>
      <c r="M2389" s="9" t="s">
        <v>31</v>
      </c>
      <c r="N2389" s="9" t="s">
        <v>32</v>
      </c>
      <c r="O2389" s="12" t="s">
        <v>33</v>
      </c>
      <c r="P2389" s="12" t="s">
        <v>34</v>
      </c>
      <c r="Q2389" s="9"/>
      <c r="R2389" s="18"/>
      <c r="S2389" s="18"/>
      <c r="T2389" s="18"/>
      <c r="U2389" s="18"/>
      <c r="V2389" s="18"/>
      <c r="W2389" s="15"/>
      <c r="X2389" s="15"/>
    </row>
    <row r="2390">
      <c r="A2390" s="7">
        <v>2389.0</v>
      </c>
      <c r="B2390" s="8" t="s">
        <v>10142</v>
      </c>
      <c r="C2390" s="9" t="s">
        <v>10143</v>
      </c>
      <c r="D2390" s="10" t="str">
        <f>HYPERLINK("https://facebook.com/367089020688300_539836266746907", "367089020688300_539836266746907")</f>
        <v>367089020688300_539836266746907</v>
      </c>
      <c r="E2390" s="11">
        <v>20.0</v>
      </c>
      <c r="F2390" s="11">
        <v>0.0</v>
      </c>
      <c r="G2390" s="11">
        <v>3.0</v>
      </c>
      <c r="H2390" s="9" t="s">
        <v>26</v>
      </c>
      <c r="I2390" s="9" t="s">
        <v>10144</v>
      </c>
      <c r="J2390" s="16" t="s">
        <v>10145</v>
      </c>
      <c r="K2390" s="9"/>
      <c r="L2390" s="9" t="s">
        <v>30</v>
      </c>
      <c r="M2390" s="9" t="s">
        <v>31</v>
      </c>
      <c r="N2390" s="9" t="s">
        <v>32</v>
      </c>
      <c r="O2390" s="12" t="s">
        <v>33</v>
      </c>
      <c r="P2390" s="12" t="s">
        <v>34</v>
      </c>
      <c r="Q2390" s="9"/>
      <c r="R2390" s="18"/>
      <c r="S2390" s="18"/>
      <c r="T2390" s="18"/>
      <c r="U2390" s="18"/>
      <c r="V2390" s="18"/>
      <c r="W2390" s="15"/>
      <c r="X2390" s="15"/>
    </row>
    <row r="2391">
      <c r="A2391" s="7">
        <v>2390.0</v>
      </c>
      <c r="B2391" s="8" t="s">
        <v>10146</v>
      </c>
      <c r="C2391" s="9" t="s">
        <v>10147</v>
      </c>
      <c r="D2391" s="10" t="str">
        <f>HYPERLINK("https://facebook.com/367089020688300_559413604789173", "367089020688300_559413604789173")</f>
        <v>367089020688300_559413604789173</v>
      </c>
      <c r="E2391" s="11">
        <v>153.0</v>
      </c>
      <c r="F2391" s="11">
        <v>4.0</v>
      </c>
      <c r="G2391" s="11">
        <v>187.0</v>
      </c>
      <c r="H2391" s="9" t="s">
        <v>26</v>
      </c>
      <c r="I2391" s="9" t="s">
        <v>10148</v>
      </c>
      <c r="J2391" s="9" t="s">
        <v>10149</v>
      </c>
      <c r="K2391" s="9" t="s">
        <v>10150</v>
      </c>
      <c r="L2391" s="9" t="s">
        <v>30</v>
      </c>
      <c r="M2391" s="9" t="s">
        <v>31</v>
      </c>
      <c r="N2391" s="9" t="s">
        <v>32</v>
      </c>
      <c r="O2391" s="12" t="s">
        <v>33</v>
      </c>
      <c r="P2391" s="12" t="s">
        <v>34</v>
      </c>
      <c r="Q2391" s="9"/>
      <c r="R2391" s="18"/>
      <c r="S2391" s="18"/>
      <c r="T2391" s="18"/>
      <c r="U2391" s="18"/>
      <c r="V2391" s="18"/>
      <c r="W2391" s="15"/>
      <c r="X2391" s="15"/>
    </row>
    <row r="2392">
      <c r="A2392" s="7">
        <v>2391.0</v>
      </c>
      <c r="B2392" s="8" t="s">
        <v>10151</v>
      </c>
      <c r="C2392" s="9" t="s">
        <v>10152</v>
      </c>
      <c r="D2392" s="10" t="str">
        <f>HYPERLINK("https://facebook.com/367089020688300_547983302598870", "367089020688300_547983302598870")</f>
        <v>367089020688300_547983302598870</v>
      </c>
      <c r="E2392" s="11">
        <v>89.0</v>
      </c>
      <c r="F2392" s="11">
        <v>0.0</v>
      </c>
      <c r="G2392" s="11">
        <v>97.0</v>
      </c>
      <c r="H2392" s="9" t="s">
        <v>26</v>
      </c>
      <c r="I2392" s="9" t="s">
        <v>10153</v>
      </c>
      <c r="J2392" s="9" t="s">
        <v>10154</v>
      </c>
      <c r="K2392" s="9" t="s">
        <v>363</v>
      </c>
      <c r="L2392" s="9" t="s">
        <v>30</v>
      </c>
      <c r="M2392" s="9" t="s">
        <v>31</v>
      </c>
      <c r="N2392" s="9" t="s">
        <v>32</v>
      </c>
      <c r="O2392" s="12" t="s">
        <v>33</v>
      </c>
      <c r="P2392" s="12" t="s">
        <v>34</v>
      </c>
      <c r="Q2392" s="9"/>
      <c r="R2392" s="18"/>
      <c r="S2392" s="18"/>
      <c r="T2392" s="18"/>
      <c r="U2392" s="18"/>
      <c r="V2392" s="18"/>
      <c r="W2392" s="15"/>
      <c r="X2392" s="15"/>
    </row>
    <row r="2393">
      <c r="A2393" s="7">
        <v>2392.0</v>
      </c>
      <c r="B2393" s="8" t="s">
        <v>10155</v>
      </c>
      <c r="C2393" s="9" t="s">
        <v>10156</v>
      </c>
      <c r="D2393" s="10" t="str">
        <f>HYPERLINK("https://facebook.com/367089020688300_545501679513699", "367089020688300_545501679513699")</f>
        <v>367089020688300_545501679513699</v>
      </c>
      <c r="E2393" s="11">
        <v>11.0</v>
      </c>
      <c r="F2393" s="11">
        <v>0.0</v>
      </c>
      <c r="G2393" s="11">
        <v>5.0</v>
      </c>
      <c r="H2393" s="9" t="s">
        <v>26</v>
      </c>
      <c r="I2393" s="9" t="s">
        <v>10157</v>
      </c>
      <c r="J2393" s="16" t="s">
        <v>10158</v>
      </c>
      <c r="K2393" s="9"/>
      <c r="L2393" s="9" t="s">
        <v>30</v>
      </c>
      <c r="M2393" s="9" t="s">
        <v>31</v>
      </c>
      <c r="N2393" s="9" t="s">
        <v>32</v>
      </c>
      <c r="O2393" s="12" t="s">
        <v>33</v>
      </c>
      <c r="P2393" s="12" t="s">
        <v>34</v>
      </c>
      <c r="Q2393" s="9"/>
      <c r="R2393" s="18"/>
      <c r="S2393" s="18"/>
      <c r="T2393" s="18"/>
      <c r="U2393" s="18"/>
      <c r="V2393" s="18"/>
      <c r="W2393" s="15"/>
      <c r="X2393" s="15"/>
    </row>
    <row r="2394">
      <c r="A2394" s="7">
        <v>2393.0</v>
      </c>
      <c r="B2394" s="8" t="s">
        <v>10159</v>
      </c>
      <c r="C2394" s="9" t="s">
        <v>10160</v>
      </c>
      <c r="D2394" s="10" t="str">
        <f>HYPERLINK("https://facebook.com/367089020688300_526606704736530", "367089020688300_526606704736530")</f>
        <v>367089020688300_526606704736530</v>
      </c>
      <c r="E2394" s="11">
        <v>14.0</v>
      </c>
      <c r="F2394" s="11">
        <v>2.0</v>
      </c>
      <c r="G2394" s="11">
        <v>46.0</v>
      </c>
      <c r="H2394" s="9" t="s">
        <v>26</v>
      </c>
      <c r="I2394" s="9" t="s">
        <v>10161</v>
      </c>
      <c r="J2394" s="16" t="s">
        <v>10162</v>
      </c>
      <c r="K2394" s="9"/>
      <c r="L2394" s="9" t="s">
        <v>30</v>
      </c>
      <c r="M2394" s="9" t="s">
        <v>31</v>
      </c>
      <c r="N2394" s="9" t="s">
        <v>32</v>
      </c>
      <c r="O2394" s="12" t="s">
        <v>33</v>
      </c>
      <c r="P2394" s="12" t="s">
        <v>34</v>
      </c>
      <c r="Q2394" s="9"/>
      <c r="R2394" s="18"/>
      <c r="S2394" s="18"/>
      <c r="T2394" s="18"/>
      <c r="U2394" s="18"/>
      <c r="V2394" s="18"/>
      <c r="W2394" s="15"/>
      <c r="X2394" s="15"/>
    </row>
    <row r="2395">
      <c r="A2395" s="7">
        <v>2394.0</v>
      </c>
      <c r="B2395" s="8" t="s">
        <v>10163</v>
      </c>
      <c r="C2395" s="9" t="s">
        <v>10164</v>
      </c>
      <c r="D2395" s="10" t="str">
        <f>HYPERLINK("https://facebook.com/367089020688300_553967238667143", "367089020688300_553967238667143")</f>
        <v>367089020688300_553967238667143</v>
      </c>
      <c r="E2395" s="11">
        <v>97.0</v>
      </c>
      <c r="F2395" s="11">
        <v>6.0</v>
      </c>
      <c r="G2395" s="11">
        <v>51.0</v>
      </c>
      <c r="H2395" s="9" t="s">
        <v>26</v>
      </c>
      <c r="I2395" s="9" t="s">
        <v>10165</v>
      </c>
      <c r="J2395" s="9" t="s">
        <v>10166</v>
      </c>
      <c r="K2395" s="9" t="s">
        <v>4717</v>
      </c>
      <c r="L2395" s="9" t="s">
        <v>30</v>
      </c>
      <c r="M2395" s="9" t="s">
        <v>31</v>
      </c>
      <c r="N2395" s="9" t="s">
        <v>32</v>
      </c>
      <c r="O2395" s="12" t="s">
        <v>33</v>
      </c>
      <c r="P2395" s="12" t="s">
        <v>34</v>
      </c>
      <c r="Q2395" s="9"/>
      <c r="R2395" s="18"/>
      <c r="S2395" s="18"/>
      <c r="T2395" s="18"/>
      <c r="U2395" s="18"/>
      <c r="V2395" s="18"/>
      <c r="W2395" s="15"/>
      <c r="X2395" s="15"/>
    </row>
    <row r="2396">
      <c r="A2396" s="7">
        <v>2395.0</v>
      </c>
      <c r="B2396" s="8" t="s">
        <v>10167</v>
      </c>
      <c r="C2396" s="9" t="s">
        <v>10168</v>
      </c>
      <c r="D2396" s="10" t="str">
        <f>HYPERLINK("https://facebook.com/367089020688300_462698571127344", "367089020688300_462698571127344")</f>
        <v>367089020688300_462698571127344</v>
      </c>
      <c r="E2396" s="11">
        <v>103.0</v>
      </c>
      <c r="F2396" s="11">
        <v>3.0</v>
      </c>
      <c r="G2396" s="11">
        <v>160.0</v>
      </c>
      <c r="H2396" s="9" t="s">
        <v>26</v>
      </c>
      <c r="I2396" s="9" t="s">
        <v>10116</v>
      </c>
      <c r="J2396" s="9" t="s">
        <v>10169</v>
      </c>
      <c r="K2396" s="9" t="s">
        <v>10170</v>
      </c>
      <c r="L2396" s="9" t="s">
        <v>30</v>
      </c>
      <c r="M2396" s="9" t="s">
        <v>31</v>
      </c>
      <c r="N2396" s="9" t="s">
        <v>32</v>
      </c>
      <c r="O2396" s="12" t="s">
        <v>33</v>
      </c>
      <c r="P2396" s="12" t="s">
        <v>34</v>
      </c>
      <c r="Q2396" s="9"/>
      <c r="R2396" s="18"/>
      <c r="S2396" s="18"/>
      <c r="T2396" s="18"/>
      <c r="U2396" s="18"/>
      <c r="V2396" s="18"/>
      <c r="W2396" s="15"/>
      <c r="X2396" s="15"/>
    </row>
    <row r="2397">
      <c r="A2397" s="7">
        <v>2396.0</v>
      </c>
      <c r="B2397" s="8" t="s">
        <v>10171</v>
      </c>
      <c r="C2397" s="9" t="s">
        <v>10172</v>
      </c>
      <c r="D2397" s="10" t="str">
        <f>HYPERLINK("https://facebook.com/367089020688300_426625618067973", "367089020688300_426625618067973")</f>
        <v>367089020688300_426625618067973</v>
      </c>
      <c r="E2397" s="11">
        <v>628.0</v>
      </c>
      <c r="F2397" s="11">
        <v>23.0</v>
      </c>
      <c r="G2397" s="11">
        <v>365.0</v>
      </c>
      <c r="H2397" s="9" t="s">
        <v>26</v>
      </c>
      <c r="I2397" s="9" t="s">
        <v>10173</v>
      </c>
      <c r="J2397" s="9" t="s">
        <v>10174</v>
      </c>
      <c r="K2397" s="9" t="s">
        <v>10175</v>
      </c>
      <c r="L2397" s="9" t="s">
        <v>30</v>
      </c>
      <c r="M2397" s="9" t="s">
        <v>31</v>
      </c>
      <c r="N2397" s="9" t="s">
        <v>32</v>
      </c>
      <c r="O2397" s="12" t="s">
        <v>33</v>
      </c>
      <c r="P2397" s="12" t="s">
        <v>34</v>
      </c>
      <c r="Q2397" s="9"/>
      <c r="R2397" s="18"/>
      <c r="S2397" s="18"/>
      <c r="T2397" s="18"/>
      <c r="U2397" s="18"/>
      <c r="V2397" s="18"/>
      <c r="W2397" s="15"/>
      <c r="X2397" s="15"/>
    </row>
    <row r="2398">
      <c r="A2398" s="7">
        <v>2397.0</v>
      </c>
      <c r="B2398" s="8" t="s">
        <v>10176</v>
      </c>
      <c r="C2398" s="9" t="s">
        <v>10177</v>
      </c>
      <c r="D2398" s="10" t="str">
        <f>HYPERLINK("https://facebook.com/367089020688300_449770755753459", "367089020688300_449770755753459")</f>
        <v>367089020688300_449770755753459</v>
      </c>
      <c r="E2398" s="11">
        <v>87.0</v>
      </c>
      <c r="F2398" s="11">
        <v>12.0</v>
      </c>
      <c r="G2398" s="11">
        <v>186.0</v>
      </c>
      <c r="H2398" s="9" t="s">
        <v>26</v>
      </c>
      <c r="I2398" s="9" t="s">
        <v>10178</v>
      </c>
      <c r="J2398" s="9" t="s">
        <v>10179</v>
      </c>
      <c r="K2398" s="9" t="s">
        <v>10180</v>
      </c>
      <c r="L2398" s="9" t="s">
        <v>30</v>
      </c>
      <c r="M2398" s="9" t="s">
        <v>31</v>
      </c>
      <c r="N2398" s="9" t="s">
        <v>32</v>
      </c>
      <c r="O2398" s="12" t="s">
        <v>33</v>
      </c>
      <c r="P2398" s="12" t="s">
        <v>34</v>
      </c>
      <c r="Q2398" s="9"/>
      <c r="R2398" s="18"/>
      <c r="S2398" s="18"/>
      <c r="T2398" s="18"/>
      <c r="U2398" s="18"/>
      <c r="V2398" s="18"/>
      <c r="W2398" s="15"/>
      <c r="X2398" s="15"/>
    </row>
    <row r="2399">
      <c r="A2399" s="7">
        <v>2398.0</v>
      </c>
      <c r="B2399" s="8" t="s">
        <v>10181</v>
      </c>
      <c r="C2399" s="9" t="s">
        <v>10182</v>
      </c>
      <c r="D2399" s="10" t="str">
        <f>HYPERLINK("https://facebook.com/367089020688300_449658732431328", "367089020688300_449658732431328")</f>
        <v>367089020688300_449658732431328</v>
      </c>
      <c r="E2399" s="11">
        <v>267.0</v>
      </c>
      <c r="F2399" s="11">
        <v>3.0</v>
      </c>
      <c r="G2399" s="11">
        <v>193.0</v>
      </c>
      <c r="H2399" s="9" t="s">
        <v>26</v>
      </c>
      <c r="I2399" s="9" t="s">
        <v>10183</v>
      </c>
      <c r="J2399" s="16" t="s">
        <v>10184</v>
      </c>
      <c r="K2399" s="9"/>
      <c r="L2399" s="9" t="s">
        <v>30</v>
      </c>
      <c r="M2399" s="9" t="s">
        <v>31</v>
      </c>
      <c r="N2399" s="9" t="s">
        <v>32</v>
      </c>
      <c r="O2399" s="12" t="s">
        <v>33</v>
      </c>
      <c r="P2399" s="12" t="s">
        <v>34</v>
      </c>
      <c r="Q2399" s="9"/>
      <c r="R2399" s="18"/>
      <c r="S2399" s="18"/>
      <c r="T2399" s="18"/>
      <c r="U2399" s="18"/>
      <c r="V2399" s="18"/>
      <c r="W2399" s="15"/>
      <c r="X2399" s="15"/>
    </row>
    <row r="2400">
      <c r="A2400" s="7">
        <v>2399.0</v>
      </c>
      <c r="B2400" s="8" t="s">
        <v>10185</v>
      </c>
      <c r="C2400" s="9" t="s">
        <v>10186</v>
      </c>
      <c r="D2400" s="10" t="str">
        <f>HYPERLINK("https://facebook.com/367089020688300_520647298665804", "367089020688300_520647298665804")</f>
        <v>367089020688300_520647298665804</v>
      </c>
      <c r="E2400" s="11">
        <v>80.0</v>
      </c>
      <c r="F2400" s="11">
        <v>6.0</v>
      </c>
      <c r="G2400" s="11">
        <v>193.0</v>
      </c>
      <c r="H2400" s="9" t="s">
        <v>26</v>
      </c>
      <c r="I2400" s="9" t="s">
        <v>5600</v>
      </c>
      <c r="J2400" s="16" t="s">
        <v>10187</v>
      </c>
      <c r="K2400" s="9"/>
      <c r="L2400" s="9" t="s">
        <v>30</v>
      </c>
      <c r="M2400" s="9" t="s">
        <v>31</v>
      </c>
      <c r="N2400" s="9" t="s">
        <v>32</v>
      </c>
      <c r="O2400" s="12" t="s">
        <v>33</v>
      </c>
      <c r="P2400" s="12" t="s">
        <v>34</v>
      </c>
      <c r="Q2400" s="9"/>
      <c r="R2400" s="18"/>
      <c r="S2400" s="18"/>
      <c r="T2400" s="18"/>
      <c r="U2400" s="18"/>
      <c r="V2400" s="18"/>
      <c r="W2400" s="15"/>
      <c r="X2400" s="15"/>
    </row>
    <row r="2401">
      <c r="A2401" s="7">
        <v>2400.0</v>
      </c>
      <c r="B2401" s="8" t="s">
        <v>10188</v>
      </c>
      <c r="C2401" s="9" t="s">
        <v>10189</v>
      </c>
      <c r="D2401" s="10" t="str">
        <f>HYPERLINK("https://facebook.com/367089020688300_545956672801533", "367089020688300_545956672801533")</f>
        <v>367089020688300_545956672801533</v>
      </c>
      <c r="E2401" s="11">
        <v>67.0</v>
      </c>
      <c r="F2401" s="11">
        <v>1.0</v>
      </c>
      <c r="G2401" s="11">
        <v>50.0</v>
      </c>
      <c r="H2401" s="9" t="s">
        <v>26</v>
      </c>
      <c r="I2401" s="9" t="s">
        <v>10190</v>
      </c>
      <c r="J2401" s="16" t="s">
        <v>10191</v>
      </c>
      <c r="K2401" s="9"/>
      <c r="L2401" s="9" t="s">
        <v>30</v>
      </c>
      <c r="M2401" s="9" t="s">
        <v>31</v>
      </c>
      <c r="N2401" s="9" t="s">
        <v>32</v>
      </c>
      <c r="O2401" s="12" t="s">
        <v>33</v>
      </c>
      <c r="P2401" s="12" t="s">
        <v>34</v>
      </c>
      <c r="Q2401" s="9"/>
      <c r="R2401" s="18"/>
      <c r="S2401" s="18"/>
      <c r="T2401" s="18"/>
      <c r="U2401" s="18"/>
      <c r="V2401" s="18"/>
      <c r="W2401" s="15"/>
      <c r="X2401" s="15"/>
    </row>
    <row r="2402">
      <c r="A2402" s="7">
        <v>2401.0</v>
      </c>
      <c r="B2402" s="8" t="s">
        <v>10192</v>
      </c>
      <c r="C2402" s="9" t="s">
        <v>10193</v>
      </c>
      <c r="D2402" s="10" t="str">
        <f>HYPERLINK("https://facebook.com/367089020688300_551366958927171", "367089020688300_551366958927171")</f>
        <v>367089020688300_551366958927171</v>
      </c>
      <c r="E2402" s="11">
        <v>32.0</v>
      </c>
      <c r="F2402" s="11">
        <v>0.0</v>
      </c>
      <c r="G2402" s="11">
        <v>27.0</v>
      </c>
      <c r="H2402" s="9" t="s">
        <v>26</v>
      </c>
      <c r="I2402" s="9" t="s">
        <v>10194</v>
      </c>
      <c r="J2402" s="9" t="s">
        <v>10195</v>
      </c>
      <c r="K2402" s="9" t="s">
        <v>214</v>
      </c>
      <c r="L2402" s="9" t="s">
        <v>30</v>
      </c>
      <c r="M2402" s="9" t="s">
        <v>31</v>
      </c>
      <c r="N2402" s="9" t="s">
        <v>32</v>
      </c>
      <c r="O2402" s="12" t="s">
        <v>33</v>
      </c>
      <c r="P2402" s="12" t="s">
        <v>34</v>
      </c>
      <c r="Q2402" s="9"/>
      <c r="R2402" s="18"/>
      <c r="S2402" s="18"/>
      <c r="T2402" s="18"/>
      <c r="U2402" s="18"/>
      <c r="V2402" s="18"/>
      <c r="W2402" s="15"/>
      <c r="X2402" s="15"/>
    </row>
    <row r="2403">
      <c r="A2403" s="7">
        <v>2402.0</v>
      </c>
      <c r="B2403" s="8" t="s">
        <v>10196</v>
      </c>
      <c r="C2403" s="9" t="s">
        <v>10197</v>
      </c>
      <c r="D2403" s="10" t="str">
        <f>HYPERLINK("https://facebook.com/367089020688300_547084192688781", "367089020688300_547084192688781")</f>
        <v>367089020688300_547084192688781</v>
      </c>
      <c r="E2403" s="11">
        <v>21.0</v>
      </c>
      <c r="F2403" s="11">
        <v>0.0</v>
      </c>
      <c r="G2403" s="11">
        <v>10.0</v>
      </c>
      <c r="H2403" s="9" t="s">
        <v>26</v>
      </c>
      <c r="I2403" s="9" t="s">
        <v>10198</v>
      </c>
      <c r="J2403" s="16" t="s">
        <v>10199</v>
      </c>
      <c r="K2403" s="9"/>
      <c r="L2403" s="9" t="s">
        <v>30</v>
      </c>
      <c r="M2403" s="9" t="s">
        <v>31</v>
      </c>
      <c r="N2403" s="9" t="s">
        <v>32</v>
      </c>
      <c r="O2403" s="12" t="s">
        <v>33</v>
      </c>
      <c r="P2403" s="12" t="s">
        <v>34</v>
      </c>
      <c r="Q2403" s="9"/>
      <c r="R2403" s="18"/>
      <c r="S2403" s="18"/>
      <c r="T2403" s="18"/>
      <c r="U2403" s="18"/>
      <c r="V2403" s="18"/>
      <c r="W2403" s="15"/>
      <c r="X2403" s="15"/>
    </row>
    <row r="2404">
      <c r="A2404" s="7">
        <v>2403.0</v>
      </c>
      <c r="B2404" s="8" t="s">
        <v>10200</v>
      </c>
      <c r="C2404" s="9" t="s">
        <v>10201</v>
      </c>
      <c r="D2404" s="10" t="str">
        <f>HYPERLINK("https://facebook.com/367089020688300_460482188015649", "367089020688300_460482188015649")</f>
        <v>367089020688300_460482188015649</v>
      </c>
      <c r="E2404" s="11">
        <v>73.0</v>
      </c>
      <c r="F2404" s="11">
        <v>2.0</v>
      </c>
      <c r="G2404" s="11">
        <v>75.0</v>
      </c>
      <c r="H2404" s="9" t="s">
        <v>26</v>
      </c>
      <c r="I2404" s="9" t="s">
        <v>5821</v>
      </c>
      <c r="J2404" s="9" t="s">
        <v>10202</v>
      </c>
      <c r="K2404" s="9" t="s">
        <v>10203</v>
      </c>
      <c r="L2404" s="9" t="s">
        <v>30</v>
      </c>
      <c r="M2404" s="9" t="s">
        <v>31</v>
      </c>
      <c r="N2404" s="9" t="s">
        <v>32</v>
      </c>
      <c r="O2404" s="12" t="s">
        <v>33</v>
      </c>
      <c r="P2404" s="12" t="s">
        <v>34</v>
      </c>
      <c r="Q2404" s="9"/>
      <c r="R2404" s="18"/>
      <c r="S2404" s="18"/>
      <c r="T2404" s="18"/>
      <c r="U2404" s="18"/>
      <c r="V2404" s="18"/>
      <c r="W2404" s="15"/>
      <c r="X2404" s="15"/>
    </row>
    <row r="2405">
      <c r="A2405" s="7">
        <v>2404.0</v>
      </c>
      <c r="B2405" s="8" t="s">
        <v>10204</v>
      </c>
      <c r="C2405" s="9" t="s">
        <v>10205</v>
      </c>
      <c r="D2405" s="10" t="str">
        <f>HYPERLINK("https://facebook.com/367089020688300_539283513468849", "367089020688300_539283513468849")</f>
        <v>367089020688300_539283513468849</v>
      </c>
      <c r="E2405" s="11">
        <v>38.0</v>
      </c>
      <c r="F2405" s="11">
        <v>0.0</v>
      </c>
      <c r="G2405" s="11">
        <v>31.0</v>
      </c>
      <c r="H2405" s="9" t="s">
        <v>26</v>
      </c>
      <c r="I2405" s="9" t="s">
        <v>10206</v>
      </c>
      <c r="J2405" s="9" t="s">
        <v>10207</v>
      </c>
      <c r="K2405" s="9" t="s">
        <v>10208</v>
      </c>
      <c r="L2405" s="9" t="s">
        <v>30</v>
      </c>
      <c r="M2405" s="9" t="s">
        <v>31</v>
      </c>
      <c r="N2405" s="9" t="s">
        <v>32</v>
      </c>
      <c r="O2405" s="12" t="s">
        <v>33</v>
      </c>
      <c r="P2405" s="12" t="s">
        <v>34</v>
      </c>
      <c r="Q2405" s="9"/>
      <c r="R2405" s="18"/>
      <c r="S2405" s="18"/>
      <c r="T2405" s="18"/>
      <c r="U2405" s="18"/>
      <c r="V2405" s="18"/>
      <c r="W2405" s="15"/>
      <c r="X2405" s="15"/>
    </row>
    <row r="2406">
      <c r="A2406" s="7">
        <v>2405.0</v>
      </c>
      <c r="B2406" s="8" t="s">
        <v>10209</v>
      </c>
      <c r="C2406" s="9" t="s">
        <v>10210</v>
      </c>
      <c r="D2406" s="10" t="str">
        <f>HYPERLINK("https://facebook.com/367089020688300_560411811356019", "367089020688300_560411811356019")</f>
        <v>367089020688300_560411811356019</v>
      </c>
      <c r="E2406" s="11">
        <v>479.0</v>
      </c>
      <c r="F2406" s="11">
        <v>9.0</v>
      </c>
      <c r="G2406" s="11">
        <v>298.0</v>
      </c>
      <c r="H2406" s="9" t="s">
        <v>26</v>
      </c>
      <c r="I2406" s="9" t="s">
        <v>4839</v>
      </c>
      <c r="J2406" s="9" t="s">
        <v>4840</v>
      </c>
      <c r="K2406" s="9" t="s">
        <v>10211</v>
      </c>
      <c r="L2406" s="9" t="s">
        <v>30</v>
      </c>
      <c r="M2406" s="9" t="s">
        <v>31</v>
      </c>
      <c r="N2406" s="9" t="s">
        <v>32</v>
      </c>
      <c r="O2406" s="12" t="s">
        <v>33</v>
      </c>
      <c r="P2406" s="12" t="s">
        <v>34</v>
      </c>
      <c r="Q2406" s="9"/>
      <c r="R2406" s="18"/>
      <c r="S2406" s="18"/>
      <c r="T2406" s="18"/>
      <c r="U2406" s="18"/>
      <c r="V2406" s="18"/>
      <c r="W2406" s="15"/>
      <c r="X2406" s="15"/>
    </row>
    <row r="2407">
      <c r="A2407" s="7">
        <v>2406.0</v>
      </c>
      <c r="B2407" s="8" t="s">
        <v>10212</v>
      </c>
      <c r="C2407" s="9" t="s">
        <v>10213</v>
      </c>
      <c r="D2407" s="10" t="str">
        <f>HYPERLINK("https://facebook.com/367089020688300_485320685531799", "367089020688300_485320685531799")</f>
        <v>367089020688300_485320685531799</v>
      </c>
      <c r="E2407" s="11">
        <v>223.0</v>
      </c>
      <c r="F2407" s="11">
        <v>4.0</v>
      </c>
      <c r="G2407" s="11">
        <v>410.0</v>
      </c>
      <c r="H2407" s="9" t="s">
        <v>26</v>
      </c>
      <c r="I2407" s="9" t="s">
        <v>10214</v>
      </c>
      <c r="J2407" s="9" t="s">
        <v>10215</v>
      </c>
      <c r="K2407" s="9" t="s">
        <v>10216</v>
      </c>
      <c r="L2407" s="9" t="s">
        <v>30</v>
      </c>
      <c r="M2407" s="9" t="s">
        <v>31</v>
      </c>
      <c r="N2407" s="9" t="s">
        <v>32</v>
      </c>
      <c r="O2407" s="12" t="s">
        <v>33</v>
      </c>
      <c r="P2407" s="12" t="s">
        <v>34</v>
      </c>
      <c r="Q2407" s="9"/>
      <c r="R2407" s="18"/>
      <c r="S2407" s="18"/>
      <c r="T2407" s="18"/>
      <c r="U2407" s="18"/>
      <c r="V2407" s="18"/>
      <c r="W2407" s="15"/>
      <c r="X2407" s="15"/>
    </row>
    <row r="2408">
      <c r="A2408" s="7">
        <v>2407.0</v>
      </c>
      <c r="B2408" s="8" t="s">
        <v>10217</v>
      </c>
      <c r="C2408" s="9" t="s">
        <v>10218</v>
      </c>
      <c r="D2408" s="10" t="str">
        <f>HYPERLINK("https://facebook.com/367089020688300_534480457282488", "367089020688300_534480457282488")</f>
        <v>367089020688300_534480457282488</v>
      </c>
      <c r="E2408" s="11">
        <v>325.0</v>
      </c>
      <c r="F2408" s="11">
        <v>1.0</v>
      </c>
      <c r="G2408" s="11">
        <v>100.0</v>
      </c>
      <c r="H2408" s="9" t="s">
        <v>26</v>
      </c>
      <c r="I2408" s="9" t="s">
        <v>10219</v>
      </c>
      <c r="J2408" s="16" t="s">
        <v>10220</v>
      </c>
      <c r="K2408" s="9"/>
      <c r="L2408" s="9" t="s">
        <v>30</v>
      </c>
      <c r="M2408" s="9" t="s">
        <v>31</v>
      </c>
      <c r="N2408" s="9" t="s">
        <v>32</v>
      </c>
      <c r="O2408" s="12" t="s">
        <v>33</v>
      </c>
      <c r="P2408" s="12" t="s">
        <v>34</v>
      </c>
      <c r="Q2408" s="9"/>
      <c r="R2408" s="18"/>
      <c r="S2408" s="18"/>
      <c r="T2408" s="18"/>
      <c r="U2408" s="18"/>
      <c r="V2408" s="18"/>
      <c r="W2408" s="15"/>
      <c r="X2408" s="15"/>
    </row>
    <row r="2409">
      <c r="A2409" s="7">
        <v>2408.0</v>
      </c>
      <c r="B2409" s="8" t="s">
        <v>10221</v>
      </c>
      <c r="C2409" s="9" t="s">
        <v>10222</v>
      </c>
      <c r="D2409" s="10" t="str">
        <f>HYPERLINK("https://facebook.com/367089020688300_532899570773910", "367089020688300_532899570773910")</f>
        <v>367089020688300_532899570773910</v>
      </c>
      <c r="E2409" s="11">
        <v>28.0</v>
      </c>
      <c r="F2409" s="11">
        <v>1.0</v>
      </c>
      <c r="G2409" s="11">
        <v>38.0</v>
      </c>
      <c r="H2409" s="9" t="s">
        <v>26</v>
      </c>
      <c r="I2409" s="9" t="s">
        <v>4787</v>
      </c>
      <c r="J2409" s="9" t="s">
        <v>4788</v>
      </c>
      <c r="K2409" s="9" t="s">
        <v>51</v>
      </c>
      <c r="L2409" s="9" t="s">
        <v>30</v>
      </c>
      <c r="M2409" s="9" t="s">
        <v>31</v>
      </c>
      <c r="N2409" s="9" t="s">
        <v>32</v>
      </c>
      <c r="O2409" s="12" t="s">
        <v>33</v>
      </c>
      <c r="P2409" s="12" t="s">
        <v>34</v>
      </c>
      <c r="Q2409" s="9"/>
      <c r="R2409" s="18"/>
      <c r="S2409" s="18"/>
      <c r="T2409" s="18"/>
      <c r="U2409" s="18"/>
      <c r="V2409" s="18"/>
      <c r="W2409" s="15"/>
      <c r="X2409" s="15"/>
    </row>
    <row r="2410">
      <c r="A2410" s="7">
        <v>2409.0</v>
      </c>
      <c r="B2410" s="8" t="s">
        <v>10223</v>
      </c>
      <c r="C2410" s="9" t="s">
        <v>10224</v>
      </c>
      <c r="D2410" s="10" t="str">
        <f>HYPERLINK("https://facebook.com/367089020688300_509232463140621", "367089020688300_509232463140621")</f>
        <v>367089020688300_509232463140621</v>
      </c>
      <c r="E2410" s="11">
        <v>787.0</v>
      </c>
      <c r="F2410" s="11">
        <v>23.0</v>
      </c>
      <c r="G2410" s="11">
        <v>620.0</v>
      </c>
      <c r="H2410" s="9" t="s">
        <v>26</v>
      </c>
      <c r="I2410" s="9" t="s">
        <v>10225</v>
      </c>
      <c r="J2410" s="16" t="s">
        <v>10226</v>
      </c>
      <c r="K2410" s="9"/>
      <c r="L2410" s="9" t="s">
        <v>30</v>
      </c>
      <c r="M2410" s="9" t="s">
        <v>31</v>
      </c>
      <c r="N2410" s="9" t="s">
        <v>32</v>
      </c>
      <c r="O2410" s="12" t="s">
        <v>33</v>
      </c>
      <c r="P2410" s="12" t="s">
        <v>34</v>
      </c>
      <c r="Q2410" s="9"/>
      <c r="R2410" s="18"/>
      <c r="S2410" s="18"/>
      <c r="T2410" s="18"/>
      <c r="U2410" s="18"/>
      <c r="V2410" s="18"/>
      <c r="W2410" s="15"/>
      <c r="X2410" s="15"/>
    </row>
    <row r="2411">
      <c r="A2411" s="7">
        <v>2410.0</v>
      </c>
      <c r="B2411" s="8" t="s">
        <v>10227</v>
      </c>
      <c r="C2411" s="9" t="s">
        <v>10228</v>
      </c>
      <c r="D2411" s="10" t="str">
        <f>HYPERLINK("https://facebook.com/367089020688300_536272407103293", "367089020688300_536272407103293")</f>
        <v>367089020688300_536272407103293</v>
      </c>
      <c r="E2411" s="11">
        <v>9.0</v>
      </c>
      <c r="F2411" s="11">
        <v>0.0</v>
      </c>
      <c r="G2411" s="11">
        <v>3.0</v>
      </c>
      <c r="H2411" s="9" t="s">
        <v>26</v>
      </c>
      <c r="I2411" s="9" t="s">
        <v>566</v>
      </c>
      <c r="J2411" s="9" t="s">
        <v>10229</v>
      </c>
      <c r="K2411" s="9" t="s">
        <v>10230</v>
      </c>
      <c r="L2411" s="9" t="s">
        <v>30</v>
      </c>
      <c r="M2411" s="9" t="s">
        <v>31</v>
      </c>
      <c r="N2411" s="9" t="s">
        <v>32</v>
      </c>
      <c r="O2411" s="12" t="s">
        <v>33</v>
      </c>
      <c r="P2411" s="12" t="s">
        <v>34</v>
      </c>
      <c r="Q2411" s="9"/>
      <c r="R2411" s="18"/>
      <c r="S2411" s="18"/>
      <c r="T2411" s="18"/>
      <c r="U2411" s="18"/>
      <c r="V2411" s="18"/>
      <c r="W2411" s="15"/>
      <c r="X2411" s="15"/>
    </row>
    <row r="2412">
      <c r="A2412" s="7">
        <v>2411.0</v>
      </c>
      <c r="B2412" s="8" t="s">
        <v>10231</v>
      </c>
      <c r="C2412" s="9" t="s">
        <v>10232</v>
      </c>
      <c r="D2412" s="10" t="str">
        <f>HYPERLINK("https://facebook.com/367089020688300_541462259917641", "367089020688300_541462259917641")</f>
        <v>367089020688300_541462259917641</v>
      </c>
      <c r="E2412" s="11">
        <v>381.0</v>
      </c>
      <c r="F2412" s="11">
        <v>15.0</v>
      </c>
      <c r="G2412" s="11">
        <v>288.0</v>
      </c>
      <c r="H2412" s="9" t="s">
        <v>26</v>
      </c>
      <c r="I2412" s="9" t="s">
        <v>10233</v>
      </c>
      <c r="J2412" s="9" t="s">
        <v>10234</v>
      </c>
      <c r="K2412" s="9" t="s">
        <v>2498</v>
      </c>
      <c r="L2412" s="9" t="s">
        <v>30</v>
      </c>
      <c r="M2412" s="9" t="s">
        <v>31</v>
      </c>
      <c r="N2412" s="9" t="s">
        <v>32</v>
      </c>
      <c r="O2412" s="12" t="s">
        <v>33</v>
      </c>
      <c r="P2412" s="12" t="s">
        <v>34</v>
      </c>
      <c r="Q2412" s="9"/>
      <c r="R2412" s="18"/>
      <c r="S2412" s="18"/>
      <c r="T2412" s="18"/>
      <c r="U2412" s="18"/>
      <c r="V2412" s="18"/>
      <c r="W2412" s="15"/>
      <c r="X2412" s="15"/>
    </row>
    <row r="2413">
      <c r="A2413" s="7">
        <v>2412.0</v>
      </c>
      <c r="B2413" s="8" t="s">
        <v>10235</v>
      </c>
      <c r="C2413" s="9" t="s">
        <v>10236</v>
      </c>
      <c r="D2413" s="10" t="str">
        <f>HYPERLINK("https://facebook.com/367089020688300_524729991590868", "367089020688300_524729991590868")</f>
        <v>367089020688300_524729991590868</v>
      </c>
      <c r="E2413" s="11">
        <v>33.0</v>
      </c>
      <c r="F2413" s="11">
        <v>0.0</v>
      </c>
      <c r="G2413" s="11">
        <v>32.0</v>
      </c>
      <c r="H2413" s="9" t="s">
        <v>26</v>
      </c>
      <c r="I2413" s="9" t="s">
        <v>6186</v>
      </c>
      <c r="J2413" s="9" t="s">
        <v>10237</v>
      </c>
      <c r="K2413" s="9" t="s">
        <v>10238</v>
      </c>
      <c r="L2413" s="9" t="s">
        <v>30</v>
      </c>
      <c r="M2413" s="9" t="s">
        <v>31</v>
      </c>
      <c r="N2413" s="9" t="s">
        <v>32</v>
      </c>
      <c r="O2413" s="12" t="s">
        <v>33</v>
      </c>
      <c r="P2413" s="12" t="s">
        <v>34</v>
      </c>
      <c r="Q2413" s="9"/>
      <c r="R2413" s="18"/>
      <c r="S2413" s="18"/>
      <c r="T2413" s="18"/>
      <c r="U2413" s="18"/>
      <c r="V2413" s="18"/>
      <c r="W2413" s="15"/>
      <c r="X2413" s="15"/>
    </row>
    <row r="2414">
      <c r="A2414" s="7">
        <v>2413.0</v>
      </c>
      <c r="B2414" s="8" t="s">
        <v>10239</v>
      </c>
      <c r="C2414" s="9" t="s">
        <v>10240</v>
      </c>
      <c r="D2414" s="10" t="str">
        <f>HYPERLINK("https://facebook.com/367089020688300_545209836209550", "367089020688300_545209836209550")</f>
        <v>367089020688300_545209836209550</v>
      </c>
      <c r="E2414" s="11">
        <v>19.0</v>
      </c>
      <c r="F2414" s="11">
        <v>1.0</v>
      </c>
      <c r="G2414" s="11">
        <v>57.0</v>
      </c>
      <c r="H2414" s="9" t="s">
        <v>26</v>
      </c>
      <c r="I2414" s="9" t="s">
        <v>10241</v>
      </c>
      <c r="J2414" s="9" t="s">
        <v>10242</v>
      </c>
      <c r="K2414" s="9" t="s">
        <v>10243</v>
      </c>
      <c r="L2414" s="9" t="s">
        <v>30</v>
      </c>
      <c r="M2414" s="9" t="s">
        <v>31</v>
      </c>
      <c r="N2414" s="9" t="s">
        <v>32</v>
      </c>
      <c r="O2414" s="12" t="s">
        <v>33</v>
      </c>
      <c r="P2414" s="12" t="s">
        <v>34</v>
      </c>
      <c r="Q2414" s="9"/>
      <c r="R2414" s="18"/>
      <c r="S2414" s="18"/>
      <c r="T2414" s="18"/>
      <c r="U2414" s="18"/>
      <c r="V2414" s="18"/>
      <c r="W2414" s="15"/>
      <c r="X2414" s="15"/>
    </row>
    <row r="2415">
      <c r="A2415" s="7">
        <v>2414.0</v>
      </c>
      <c r="B2415" s="8" t="s">
        <v>10244</v>
      </c>
      <c r="C2415" s="9" t="s">
        <v>10245</v>
      </c>
      <c r="D2415" s="10" t="str">
        <f>HYPERLINK("https://facebook.com/367089020688300_519752392088628", "367089020688300_519752392088628")</f>
        <v>367089020688300_519752392088628</v>
      </c>
      <c r="E2415" s="11">
        <v>100.0</v>
      </c>
      <c r="F2415" s="11">
        <v>2.0</v>
      </c>
      <c r="G2415" s="11">
        <v>56.0</v>
      </c>
      <c r="H2415" s="9" t="s">
        <v>26</v>
      </c>
      <c r="I2415" s="9" t="s">
        <v>10246</v>
      </c>
      <c r="J2415" s="9" t="s">
        <v>10247</v>
      </c>
      <c r="K2415" s="9" t="s">
        <v>10248</v>
      </c>
      <c r="L2415" s="9" t="s">
        <v>30</v>
      </c>
      <c r="M2415" s="9" t="s">
        <v>31</v>
      </c>
      <c r="N2415" s="9" t="s">
        <v>32</v>
      </c>
      <c r="O2415" s="12" t="s">
        <v>33</v>
      </c>
      <c r="P2415" s="12" t="s">
        <v>34</v>
      </c>
      <c r="Q2415" s="9"/>
      <c r="R2415" s="18"/>
      <c r="S2415" s="18"/>
      <c r="T2415" s="18"/>
      <c r="U2415" s="18"/>
      <c r="V2415" s="18"/>
      <c r="W2415" s="15"/>
      <c r="X2415" s="15"/>
    </row>
    <row r="2416">
      <c r="A2416" s="7">
        <v>2415.0</v>
      </c>
      <c r="B2416" s="8" t="s">
        <v>10249</v>
      </c>
      <c r="C2416" s="9" t="s">
        <v>10250</v>
      </c>
      <c r="D2416" s="10" t="str">
        <f>HYPERLINK("https://facebook.com/367089020688300_503085800421954", "367089020688300_503085800421954")</f>
        <v>367089020688300_503085800421954</v>
      </c>
      <c r="E2416" s="11">
        <v>867.0</v>
      </c>
      <c r="F2416" s="11">
        <v>20.0</v>
      </c>
      <c r="G2416" s="11">
        <v>644.0</v>
      </c>
      <c r="H2416" s="9" t="s">
        <v>26</v>
      </c>
      <c r="I2416" s="9" t="s">
        <v>10251</v>
      </c>
      <c r="J2416" s="9" t="s">
        <v>10252</v>
      </c>
      <c r="K2416" s="9" t="s">
        <v>10253</v>
      </c>
      <c r="L2416" s="9" t="s">
        <v>30</v>
      </c>
      <c r="M2416" s="9" t="s">
        <v>31</v>
      </c>
      <c r="N2416" s="9" t="s">
        <v>32</v>
      </c>
      <c r="O2416" s="12" t="s">
        <v>33</v>
      </c>
      <c r="P2416" s="12" t="s">
        <v>34</v>
      </c>
      <c r="Q2416" s="9"/>
      <c r="R2416" s="18"/>
      <c r="S2416" s="18"/>
      <c r="T2416" s="18"/>
      <c r="U2416" s="18"/>
      <c r="V2416" s="18"/>
      <c r="W2416" s="15"/>
      <c r="X2416" s="15"/>
    </row>
    <row r="2417">
      <c r="A2417" s="7">
        <v>2416.0</v>
      </c>
      <c r="B2417" s="8" t="s">
        <v>10254</v>
      </c>
      <c r="C2417" s="9" t="s">
        <v>10255</v>
      </c>
      <c r="D2417" s="10" t="str">
        <f>HYPERLINK("https://facebook.com/367089020688300_546296106100923", "367089020688300_546296106100923")</f>
        <v>367089020688300_546296106100923</v>
      </c>
      <c r="E2417" s="11">
        <v>18.0</v>
      </c>
      <c r="F2417" s="11">
        <v>0.0</v>
      </c>
      <c r="G2417" s="11">
        <v>12.0</v>
      </c>
      <c r="H2417" s="9" t="s">
        <v>26</v>
      </c>
      <c r="I2417" s="9" t="s">
        <v>10256</v>
      </c>
      <c r="J2417" s="16" t="s">
        <v>10257</v>
      </c>
      <c r="K2417" s="9"/>
      <c r="L2417" s="9" t="s">
        <v>30</v>
      </c>
      <c r="M2417" s="9" t="s">
        <v>31</v>
      </c>
      <c r="N2417" s="9" t="s">
        <v>32</v>
      </c>
      <c r="O2417" s="12" t="s">
        <v>33</v>
      </c>
      <c r="P2417" s="12" t="s">
        <v>34</v>
      </c>
      <c r="Q2417" s="9"/>
      <c r="R2417" s="18"/>
      <c r="S2417" s="18"/>
      <c r="T2417" s="18"/>
      <c r="U2417" s="18"/>
      <c r="V2417" s="18"/>
      <c r="W2417" s="15"/>
      <c r="X2417" s="15"/>
    </row>
    <row r="2418">
      <c r="A2418" s="7">
        <v>2417.0</v>
      </c>
      <c r="B2418" s="8" t="s">
        <v>10258</v>
      </c>
      <c r="C2418" s="9" t="s">
        <v>10259</v>
      </c>
      <c r="D2418" s="10" t="str">
        <f>HYPERLINK("https://facebook.com/367089020688300_548760295854504", "367089020688300_548760295854504")</f>
        <v>367089020688300_548760295854504</v>
      </c>
      <c r="E2418" s="11">
        <v>40.0</v>
      </c>
      <c r="F2418" s="11">
        <v>0.0</v>
      </c>
      <c r="G2418" s="11">
        <v>25.0</v>
      </c>
      <c r="H2418" s="9" t="s">
        <v>26</v>
      </c>
      <c r="I2418" s="9" t="s">
        <v>10260</v>
      </c>
      <c r="J2418" s="9" t="s">
        <v>10261</v>
      </c>
      <c r="K2418" s="9" t="s">
        <v>10262</v>
      </c>
      <c r="L2418" s="9" t="s">
        <v>30</v>
      </c>
      <c r="M2418" s="9" t="s">
        <v>31</v>
      </c>
      <c r="N2418" s="9" t="s">
        <v>32</v>
      </c>
      <c r="O2418" s="12" t="s">
        <v>33</v>
      </c>
      <c r="P2418" s="12" t="s">
        <v>34</v>
      </c>
      <c r="Q2418" s="9"/>
      <c r="R2418" s="18"/>
      <c r="S2418" s="18"/>
      <c r="T2418" s="18"/>
      <c r="U2418" s="18"/>
      <c r="V2418" s="18"/>
      <c r="W2418" s="15"/>
      <c r="X2418" s="15"/>
    </row>
    <row r="2419">
      <c r="A2419" s="7">
        <v>2418.0</v>
      </c>
      <c r="B2419" s="8" t="s">
        <v>10263</v>
      </c>
      <c r="C2419" s="9" t="s">
        <v>10264</v>
      </c>
      <c r="D2419" s="10" t="str">
        <f>HYPERLINK("https://facebook.com/367089020688300_545893729474494", "367089020688300_545893729474494")</f>
        <v>367089020688300_545893729474494</v>
      </c>
      <c r="E2419" s="11">
        <v>123.0</v>
      </c>
      <c r="F2419" s="11">
        <v>0.0</v>
      </c>
      <c r="G2419" s="11">
        <v>104.0</v>
      </c>
      <c r="H2419" s="9" t="s">
        <v>26</v>
      </c>
      <c r="I2419" s="9" t="s">
        <v>10265</v>
      </c>
      <c r="J2419" s="16" t="s">
        <v>10266</v>
      </c>
      <c r="K2419" s="9"/>
      <c r="L2419" s="9" t="s">
        <v>30</v>
      </c>
      <c r="M2419" s="9" t="s">
        <v>31</v>
      </c>
      <c r="N2419" s="9" t="s">
        <v>32</v>
      </c>
      <c r="O2419" s="12" t="s">
        <v>33</v>
      </c>
      <c r="P2419" s="12" t="s">
        <v>34</v>
      </c>
      <c r="Q2419" s="9"/>
      <c r="R2419" s="18"/>
      <c r="S2419" s="18"/>
      <c r="T2419" s="18"/>
      <c r="U2419" s="18"/>
      <c r="V2419" s="18"/>
      <c r="W2419" s="15"/>
      <c r="X2419" s="15"/>
    </row>
    <row r="2420">
      <c r="A2420" s="7">
        <v>2419.0</v>
      </c>
      <c r="B2420" s="8" t="s">
        <v>10267</v>
      </c>
      <c r="C2420" s="9" t="s">
        <v>10268</v>
      </c>
      <c r="D2420" s="10" t="str">
        <f>HYPERLINK("https://facebook.com/367089020688300_555157311881469", "367089020688300_555157311881469")</f>
        <v>367089020688300_555157311881469</v>
      </c>
      <c r="E2420" s="11">
        <v>197.0</v>
      </c>
      <c r="F2420" s="11">
        <v>10.0</v>
      </c>
      <c r="G2420" s="11">
        <v>228.0</v>
      </c>
      <c r="H2420" s="9" t="s">
        <v>26</v>
      </c>
      <c r="I2420" s="9" t="s">
        <v>10269</v>
      </c>
      <c r="J2420" s="9" t="s">
        <v>10270</v>
      </c>
      <c r="K2420" s="9" t="s">
        <v>10271</v>
      </c>
      <c r="L2420" s="9" t="s">
        <v>30</v>
      </c>
      <c r="M2420" s="9" t="s">
        <v>31</v>
      </c>
      <c r="N2420" s="9" t="s">
        <v>32</v>
      </c>
      <c r="O2420" s="12" t="s">
        <v>33</v>
      </c>
      <c r="P2420" s="12" t="s">
        <v>34</v>
      </c>
      <c r="Q2420" s="9"/>
      <c r="R2420" s="18"/>
      <c r="S2420" s="18"/>
      <c r="T2420" s="18"/>
      <c r="U2420" s="18"/>
      <c r="V2420" s="18"/>
      <c r="W2420" s="15"/>
      <c r="X2420" s="15"/>
    </row>
    <row r="2421">
      <c r="A2421" s="7">
        <v>2420.0</v>
      </c>
      <c r="B2421" s="8" t="s">
        <v>10272</v>
      </c>
      <c r="C2421" s="9" t="s">
        <v>10273</v>
      </c>
      <c r="D2421" s="10" t="str">
        <f>HYPERLINK("https://facebook.com/367089020688300_533565570707310", "367089020688300_533565570707310")</f>
        <v>367089020688300_533565570707310</v>
      </c>
      <c r="E2421" s="11">
        <v>346.0</v>
      </c>
      <c r="F2421" s="11">
        <v>1.0</v>
      </c>
      <c r="G2421" s="11">
        <v>75.0</v>
      </c>
      <c r="H2421" s="9" t="s">
        <v>26</v>
      </c>
      <c r="I2421" s="9" t="s">
        <v>5753</v>
      </c>
      <c r="J2421" s="16" t="s">
        <v>5754</v>
      </c>
      <c r="K2421" s="9"/>
      <c r="L2421" s="9" t="s">
        <v>30</v>
      </c>
      <c r="M2421" s="9" t="s">
        <v>31</v>
      </c>
      <c r="N2421" s="9" t="s">
        <v>32</v>
      </c>
      <c r="O2421" s="12" t="s">
        <v>33</v>
      </c>
      <c r="P2421" s="12" t="s">
        <v>34</v>
      </c>
      <c r="Q2421" s="9"/>
      <c r="R2421" s="18"/>
      <c r="S2421" s="18"/>
      <c r="T2421" s="18"/>
      <c r="U2421" s="18"/>
      <c r="V2421" s="18"/>
      <c r="W2421" s="15"/>
      <c r="X2421" s="15"/>
    </row>
    <row r="2422">
      <c r="A2422" s="7">
        <v>2421.0</v>
      </c>
      <c r="B2422" s="8" t="s">
        <v>10274</v>
      </c>
      <c r="C2422" s="9" t="s">
        <v>10275</v>
      </c>
      <c r="D2422" s="10" t="str">
        <f>HYPERLINK("https://facebook.com/367089020688300_549038269160040", "367089020688300_549038269160040")</f>
        <v>367089020688300_549038269160040</v>
      </c>
      <c r="E2422" s="11">
        <v>163.0</v>
      </c>
      <c r="F2422" s="11">
        <v>1.0</v>
      </c>
      <c r="G2422" s="11">
        <v>63.0</v>
      </c>
      <c r="H2422" s="9" t="s">
        <v>26</v>
      </c>
      <c r="I2422" s="9" t="s">
        <v>10276</v>
      </c>
      <c r="J2422" s="9" t="s">
        <v>10277</v>
      </c>
      <c r="K2422" s="9" t="s">
        <v>10278</v>
      </c>
      <c r="L2422" s="9" t="s">
        <v>30</v>
      </c>
      <c r="M2422" s="9" t="s">
        <v>31</v>
      </c>
      <c r="N2422" s="9" t="s">
        <v>32</v>
      </c>
      <c r="O2422" s="12" t="s">
        <v>33</v>
      </c>
      <c r="P2422" s="12" t="s">
        <v>34</v>
      </c>
      <c r="Q2422" s="9"/>
      <c r="R2422" s="18"/>
      <c r="S2422" s="18"/>
      <c r="T2422" s="18"/>
      <c r="U2422" s="18"/>
      <c r="V2422" s="18"/>
      <c r="W2422" s="15"/>
      <c r="X2422" s="15"/>
    </row>
    <row r="2423">
      <c r="A2423" s="7">
        <v>2422.0</v>
      </c>
      <c r="B2423" s="8" t="s">
        <v>10279</v>
      </c>
      <c r="C2423" s="9" t="s">
        <v>10280</v>
      </c>
      <c r="D2423" s="10" t="str">
        <f>HYPERLINK("https://facebook.com/367089020688300_463453224385212", "367089020688300_463453224385212")</f>
        <v>367089020688300_463453224385212</v>
      </c>
      <c r="E2423" s="11">
        <v>2247.0</v>
      </c>
      <c r="F2423" s="11">
        <v>38.0</v>
      </c>
      <c r="G2423" s="11">
        <v>1116.0</v>
      </c>
      <c r="H2423" s="9" t="s">
        <v>26</v>
      </c>
      <c r="I2423" s="9" t="s">
        <v>3358</v>
      </c>
      <c r="J2423" s="9" t="s">
        <v>3359</v>
      </c>
      <c r="K2423" s="9" t="s">
        <v>219</v>
      </c>
      <c r="L2423" s="9" t="s">
        <v>30</v>
      </c>
      <c r="M2423" s="9" t="s">
        <v>31</v>
      </c>
      <c r="N2423" s="9" t="s">
        <v>32</v>
      </c>
      <c r="O2423" s="12" t="s">
        <v>33</v>
      </c>
      <c r="P2423" s="12" t="s">
        <v>34</v>
      </c>
      <c r="Q2423" s="9"/>
      <c r="R2423" s="18"/>
      <c r="S2423" s="18"/>
      <c r="T2423" s="18"/>
      <c r="U2423" s="18"/>
      <c r="V2423" s="18"/>
      <c r="W2423" s="15"/>
      <c r="X2423" s="15"/>
    </row>
    <row r="2424">
      <c r="A2424" s="7">
        <v>2423.0</v>
      </c>
      <c r="B2424" s="8" t="s">
        <v>10281</v>
      </c>
      <c r="C2424" s="9" t="s">
        <v>10282</v>
      </c>
      <c r="D2424" s="10" t="str">
        <f>HYPERLINK("https://facebook.com/367089020688300_543676579696209", "367089020688300_543676579696209")</f>
        <v>367089020688300_543676579696209</v>
      </c>
      <c r="E2424" s="11">
        <v>4.0</v>
      </c>
      <c r="F2424" s="11">
        <v>0.0</v>
      </c>
      <c r="G2424" s="11">
        <v>2.0</v>
      </c>
      <c r="H2424" s="9" t="s">
        <v>26</v>
      </c>
      <c r="I2424" s="9" t="s">
        <v>3325</v>
      </c>
      <c r="J2424" s="9" t="s">
        <v>10283</v>
      </c>
      <c r="K2424" s="9" t="s">
        <v>577</v>
      </c>
      <c r="L2424" s="9" t="s">
        <v>30</v>
      </c>
      <c r="M2424" s="9" t="s">
        <v>31</v>
      </c>
      <c r="N2424" s="9" t="s">
        <v>32</v>
      </c>
      <c r="O2424" s="12" t="s">
        <v>33</v>
      </c>
      <c r="P2424" s="12" t="s">
        <v>34</v>
      </c>
      <c r="Q2424" s="9"/>
      <c r="R2424" s="18"/>
      <c r="S2424" s="18"/>
      <c r="T2424" s="18"/>
      <c r="U2424" s="18"/>
      <c r="V2424" s="18"/>
      <c r="W2424" s="15"/>
      <c r="X2424" s="15"/>
    </row>
    <row r="2425">
      <c r="A2425" s="7">
        <v>2424.0</v>
      </c>
      <c r="B2425" s="8" t="s">
        <v>10284</v>
      </c>
      <c r="C2425" s="9" t="s">
        <v>10285</v>
      </c>
      <c r="D2425" s="10" t="str">
        <f>HYPERLINK("https://facebook.com/367089020688300_537117810352086", "367089020688300_537117810352086")</f>
        <v>367089020688300_537117810352086</v>
      </c>
      <c r="E2425" s="11">
        <v>65.0</v>
      </c>
      <c r="F2425" s="11">
        <v>1.0</v>
      </c>
      <c r="G2425" s="11">
        <v>29.0</v>
      </c>
      <c r="H2425" s="9" t="s">
        <v>26</v>
      </c>
      <c r="I2425" s="9" t="s">
        <v>10286</v>
      </c>
      <c r="J2425" s="16" t="s">
        <v>10287</v>
      </c>
      <c r="K2425" s="9"/>
      <c r="L2425" s="9" t="s">
        <v>30</v>
      </c>
      <c r="M2425" s="9" t="s">
        <v>31</v>
      </c>
      <c r="N2425" s="9" t="s">
        <v>32</v>
      </c>
      <c r="O2425" s="12" t="s">
        <v>33</v>
      </c>
      <c r="P2425" s="12" t="s">
        <v>34</v>
      </c>
      <c r="Q2425" s="9"/>
      <c r="R2425" s="18"/>
      <c r="S2425" s="18"/>
      <c r="T2425" s="18"/>
      <c r="U2425" s="18"/>
      <c r="V2425" s="18"/>
      <c r="W2425" s="15"/>
      <c r="X2425" s="15"/>
    </row>
    <row r="2426">
      <c r="A2426" s="7">
        <v>2425.0</v>
      </c>
      <c r="B2426" s="8" t="s">
        <v>10288</v>
      </c>
      <c r="C2426" s="9" t="s">
        <v>10289</v>
      </c>
      <c r="D2426" s="10" t="str">
        <f>HYPERLINK("https://facebook.com/367089020688300_559328531464347", "367089020688300_559328531464347")</f>
        <v>367089020688300_559328531464347</v>
      </c>
      <c r="E2426" s="11">
        <v>86.0</v>
      </c>
      <c r="F2426" s="11">
        <v>1.0</v>
      </c>
      <c r="G2426" s="11">
        <v>86.0</v>
      </c>
      <c r="H2426" s="9" t="s">
        <v>26</v>
      </c>
      <c r="I2426" s="9" t="s">
        <v>10290</v>
      </c>
      <c r="J2426" s="9" t="s">
        <v>10291</v>
      </c>
      <c r="K2426" s="9" t="s">
        <v>10292</v>
      </c>
      <c r="L2426" s="9" t="s">
        <v>30</v>
      </c>
      <c r="M2426" s="9" t="s">
        <v>31</v>
      </c>
      <c r="N2426" s="9" t="s">
        <v>32</v>
      </c>
      <c r="O2426" s="12" t="s">
        <v>33</v>
      </c>
      <c r="P2426" s="12" t="s">
        <v>34</v>
      </c>
      <c r="Q2426" s="9"/>
      <c r="R2426" s="18"/>
      <c r="S2426" s="18"/>
      <c r="T2426" s="18"/>
      <c r="U2426" s="18"/>
      <c r="V2426" s="18"/>
      <c r="W2426" s="15"/>
      <c r="X2426" s="15"/>
    </row>
    <row r="2427">
      <c r="A2427" s="7">
        <v>2426.0</v>
      </c>
      <c r="B2427" s="8" t="s">
        <v>10293</v>
      </c>
      <c r="C2427" s="9" t="s">
        <v>10294</v>
      </c>
      <c r="D2427" s="10" t="str">
        <f>HYPERLINK("https://facebook.com/367089020688300_540410586689475", "367089020688300_540410586689475")</f>
        <v>367089020688300_540410586689475</v>
      </c>
      <c r="E2427" s="11">
        <v>6.0</v>
      </c>
      <c r="F2427" s="11">
        <v>0.0</v>
      </c>
      <c r="G2427" s="11">
        <v>6.0</v>
      </c>
      <c r="H2427" s="9" t="s">
        <v>26</v>
      </c>
      <c r="I2427" s="9" t="s">
        <v>10295</v>
      </c>
      <c r="J2427" s="9" t="s">
        <v>10296</v>
      </c>
      <c r="K2427" s="9" t="s">
        <v>3984</v>
      </c>
      <c r="L2427" s="9" t="s">
        <v>30</v>
      </c>
      <c r="M2427" s="9" t="s">
        <v>31</v>
      </c>
      <c r="N2427" s="9" t="s">
        <v>32</v>
      </c>
      <c r="O2427" s="12" t="s">
        <v>33</v>
      </c>
      <c r="P2427" s="12" t="s">
        <v>34</v>
      </c>
      <c r="Q2427" s="9"/>
      <c r="R2427" s="18"/>
      <c r="S2427" s="18"/>
      <c r="T2427" s="18"/>
      <c r="U2427" s="18"/>
      <c r="V2427" s="18"/>
      <c r="W2427" s="15"/>
      <c r="X2427" s="15"/>
    </row>
    <row r="2428">
      <c r="A2428" s="7">
        <v>2427.0</v>
      </c>
      <c r="B2428" s="8" t="s">
        <v>10297</v>
      </c>
      <c r="C2428" s="9" t="s">
        <v>10298</v>
      </c>
      <c r="D2428" s="10" t="str">
        <f>HYPERLINK("https://facebook.com/367089020688300_474932696570598", "367089020688300_474932696570598")</f>
        <v>367089020688300_474932696570598</v>
      </c>
      <c r="E2428" s="11">
        <v>165.0</v>
      </c>
      <c r="F2428" s="11">
        <v>4.0</v>
      </c>
      <c r="G2428" s="11">
        <v>135.0</v>
      </c>
      <c r="H2428" s="9" t="s">
        <v>26</v>
      </c>
      <c r="I2428" s="9" t="s">
        <v>10299</v>
      </c>
      <c r="J2428" s="9" t="s">
        <v>10300</v>
      </c>
      <c r="K2428" s="9" t="s">
        <v>10301</v>
      </c>
      <c r="L2428" s="9" t="s">
        <v>30</v>
      </c>
      <c r="M2428" s="9" t="s">
        <v>31</v>
      </c>
      <c r="N2428" s="9" t="s">
        <v>32</v>
      </c>
      <c r="O2428" s="12" t="s">
        <v>33</v>
      </c>
      <c r="P2428" s="12" t="s">
        <v>34</v>
      </c>
      <c r="Q2428" s="9"/>
      <c r="R2428" s="18"/>
      <c r="S2428" s="18"/>
      <c r="T2428" s="18"/>
      <c r="U2428" s="18"/>
      <c r="V2428" s="18"/>
      <c r="W2428" s="15"/>
      <c r="X2428" s="15"/>
    </row>
    <row r="2429">
      <c r="A2429" s="7">
        <v>2428.0</v>
      </c>
      <c r="B2429" s="8" t="s">
        <v>10302</v>
      </c>
      <c r="C2429" s="9" t="s">
        <v>10303</v>
      </c>
      <c r="D2429" s="10" t="str">
        <f>HYPERLINK("https://facebook.com/367089020688300_395759167821285", "367089020688300_395759167821285")</f>
        <v>367089020688300_395759167821285</v>
      </c>
      <c r="E2429" s="11">
        <v>2407.0</v>
      </c>
      <c r="F2429" s="11">
        <v>781.0</v>
      </c>
      <c r="G2429" s="11">
        <v>915.0</v>
      </c>
      <c r="H2429" s="9" t="s">
        <v>26</v>
      </c>
      <c r="I2429" s="9" t="s">
        <v>6081</v>
      </c>
      <c r="J2429" s="9" t="s">
        <v>6082</v>
      </c>
      <c r="K2429" s="9" t="s">
        <v>10304</v>
      </c>
      <c r="L2429" s="9" t="s">
        <v>30</v>
      </c>
      <c r="M2429" s="9" t="s">
        <v>31</v>
      </c>
      <c r="N2429" s="9" t="s">
        <v>32</v>
      </c>
      <c r="O2429" s="12" t="s">
        <v>34</v>
      </c>
      <c r="P2429" s="12" t="s">
        <v>34</v>
      </c>
      <c r="Q2429" s="9"/>
      <c r="R2429" s="18"/>
      <c r="S2429" s="18"/>
      <c r="T2429" s="18"/>
      <c r="U2429" s="18"/>
      <c r="V2429" s="18"/>
      <c r="W2429" s="15"/>
      <c r="X2429" s="15"/>
    </row>
    <row r="2430">
      <c r="A2430" s="7">
        <v>2429.0</v>
      </c>
      <c r="B2430" s="8" t="s">
        <v>10305</v>
      </c>
      <c r="C2430" s="9" t="s">
        <v>10306</v>
      </c>
      <c r="D2430" s="10" t="str">
        <f>HYPERLINK("https://facebook.com/367089020688300_425080284889173", "367089020688300_425080284889173")</f>
        <v>367089020688300_425080284889173</v>
      </c>
      <c r="E2430" s="11">
        <v>1418.0</v>
      </c>
      <c r="F2430" s="11">
        <v>65.0</v>
      </c>
      <c r="G2430" s="11">
        <v>457.0</v>
      </c>
      <c r="H2430" s="9" t="s">
        <v>26</v>
      </c>
      <c r="I2430" s="9" t="s">
        <v>4749</v>
      </c>
      <c r="J2430" s="9" t="s">
        <v>10008</v>
      </c>
      <c r="K2430" s="9" t="s">
        <v>219</v>
      </c>
      <c r="L2430" s="9" t="s">
        <v>30</v>
      </c>
      <c r="M2430" s="9" t="s">
        <v>31</v>
      </c>
      <c r="N2430" s="9" t="s">
        <v>32</v>
      </c>
      <c r="O2430" s="12" t="s">
        <v>33</v>
      </c>
      <c r="P2430" s="12" t="s">
        <v>34</v>
      </c>
      <c r="Q2430" s="9"/>
      <c r="R2430" s="18"/>
      <c r="S2430" s="18"/>
      <c r="T2430" s="18"/>
      <c r="U2430" s="18"/>
      <c r="V2430" s="18"/>
      <c r="W2430" s="15"/>
      <c r="X2430" s="15"/>
    </row>
    <row r="2431">
      <c r="A2431" s="7">
        <v>2430.0</v>
      </c>
      <c r="B2431" s="8" t="s">
        <v>10307</v>
      </c>
      <c r="C2431" s="9" t="s">
        <v>10308</v>
      </c>
      <c r="D2431" s="10" t="str">
        <f>HYPERLINK("https://facebook.com/367089020688300_407985793265289", "367089020688300_407985793265289")</f>
        <v>367089020688300_407985793265289</v>
      </c>
      <c r="E2431" s="11">
        <v>81.0</v>
      </c>
      <c r="F2431" s="11">
        <v>2.0</v>
      </c>
      <c r="G2431" s="11">
        <v>75.0</v>
      </c>
      <c r="H2431" s="9" t="s">
        <v>26</v>
      </c>
      <c r="I2431" s="9" t="s">
        <v>1510</v>
      </c>
      <c r="J2431" s="9" t="s">
        <v>10309</v>
      </c>
      <c r="K2431" s="9" t="s">
        <v>249</v>
      </c>
      <c r="L2431" s="9" t="s">
        <v>30</v>
      </c>
      <c r="M2431" s="9" t="s">
        <v>31</v>
      </c>
      <c r="N2431" s="9" t="s">
        <v>32</v>
      </c>
      <c r="O2431" s="12" t="s">
        <v>33</v>
      </c>
      <c r="P2431" s="12" t="s">
        <v>34</v>
      </c>
      <c r="Q2431" s="9"/>
      <c r="R2431" s="18"/>
      <c r="S2431" s="18"/>
      <c r="T2431" s="18"/>
      <c r="U2431" s="18"/>
      <c r="V2431" s="18"/>
      <c r="W2431" s="15"/>
      <c r="X2431" s="15"/>
    </row>
    <row r="2432">
      <c r="A2432" s="7">
        <v>2431.0</v>
      </c>
      <c r="B2432" s="8" t="s">
        <v>10310</v>
      </c>
      <c r="C2432" s="9" t="s">
        <v>10311</v>
      </c>
      <c r="D2432" s="10" t="str">
        <f>HYPERLINK("https://facebook.com/367089020688300_455834905147044", "367089020688300_455834905147044")</f>
        <v>367089020688300_455834905147044</v>
      </c>
      <c r="E2432" s="11">
        <v>784.0</v>
      </c>
      <c r="F2432" s="11">
        <v>21.0</v>
      </c>
      <c r="G2432" s="11">
        <v>347.0</v>
      </c>
      <c r="H2432" s="9" t="s">
        <v>26</v>
      </c>
      <c r="I2432" s="9" t="s">
        <v>10312</v>
      </c>
      <c r="J2432" s="9" t="s">
        <v>10313</v>
      </c>
      <c r="K2432" s="9" t="s">
        <v>10314</v>
      </c>
      <c r="L2432" s="9" t="s">
        <v>30</v>
      </c>
      <c r="M2432" s="9" t="s">
        <v>31</v>
      </c>
      <c r="N2432" s="9" t="s">
        <v>32</v>
      </c>
      <c r="O2432" s="12" t="s">
        <v>33</v>
      </c>
      <c r="P2432" s="12" t="s">
        <v>34</v>
      </c>
      <c r="Q2432" s="9"/>
      <c r="R2432" s="18"/>
      <c r="S2432" s="18"/>
      <c r="T2432" s="18"/>
      <c r="U2432" s="18"/>
      <c r="V2432" s="18"/>
      <c r="W2432" s="15"/>
      <c r="X2432" s="15"/>
    </row>
    <row r="2433">
      <c r="A2433" s="7">
        <v>2432.0</v>
      </c>
      <c r="B2433" s="8" t="s">
        <v>10315</v>
      </c>
      <c r="C2433" s="9" t="s">
        <v>10316</v>
      </c>
      <c r="D2433" s="10" t="str">
        <f>HYPERLINK("https://facebook.com/367089020688300_537205453676655", "367089020688300_537205453676655")</f>
        <v>367089020688300_537205453676655</v>
      </c>
      <c r="E2433" s="11">
        <v>23.0</v>
      </c>
      <c r="F2433" s="11">
        <v>0.0</v>
      </c>
      <c r="G2433" s="11">
        <v>8.0</v>
      </c>
      <c r="H2433" s="9" t="s">
        <v>26</v>
      </c>
      <c r="I2433" s="9" t="s">
        <v>10317</v>
      </c>
      <c r="J2433" s="9" t="s">
        <v>10318</v>
      </c>
      <c r="K2433" s="9" t="s">
        <v>10319</v>
      </c>
      <c r="L2433" s="9" t="s">
        <v>30</v>
      </c>
      <c r="M2433" s="9" t="s">
        <v>31</v>
      </c>
      <c r="N2433" s="9" t="s">
        <v>32</v>
      </c>
      <c r="O2433" s="12" t="s">
        <v>33</v>
      </c>
      <c r="P2433" s="12" t="s">
        <v>34</v>
      </c>
      <c r="Q2433" s="9"/>
      <c r="R2433" s="18"/>
      <c r="S2433" s="18"/>
      <c r="T2433" s="18"/>
      <c r="U2433" s="18"/>
      <c r="V2433" s="18"/>
      <c r="W2433" s="15"/>
      <c r="X2433" s="15"/>
    </row>
    <row r="2434">
      <c r="A2434" s="7">
        <v>2433.0</v>
      </c>
      <c r="B2434" s="8" t="s">
        <v>10320</v>
      </c>
      <c r="C2434" s="9" t="s">
        <v>10321</v>
      </c>
      <c r="D2434" s="10" t="str">
        <f>HYPERLINK("https://facebook.com/367089020688300_493135441416990", "367089020688300_493135441416990")</f>
        <v>367089020688300_493135441416990</v>
      </c>
      <c r="E2434" s="11">
        <v>125.0</v>
      </c>
      <c r="F2434" s="11">
        <v>2.0</v>
      </c>
      <c r="G2434" s="11">
        <v>138.0</v>
      </c>
      <c r="H2434" s="9" t="s">
        <v>26</v>
      </c>
      <c r="I2434" s="9" t="s">
        <v>10322</v>
      </c>
      <c r="J2434" s="9" t="s">
        <v>10323</v>
      </c>
      <c r="K2434" s="9" t="s">
        <v>10324</v>
      </c>
      <c r="L2434" s="9" t="s">
        <v>30</v>
      </c>
      <c r="M2434" s="9" t="s">
        <v>31</v>
      </c>
      <c r="N2434" s="9" t="s">
        <v>32</v>
      </c>
      <c r="O2434" s="12" t="s">
        <v>33</v>
      </c>
      <c r="P2434" s="12" t="s">
        <v>34</v>
      </c>
      <c r="Q2434" s="9"/>
      <c r="R2434" s="18"/>
      <c r="S2434" s="18"/>
      <c r="T2434" s="18"/>
      <c r="U2434" s="18"/>
      <c r="V2434" s="18"/>
      <c r="W2434" s="15"/>
      <c r="X2434" s="15"/>
    </row>
    <row r="2435">
      <c r="A2435" s="7">
        <v>2434.0</v>
      </c>
      <c r="B2435" s="8" t="s">
        <v>10325</v>
      </c>
      <c r="C2435" s="9" t="s">
        <v>10326</v>
      </c>
      <c r="D2435" s="10" t="str">
        <f>HYPERLINK("https://facebook.com/367089020688300_546291309434736", "367089020688300_546291309434736")</f>
        <v>367089020688300_546291309434736</v>
      </c>
      <c r="E2435" s="11">
        <v>352.0</v>
      </c>
      <c r="F2435" s="11">
        <v>14.0</v>
      </c>
      <c r="G2435" s="11">
        <v>125.0</v>
      </c>
      <c r="H2435" s="9" t="s">
        <v>26</v>
      </c>
      <c r="I2435" s="9" t="s">
        <v>321</v>
      </c>
      <c r="J2435" s="9" t="s">
        <v>322</v>
      </c>
      <c r="K2435" s="9" t="s">
        <v>10327</v>
      </c>
      <c r="L2435" s="9" t="s">
        <v>30</v>
      </c>
      <c r="M2435" s="9" t="s">
        <v>31</v>
      </c>
      <c r="N2435" s="9" t="s">
        <v>32</v>
      </c>
      <c r="O2435" s="12" t="s">
        <v>33</v>
      </c>
      <c r="P2435" s="12" t="s">
        <v>34</v>
      </c>
      <c r="Q2435" s="9"/>
      <c r="R2435" s="18"/>
      <c r="S2435" s="18"/>
      <c r="T2435" s="18"/>
      <c r="U2435" s="18"/>
      <c r="V2435" s="18"/>
      <c r="W2435" s="15"/>
      <c r="X2435" s="15"/>
    </row>
    <row r="2436">
      <c r="A2436" s="7">
        <v>2435.0</v>
      </c>
      <c r="B2436" s="8" t="s">
        <v>10328</v>
      </c>
      <c r="C2436" s="9" t="s">
        <v>10329</v>
      </c>
      <c r="D2436" s="10" t="str">
        <f>HYPERLINK("https://facebook.com/367089020688300_493421738055027", "367089020688300_493421738055027")</f>
        <v>367089020688300_493421738055027</v>
      </c>
      <c r="E2436" s="11">
        <v>959.0</v>
      </c>
      <c r="F2436" s="11">
        <v>3.0</v>
      </c>
      <c r="G2436" s="11">
        <v>403.0</v>
      </c>
      <c r="H2436" s="9" t="s">
        <v>26</v>
      </c>
      <c r="I2436" s="9" t="s">
        <v>6909</v>
      </c>
      <c r="J2436" s="9" t="s">
        <v>6910</v>
      </c>
      <c r="K2436" s="9" t="s">
        <v>10330</v>
      </c>
      <c r="L2436" s="9" t="s">
        <v>30</v>
      </c>
      <c r="M2436" s="9" t="s">
        <v>31</v>
      </c>
      <c r="N2436" s="9" t="s">
        <v>32</v>
      </c>
      <c r="O2436" s="12" t="s">
        <v>33</v>
      </c>
      <c r="P2436" s="12" t="s">
        <v>34</v>
      </c>
      <c r="Q2436" s="9"/>
      <c r="R2436" s="18"/>
      <c r="S2436" s="18"/>
      <c r="T2436" s="18"/>
      <c r="U2436" s="18"/>
      <c r="V2436" s="18"/>
      <c r="W2436" s="15"/>
      <c r="X2436" s="15"/>
    </row>
    <row r="2437">
      <c r="A2437" s="7">
        <v>2436.0</v>
      </c>
      <c r="B2437" s="8" t="s">
        <v>10331</v>
      </c>
      <c r="C2437" s="9" t="s">
        <v>10332</v>
      </c>
      <c r="D2437" s="10" t="str">
        <f>HYPERLINK("https://facebook.com/367089020688300_422583471805521", "367089020688300_422583471805521")</f>
        <v>367089020688300_422583471805521</v>
      </c>
      <c r="E2437" s="11">
        <v>210.0</v>
      </c>
      <c r="F2437" s="11">
        <v>4.0</v>
      </c>
      <c r="G2437" s="11">
        <v>49.0</v>
      </c>
      <c r="H2437" s="9" t="s">
        <v>26</v>
      </c>
      <c r="I2437" s="9" t="s">
        <v>10333</v>
      </c>
      <c r="J2437" s="9" t="s">
        <v>10334</v>
      </c>
      <c r="K2437" s="9" t="s">
        <v>10335</v>
      </c>
      <c r="L2437" s="9" t="s">
        <v>30</v>
      </c>
      <c r="M2437" s="9" t="s">
        <v>31</v>
      </c>
      <c r="N2437" s="9" t="s">
        <v>32</v>
      </c>
      <c r="O2437" s="12" t="s">
        <v>33</v>
      </c>
      <c r="P2437" s="12" t="s">
        <v>34</v>
      </c>
      <c r="Q2437" s="9"/>
      <c r="R2437" s="18"/>
      <c r="S2437" s="18"/>
      <c r="T2437" s="18"/>
      <c r="U2437" s="18"/>
      <c r="V2437" s="18"/>
      <c r="W2437" s="15"/>
      <c r="X2437" s="15"/>
    </row>
    <row r="2438">
      <c r="A2438" s="7">
        <v>2437.0</v>
      </c>
      <c r="B2438" s="8" t="s">
        <v>10336</v>
      </c>
      <c r="C2438" s="9" t="s">
        <v>10337</v>
      </c>
      <c r="D2438" s="10" t="str">
        <f>HYPERLINK("https://facebook.com/367089020688300_554772758586591", "367089020688300_554772758586591")</f>
        <v>367089020688300_554772758586591</v>
      </c>
      <c r="E2438" s="11">
        <v>59.0</v>
      </c>
      <c r="F2438" s="11">
        <v>1.0</v>
      </c>
      <c r="G2438" s="11">
        <v>38.0</v>
      </c>
      <c r="H2438" s="9" t="s">
        <v>26</v>
      </c>
      <c r="I2438" s="9" t="s">
        <v>2118</v>
      </c>
      <c r="J2438" s="16" t="s">
        <v>10338</v>
      </c>
      <c r="K2438" s="9"/>
      <c r="L2438" s="9" t="s">
        <v>30</v>
      </c>
      <c r="M2438" s="9" t="s">
        <v>31</v>
      </c>
      <c r="N2438" s="9" t="s">
        <v>32</v>
      </c>
      <c r="O2438" s="12" t="s">
        <v>33</v>
      </c>
      <c r="P2438" s="12" t="s">
        <v>34</v>
      </c>
      <c r="Q2438" s="9"/>
      <c r="R2438" s="18"/>
      <c r="S2438" s="18"/>
      <c r="T2438" s="18"/>
      <c r="U2438" s="18"/>
      <c r="V2438" s="18"/>
      <c r="W2438" s="15"/>
      <c r="X2438" s="15"/>
    </row>
    <row r="2439">
      <c r="A2439" s="7">
        <v>2438.0</v>
      </c>
      <c r="B2439" s="8" t="s">
        <v>10339</v>
      </c>
      <c r="C2439" s="9" t="s">
        <v>10340</v>
      </c>
      <c r="D2439" s="10" t="str">
        <f>HYPERLINK("https://facebook.com/367089020688300_511988569531677", "367089020688300_511988569531677")</f>
        <v>367089020688300_511988569531677</v>
      </c>
      <c r="E2439" s="11">
        <v>173.0</v>
      </c>
      <c r="F2439" s="11">
        <v>4.0</v>
      </c>
      <c r="G2439" s="11">
        <v>176.0</v>
      </c>
      <c r="H2439" s="9" t="s">
        <v>26</v>
      </c>
      <c r="I2439" s="9" t="s">
        <v>10341</v>
      </c>
      <c r="J2439" s="16" t="s">
        <v>10342</v>
      </c>
      <c r="K2439" s="9"/>
      <c r="L2439" s="9" t="s">
        <v>30</v>
      </c>
      <c r="M2439" s="9" t="s">
        <v>31</v>
      </c>
      <c r="N2439" s="9" t="s">
        <v>32</v>
      </c>
      <c r="O2439" s="12" t="s">
        <v>33</v>
      </c>
      <c r="P2439" s="12" t="s">
        <v>34</v>
      </c>
      <c r="Q2439" s="9"/>
      <c r="R2439" s="18"/>
      <c r="S2439" s="18"/>
      <c r="T2439" s="18"/>
      <c r="U2439" s="18"/>
      <c r="V2439" s="18"/>
      <c r="W2439" s="15"/>
      <c r="X2439" s="15"/>
    </row>
    <row r="2440">
      <c r="A2440" s="7">
        <v>2439.0</v>
      </c>
      <c r="B2440" s="8" t="s">
        <v>10343</v>
      </c>
      <c r="C2440" s="9" t="s">
        <v>10344</v>
      </c>
      <c r="D2440" s="10" t="str">
        <f>HYPERLINK("https://facebook.com/367089020688300_503020143761853", "367089020688300_503020143761853")</f>
        <v>367089020688300_503020143761853</v>
      </c>
      <c r="E2440" s="11">
        <v>338.0</v>
      </c>
      <c r="F2440" s="11">
        <v>5.0</v>
      </c>
      <c r="G2440" s="11">
        <v>363.0</v>
      </c>
      <c r="H2440" s="9" t="s">
        <v>26</v>
      </c>
      <c r="I2440" s="9" t="s">
        <v>10345</v>
      </c>
      <c r="J2440" s="9" t="s">
        <v>10346</v>
      </c>
      <c r="K2440" s="9" t="s">
        <v>10347</v>
      </c>
      <c r="L2440" s="9" t="s">
        <v>30</v>
      </c>
      <c r="M2440" s="9" t="s">
        <v>31</v>
      </c>
      <c r="N2440" s="9" t="s">
        <v>32</v>
      </c>
      <c r="O2440" s="12" t="s">
        <v>33</v>
      </c>
      <c r="P2440" s="12" t="s">
        <v>34</v>
      </c>
      <c r="Q2440" s="9"/>
      <c r="R2440" s="18"/>
      <c r="S2440" s="18"/>
      <c r="T2440" s="18"/>
      <c r="U2440" s="18"/>
      <c r="V2440" s="18"/>
      <c r="W2440" s="15"/>
      <c r="X2440" s="15"/>
    </row>
    <row r="2441">
      <c r="A2441" s="7">
        <v>2440.0</v>
      </c>
      <c r="B2441" s="8" t="s">
        <v>10348</v>
      </c>
      <c r="C2441" s="9" t="s">
        <v>10349</v>
      </c>
      <c r="D2441" s="10" t="str">
        <f>HYPERLINK("https://facebook.com/367089020688300_537360830327784", "367089020688300_537360830327784")</f>
        <v>367089020688300_537360830327784</v>
      </c>
      <c r="E2441" s="11">
        <v>28.0</v>
      </c>
      <c r="F2441" s="11">
        <v>0.0</v>
      </c>
      <c r="G2441" s="11">
        <v>0.0</v>
      </c>
      <c r="H2441" s="9" t="s">
        <v>26</v>
      </c>
      <c r="I2441" s="9" t="s">
        <v>8842</v>
      </c>
      <c r="J2441" s="16" t="s">
        <v>8843</v>
      </c>
      <c r="K2441" s="9"/>
      <c r="L2441" s="9" t="s">
        <v>30</v>
      </c>
      <c r="M2441" s="9" t="s">
        <v>31</v>
      </c>
      <c r="N2441" s="9" t="s">
        <v>32</v>
      </c>
      <c r="O2441" s="12" t="s">
        <v>33</v>
      </c>
      <c r="P2441" s="12" t="s">
        <v>34</v>
      </c>
      <c r="Q2441" s="9"/>
      <c r="R2441" s="18"/>
      <c r="S2441" s="18"/>
      <c r="T2441" s="18"/>
      <c r="U2441" s="18"/>
      <c r="V2441" s="18"/>
      <c r="W2441" s="15"/>
      <c r="X2441" s="15"/>
    </row>
    <row r="2442">
      <c r="A2442" s="7">
        <v>2441.0</v>
      </c>
      <c r="B2442" s="8" t="s">
        <v>10350</v>
      </c>
      <c r="C2442" s="9" t="s">
        <v>10351</v>
      </c>
      <c r="D2442" s="10" t="str">
        <f>HYPERLINK("https://facebook.com/367089020688300_455202708543597", "367089020688300_455202708543597")</f>
        <v>367089020688300_455202708543597</v>
      </c>
      <c r="E2442" s="11">
        <v>692.0</v>
      </c>
      <c r="F2442" s="11">
        <v>14.0</v>
      </c>
      <c r="G2442" s="11">
        <v>1030.0</v>
      </c>
      <c r="H2442" s="9" t="s">
        <v>26</v>
      </c>
      <c r="I2442" s="9" t="s">
        <v>10352</v>
      </c>
      <c r="J2442" s="9" t="s">
        <v>10353</v>
      </c>
      <c r="K2442" s="9" t="s">
        <v>10354</v>
      </c>
      <c r="L2442" s="9" t="s">
        <v>30</v>
      </c>
      <c r="M2442" s="9" t="s">
        <v>31</v>
      </c>
      <c r="N2442" s="9" t="s">
        <v>32</v>
      </c>
      <c r="O2442" s="12" t="s">
        <v>33</v>
      </c>
      <c r="P2442" s="12" t="s">
        <v>34</v>
      </c>
      <c r="Q2442" s="9"/>
      <c r="R2442" s="18"/>
      <c r="S2442" s="18"/>
      <c r="T2442" s="18"/>
      <c r="U2442" s="18"/>
      <c r="V2442" s="18"/>
      <c r="W2442" s="15"/>
      <c r="X2442" s="15"/>
    </row>
    <row r="2443">
      <c r="A2443" s="7">
        <v>2442.0</v>
      </c>
      <c r="B2443" s="8" t="s">
        <v>10355</v>
      </c>
      <c r="C2443" s="9" t="s">
        <v>10356</v>
      </c>
      <c r="D2443" s="10" t="str">
        <f>HYPERLINK("https://facebook.com/367089020688300_544286579635209", "367089020688300_544286579635209")</f>
        <v>367089020688300_544286579635209</v>
      </c>
      <c r="E2443" s="11">
        <v>72.0</v>
      </c>
      <c r="F2443" s="11">
        <v>0.0</v>
      </c>
      <c r="G2443" s="11">
        <v>81.0</v>
      </c>
      <c r="H2443" s="9" t="s">
        <v>26</v>
      </c>
      <c r="I2443" s="9" t="s">
        <v>10357</v>
      </c>
      <c r="J2443" s="9" t="s">
        <v>10358</v>
      </c>
      <c r="K2443" s="9" t="s">
        <v>1096</v>
      </c>
      <c r="L2443" s="9" t="s">
        <v>30</v>
      </c>
      <c r="M2443" s="9" t="s">
        <v>31</v>
      </c>
      <c r="N2443" s="9" t="s">
        <v>32</v>
      </c>
      <c r="O2443" s="12" t="s">
        <v>33</v>
      </c>
      <c r="P2443" s="12" t="s">
        <v>34</v>
      </c>
      <c r="Q2443" s="9"/>
      <c r="R2443" s="18"/>
      <c r="S2443" s="18"/>
      <c r="T2443" s="18"/>
      <c r="U2443" s="18"/>
      <c r="V2443" s="18"/>
      <c r="W2443" s="15"/>
      <c r="X2443" s="15"/>
    </row>
    <row r="2444">
      <c r="A2444" s="7">
        <v>2443.0</v>
      </c>
      <c r="B2444" s="8" t="s">
        <v>10359</v>
      </c>
      <c r="C2444" s="9" t="s">
        <v>10360</v>
      </c>
      <c r="D2444" s="10" t="str">
        <f>HYPERLINK("https://facebook.com/367089020688300_547269259336941", "367089020688300_547269259336941")</f>
        <v>367089020688300_547269259336941</v>
      </c>
      <c r="E2444" s="11">
        <v>241.0</v>
      </c>
      <c r="F2444" s="11">
        <v>1.0</v>
      </c>
      <c r="G2444" s="11">
        <v>39.0</v>
      </c>
      <c r="H2444" s="9" t="s">
        <v>26</v>
      </c>
      <c r="I2444" s="9" t="s">
        <v>10361</v>
      </c>
      <c r="J2444" s="16" t="s">
        <v>10362</v>
      </c>
      <c r="K2444" s="9"/>
      <c r="L2444" s="9" t="s">
        <v>30</v>
      </c>
      <c r="M2444" s="9" t="s">
        <v>31</v>
      </c>
      <c r="N2444" s="9" t="s">
        <v>32</v>
      </c>
      <c r="O2444" s="12" t="s">
        <v>33</v>
      </c>
      <c r="P2444" s="12" t="s">
        <v>34</v>
      </c>
      <c r="Q2444" s="9"/>
      <c r="R2444" s="18"/>
      <c r="S2444" s="18"/>
      <c r="T2444" s="18"/>
      <c r="U2444" s="18"/>
      <c r="V2444" s="18"/>
      <c r="W2444" s="15"/>
      <c r="X2444" s="15"/>
    </row>
    <row r="2445">
      <c r="A2445" s="7">
        <v>2444.0</v>
      </c>
      <c r="B2445" s="8" t="s">
        <v>10363</v>
      </c>
      <c r="C2445" s="9" t="s">
        <v>10364</v>
      </c>
      <c r="D2445" s="10" t="str">
        <f>HYPERLINK("https://facebook.com/367089020688300_511444159586118", "367089020688300_511444159586118")</f>
        <v>367089020688300_511444159586118</v>
      </c>
      <c r="E2445" s="11">
        <v>441.0</v>
      </c>
      <c r="F2445" s="11">
        <v>13.0</v>
      </c>
      <c r="G2445" s="11">
        <v>235.0</v>
      </c>
      <c r="H2445" s="9" t="s">
        <v>26</v>
      </c>
      <c r="I2445" s="9" t="s">
        <v>10365</v>
      </c>
      <c r="J2445" s="9" t="s">
        <v>10366</v>
      </c>
      <c r="K2445" s="9" t="s">
        <v>10367</v>
      </c>
      <c r="L2445" s="9" t="s">
        <v>30</v>
      </c>
      <c r="M2445" s="9" t="s">
        <v>31</v>
      </c>
      <c r="N2445" s="9" t="s">
        <v>32</v>
      </c>
      <c r="O2445" s="12" t="s">
        <v>33</v>
      </c>
      <c r="P2445" s="12" t="s">
        <v>34</v>
      </c>
      <c r="Q2445" s="9"/>
      <c r="R2445" s="18"/>
      <c r="S2445" s="18"/>
      <c r="T2445" s="18"/>
      <c r="U2445" s="18"/>
      <c r="V2445" s="18"/>
      <c r="W2445" s="15"/>
      <c r="X2445" s="15"/>
    </row>
    <row r="2446">
      <c r="A2446" s="7">
        <v>2445.0</v>
      </c>
      <c r="B2446" s="8" t="s">
        <v>10368</v>
      </c>
      <c r="C2446" s="9" t="s">
        <v>10369</v>
      </c>
      <c r="D2446" s="10" t="str">
        <f>HYPERLINK("https://facebook.com/367089020688300_455703105160224", "367089020688300_455703105160224")</f>
        <v>367089020688300_455703105160224</v>
      </c>
      <c r="E2446" s="11">
        <v>472.0</v>
      </c>
      <c r="F2446" s="11">
        <v>17.0</v>
      </c>
      <c r="G2446" s="11">
        <v>450.0</v>
      </c>
      <c r="H2446" s="9" t="s">
        <v>26</v>
      </c>
      <c r="I2446" s="9" t="s">
        <v>10370</v>
      </c>
      <c r="J2446" s="9" t="s">
        <v>10371</v>
      </c>
      <c r="K2446" s="9" t="s">
        <v>10372</v>
      </c>
      <c r="L2446" s="9" t="s">
        <v>30</v>
      </c>
      <c r="M2446" s="9" t="s">
        <v>31</v>
      </c>
      <c r="N2446" s="9" t="s">
        <v>32</v>
      </c>
      <c r="O2446" s="12" t="s">
        <v>33</v>
      </c>
      <c r="P2446" s="12" t="s">
        <v>34</v>
      </c>
      <c r="Q2446" s="9"/>
      <c r="R2446" s="18"/>
      <c r="S2446" s="18"/>
      <c r="T2446" s="18"/>
      <c r="U2446" s="18"/>
      <c r="V2446" s="18"/>
      <c r="W2446" s="15"/>
      <c r="X2446" s="15"/>
    </row>
    <row r="2447">
      <c r="A2447" s="7">
        <v>2446.0</v>
      </c>
      <c r="B2447" s="8" t="s">
        <v>10373</v>
      </c>
      <c r="C2447" s="9" t="s">
        <v>10374</v>
      </c>
      <c r="D2447" s="10" t="str">
        <f>HYPERLINK("https://facebook.com/367089020688300_540811323316068", "367089020688300_540811323316068")</f>
        <v>367089020688300_540811323316068</v>
      </c>
      <c r="E2447" s="11">
        <v>51.0</v>
      </c>
      <c r="F2447" s="11">
        <v>1.0</v>
      </c>
      <c r="G2447" s="11">
        <v>75.0</v>
      </c>
      <c r="H2447" s="9" t="s">
        <v>26</v>
      </c>
      <c r="I2447" s="9" t="s">
        <v>3340</v>
      </c>
      <c r="J2447" s="9" t="s">
        <v>10375</v>
      </c>
      <c r="K2447" s="9" t="s">
        <v>2498</v>
      </c>
      <c r="L2447" s="9" t="s">
        <v>30</v>
      </c>
      <c r="M2447" s="9" t="s">
        <v>31</v>
      </c>
      <c r="N2447" s="9" t="s">
        <v>32</v>
      </c>
      <c r="O2447" s="12" t="s">
        <v>33</v>
      </c>
      <c r="P2447" s="12" t="s">
        <v>34</v>
      </c>
      <c r="Q2447" s="9"/>
      <c r="R2447" s="18"/>
      <c r="S2447" s="18"/>
      <c r="T2447" s="18"/>
      <c r="U2447" s="18"/>
      <c r="V2447" s="18"/>
      <c r="W2447" s="15"/>
      <c r="X2447" s="15"/>
    </row>
    <row r="2448">
      <c r="A2448" s="7">
        <v>2447.0</v>
      </c>
      <c r="B2448" s="8" t="s">
        <v>10376</v>
      </c>
      <c r="C2448" s="9" t="s">
        <v>10377</v>
      </c>
      <c r="D2448" s="10" t="str">
        <f>HYPERLINK("https://facebook.com/367089020688300_556703035060230", "367089020688300_556703035060230")</f>
        <v>367089020688300_556703035060230</v>
      </c>
      <c r="E2448" s="11">
        <v>5.0</v>
      </c>
      <c r="F2448" s="11">
        <v>0.0</v>
      </c>
      <c r="G2448" s="11">
        <v>1.0</v>
      </c>
      <c r="H2448" s="9" t="s">
        <v>26</v>
      </c>
      <c r="I2448" s="9" t="s">
        <v>10378</v>
      </c>
      <c r="J2448" s="9" t="s">
        <v>10379</v>
      </c>
      <c r="K2448" s="9" t="s">
        <v>10324</v>
      </c>
      <c r="L2448" s="9" t="s">
        <v>30</v>
      </c>
      <c r="M2448" s="9" t="s">
        <v>31</v>
      </c>
      <c r="N2448" s="9" t="s">
        <v>32</v>
      </c>
      <c r="O2448" s="12" t="s">
        <v>33</v>
      </c>
      <c r="P2448" s="12" t="s">
        <v>34</v>
      </c>
      <c r="Q2448" s="9"/>
      <c r="R2448" s="18"/>
      <c r="S2448" s="18"/>
      <c r="T2448" s="18"/>
      <c r="U2448" s="18"/>
      <c r="V2448" s="18"/>
      <c r="W2448" s="15"/>
      <c r="X2448" s="15"/>
    </row>
    <row r="2449">
      <c r="A2449" s="7">
        <v>2448.0</v>
      </c>
      <c r="B2449" s="8" t="s">
        <v>10380</v>
      </c>
      <c r="C2449" s="9" t="s">
        <v>10381</v>
      </c>
      <c r="D2449" s="10" t="str">
        <f>HYPERLINK("https://facebook.com/367089020688300_524148318315702", "367089020688300_524148318315702")</f>
        <v>367089020688300_524148318315702</v>
      </c>
      <c r="E2449" s="11">
        <v>843.0</v>
      </c>
      <c r="F2449" s="11">
        <v>15.0</v>
      </c>
      <c r="G2449" s="11">
        <v>511.0</v>
      </c>
      <c r="H2449" s="9" t="s">
        <v>26</v>
      </c>
      <c r="I2449" s="9" t="s">
        <v>10382</v>
      </c>
      <c r="J2449" s="16" t="s">
        <v>10383</v>
      </c>
      <c r="K2449" s="9"/>
      <c r="L2449" s="9" t="s">
        <v>30</v>
      </c>
      <c r="M2449" s="9" t="s">
        <v>31</v>
      </c>
      <c r="N2449" s="9" t="s">
        <v>32</v>
      </c>
      <c r="O2449" s="12" t="s">
        <v>33</v>
      </c>
      <c r="P2449" s="12" t="s">
        <v>34</v>
      </c>
      <c r="Q2449" s="9"/>
      <c r="R2449" s="18"/>
      <c r="S2449" s="18"/>
      <c r="T2449" s="18"/>
      <c r="U2449" s="18"/>
      <c r="V2449" s="18"/>
      <c r="W2449" s="15"/>
      <c r="X2449" s="15"/>
    </row>
    <row r="2450">
      <c r="A2450" s="7">
        <v>2449.0</v>
      </c>
      <c r="B2450" s="8" t="s">
        <v>10384</v>
      </c>
      <c r="C2450" s="9" t="s">
        <v>10385</v>
      </c>
      <c r="D2450" s="10" t="str">
        <f>HYPERLINK("https://facebook.com/367089020688300_561477761249424", "367089020688300_561477761249424")</f>
        <v>367089020688300_561477761249424</v>
      </c>
      <c r="E2450" s="11">
        <v>59.0</v>
      </c>
      <c r="F2450" s="11">
        <v>0.0</v>
      </c>
      <c r="G2450" s="11">
        <v>12.0</v>
      </c>
      <c r="H2450" s="9" t="s">
        <v>26</v>
      </c>
      <c r="I2450" s="9" t="s">
        <v>10386</v>
      </c>
      <c r="J2450" s="16" t="s">
        <v>10387</v>
      </c>
      <c r="K2450" s="9"/>
      <c r="L2450" s="9" t="s">
        <v>30</v>
      </c>
      <c r="M2450" s="9" t="s">
        <v>31</v>
      </c>
      <c r="N2450" s="9" t="s">
        <v>32</v>
      </c>
      <c r="O2450" s="12" t="s">
        <v>33</v>
      </c>
      <c r="P2450" s="12" t="s">
        <v>34</v>
      </c>
      <c r="Q2450" s="9"/>
      <c r="R2450" s="18"/>
      <c r="S2450" s="18"/>
      <c r="T2450" s="18"/>
      <c r="U2450" s="18"/>
      <c r="V2450" s="18"/>
      <c r="W2450" s="15"/>
      <c r="X2450" s="15"/>
    </row>
    <row r="2451">
      <c r="A2451" s="7">
        <v>2450.0</v>
      </c>
      <c r="B2451" s="8" t="s">
        <v>10388</v>
      </c>
      <c r="C2451" s="9" t="s">
        <v>10389</v>
      </c>
      <c r="D2451" s="10" t="str">
        <f>HYPERLINK("https://facebook.com/367089020688300_525907631473104", "367089020688300_525907631473104")</f>
        <v>367089020688300_525907631473104</v>
      </c>
      <c r="E2451" s="11">
        <v>785.0</v>
      </c>
      <c r="F2451" s="11">
        <v>33.0</v>
      </c>
      <c r="G2451" s="11">
        <v>550.0</v>
      </c>
      <c r="H2451" s="9" t="s">
        <v>26</v>
      </c>
      <c r="I2451" s="9" t="s">
        <v>2004</v>
      </c>
      <c r="J2451" s="9" t="s">
        <v>2005</v>
      </c>
      <c r="K2451" s="9" t="s">
        <v>10390</v>
      </c>
      <c r="L2451" s="9" t="s">
        <v>30</v>
      </c>
      <c r="M2451" s="9" t="s">
        <v>31</v>
      </c>
      <c r="N2451" s="9" t="s">
        <v>32</v>
      </c>
      <c r="O2451" s="12" t="s">
        <v>33</v>
      </c>
      <c r="P2451" s="12" t="s">
        <v>34</v>
      </c>
      <c r="Q2451" s="9"/>
      <c r="R2451" s="18"/>
      <c r="S2451" s="18"/>
      <c r="T2451" s="18"/>
      <c r="U2451" s="18"/>
      <c r="V2451" s="18"/>
      <c r="W2451" s="15"/>
      <c r="X2451" s="15"/>
    </row>
    <row r="2452">
      <c r="A2452" s="7">
        <v>2451.0</v>
      </c>
      <c r="B2452" s="8" t="s">
        <v>10391</v>
      </c>
      <c r="C2452" s="9" t="s">
        <v>10392</v>
      </c>
      <c r="D2452" s="10" t="str">
        <f>HYPERLINK("https://facebook.com/367089020688300_475736526490215", "367089020688300_475736526490215")</f>
        <v>367089020688300_475736526490215</v>
      </c>
      <c r="E2452" s="11">
        <v>915.0</v>
      </c>
      <c r="F2452" s="11">
        <v>46.0</v>
      </c>
      <c r="G2452" s="11">
        <v>707.0</v>
      </c>
      <c r="H2452" s="9" t="s">
        <v>26</v>
      </c>
      <c r="I2452" s="9" t="s">
        <v>10393</v>
      </c>
      <c r="J2452" s="9" t="s">
        <v>10394</v>
      </c>
      <c r="K2452" s="9" t="s">
        <v>10395</v>
      </c>
      <c r="L2452" s="9" t="s">
        <v>30</v>
      </c>
      <c r="M2452" s="9" t="s">
        <v>31</v>
      </c>
      <c r="N2452" s="9" t="s">
        <v>32</v>
      </c>
      <c r="O2452" s="12" t="s">
        <v>33</v>
      </c>
      <c r="P2452" s="12" t="s">
        <v>34</v>
      </c>
      <c r="Q2452" s="9"/>
      <c r="R2452" s="18"/>
      <c r="S2452" s="18"/>
      <c r="T2452" s="18"/>
      <c r="U2452" s="18"/>
      <c r="V2452" s="18"/>
      <c r="W2452" s="15"/>
      <c r="X2452" s="15"/>
    </row>
    <row r="2453">
      <c r="A2453" s="7">
        <v>2452.0</v>
      </c>
      <c r="B2453" s="8" t="s">
        <v>10396</v>
      </c>
      <c r="C2453" s="9" t="s">
        <v>10397</v>
      </c>
      <c r="D2453" s="10" t="str">
        <f>HYPERLINK("https://facebook.com/367089020688300_477607899636411", "367089020688300_477607899636411")</f>
        <v>367089020688300_477607899636411</v>
      </c>
      <c r="E2453" s="11">
        <v>166.0</v>
      </c>
      <c r="F2453" s="11">
        <v>4.0</v>
      </c>
      <c r="G2453" s="11">
        <v>59.0</v>
      </c>
      <c r="H2453" s="9" t="s">
        <v>26</v>
      </c>
      <c r="I2453" s="9" t="s">
        <v>1161</v>
      </c>
      <c r="J2453" s="9" t="s">
        <v>10398</v>
      </c>
      <c r="K2453" s="9" t="s">
        <v>219</v>
      </c>
      <c r="L2453" s="9" t="s">
        <v>30</v>
      </c>
      <c r="M2453" s="9" t="s">
        <v>31</v>
      </c>
      <c r="N2453" s="9" t="s">
        <v>32</v>
      </c>
      <c r="O2453" s="12" t="s">
        <v>33</v>
      </c>
      <c r="P2453" s="12" t="s">
        <v>34</v>
      </c>
      <c r="Q2453" s="9"/>
      <c r="R2453" s="18"/>
      <c r="S2453" s="18"/>
      <c r="T2453" s="18"/>
      <c r="U2453" s="18"/>
      <c r="V2453" s="18"/>
      <c r="W2453" s="15"/>
      <c r="X2453" s="15"/>
    </row>
    <row r="2454">
      <c r="A2454" s="7">
        <v>2453.0</v>
      </c>
      <c r="B2454" s="8" t="s">
        <v>10399</v>
      </c>
      <c r="C2454" s="9" t="s">
        <v>10400</v>
      </c>
      <c r="D2454" s="10" t="str">
        <f>HYPERLINK("https://facebook.com/367089020688300_450225752374626", "367089020688300_450225752374626")</f>
        <v>367089020688300_450225752374626</v>
      </c>
      <c r="E2454" s="11">
        <v>523.0</v>
      </c>
      <c r="F2454" s="11">
        <v>34.0</v>
      </c>
      <c r="G2454" s="11">
        <v>580.0</v>
      </c>
      <c r="H2454" s="9" t="s">
        <v>26</v>
      </c>
      <c r="I2454" s="9" t="s">
        <v>10401</v>
      </c>
      <c r="J2454" s="9" t="s">
        <v>10402</v>
      </c>
      <c r="K2454" s="9" t="s">
        <v>4799</v>
      </c>
      <c r="L2454" s="9" t="s">
        <v>30</v>
      </c>
      <c r="M2454" s="9" t="s">
        <v>31</v>
      </c>
      <c r="N2454" s="9" t="s">
        <v>32</v>
      </c>
      <c r="O2454" s="12" t="s">
        <v>33</v>
      </c>
      <c r="P2454" s="12" t="s">
        <v>34</v>
      </c>
      <c r="Q2454" s="9"/>
      <c r="R2454" s="18"/>
      <c r="S2454" s="18"/>
      <c r="T2454" s="18"/>
      <c r="U2454" s="18"/>
      <c r="V2454" s="18"/>
      <c r="W2454" s="15"/>
      <c r="X2454" s="15"/>
    </row>
    <row r="2455">
      <c r="A2455" s="7">
        <v>2454.0</v>
      </c>
      <c r="B2455" s="8" t="s">
        <v>10403</v>
      </c>
      <c r="C2455" s="9" t="s">
        <v>10404</v>
      </c>
      <c r="D2455" s="10" t="str">
        <f>HYPERLINK("https://facebook.com/367089020688300_530482381015629", "367089020688300_530482381015629")</f>
        <v>367089020688300_530482381015629</v>
      </c>
      <c r="E2455" s="11">
        <v>412.0</v>
      </c>
      <c r="F2455" s="11">
        <v>3.0</v>
      </c>
      <c r="G2455" s="11">
        <v>309.0</v>
      </c>
      <c r="H2455" s="9" t="s">
        <v>26</v>
      </c>
      <c r="I2455" s="9" t="s">
        <v>2393</v>
      </c>
      <c r="J2455" s="9" t="s">
        <v>10405</v>
      </c>
      <c r="K2455" s="9" t="s">
        <v>10406</v>
      </c>
      <c r="L2455" s="9" t="s">
        <v>30</v>
      </c>
      <c r="M2455" s="9" t="s">
        <v>31</v>
      </c>
      <c r="N2455" s="9" t="s">
        <v>32</v>
      </c>
      <c r="O2455" s="12" t="s">
        <v>33</v>
      </c>
      <c r="P2455" s="12" t="s">
        <v>34</v>
      </c>
      <c r="Q2455" s="9"/>
      <c r="R2455" s="18"/>
      <c r="S2455" s="18"/>
      <c r="T2455" s="18"/>
      <c r="U2455" s="18"/>
      <c r="V2455" s="18"/>
      <c r="W2455" s="15"/>
      <c r="X2455" s="15"/>
    </row>
    <row r="2456">
      <c r="A2456" s="7">
        <v>2455.0</v>
      </c>
      <c r="B2456" s="8" t="s">
        <v>10407</v>
      </c>
      <c r="C2456" s="9" t="s">
        <v>10408</v>
      </c>
      <c r="D2456" s="10" t="str">
        <f>HYPERLINK("https://facebook.com/367089020688300_562873657776501", "367089020688300_562873657776501")</f>
        <v>367089020688300_562873657776501</v>
      </c>
      <c r="E2456" s="11">
        <v>31.0</v>
      </c>
      <c r="F2456" s="11">
        <v>0.0</v>
      </c>
      <c r="G2456" s="11">
        <v>10.0</v>
      </c>
      <c r="H2456" s="9" t="s">
        <v>26</v>
      </c>
      <c r="I2456" s="9" t="s">
        <v>10409</v>
      </c>
      <c r="J2456" s="16" t="s">
        <v>10410</v>
      </c>
      <c r="K2456" s="9"/>
      <c r="L2456" s="9" t="s">
        <v>30</v>
      </c>
      <c r="M2456" s="9" t="s">
        <v>31</v>
      </c>
      <c r="N2456" s="9" t="s">
        <v>32</v>
      </c>
      <c r="O2456" s="12" t="s">
        <v>33</v>
      </c>
      <c r="P2456" s="12" t="s">
        <v>34</v>
      </c>
      <c r="Q2456" s="9"/>
      <c r="R2456" s="18"/>
      <c r="S2456" s="18"/>
      <c r="T2456" s="18"/>
      <c r="U2456" s="18"/>
      <c r="V2456" s="18"/>
      <c r="W2456" s="15"/>
      <c r="X2456" s="15"/>
    </row>
    <row r="2457">
      <c r="A2457" s="7">
        <v>2456.0</v>
      </c>
      <c r="B2457" s="8" t="s">
        <v>10411</v>
      </c>
      <c r="C2457" s="9" t="s">
        <v>10412</v>
      </c>
      <c r="D2457" s="10" t="str">
        <f>HYPERLINK("https://facebook.com/367089020688300_557528831644317", "367089020688300_557528831644317")</f>
        <v>367089020688300_557528831644317</v>
      </c>
      <c r="E2457" s="11">
        <v>127.0</v>
      </c>
      <c r="F2457" s="11">
        <v>0.0</v>
      </c>
      <c r="G2457" s="11">
        <v>61.0</v>
      </c>
      <c r="H2457" s="9" t="s">
        <v>26</v>
      </c>
      <c r="I2457" s="9" t="s">
        <v>10413</v>
      </c>
      <c r="J2457" s="16" t="s">
        <v>10414</v>
      </c>
      <c r="K2457" s="9"/>
      <c r="L2457" s="9" t="s">
        <v>30</v>
      </c>
      <c r="M2457" s="9" t="s">
        <v>31</v>
      </c>
      <c r="N2457" s="9" t="s">
        <v>32</v>
      </c>
      <c r="O2457" s="12" t="s">
        <v>33</v>
      </c>
      <c r="P2457" s="12" t="s">
        <v>34</v>
      </c>
      <c r="Q2457" s="9"/>
      <c r="R2457" s="18"/>
      <c r="S2457" s="18"/>
      <c r="T2457" s="18"/>
      <c r="U2457" s="18"/>
      <c r="V2457" s="18"/>
      <c r="W2457" s="15"/>
      <c r="X2457" s="15"/>
    </row>
    <row r="2458">
      <c r="A2458" s="7">
        <v>2457.0</v>
      </c>
      <c r="B2458" s="8" t="s">
        <v>10415</v>
      </c>
      <c r="C2458" s="9" t="s">
        <v>10416</v>
      </c>
      <c r="D2458" s="10" t="str">
        <f>HYPERLINK("https://facebook.com/367089020688300_554159565314577", "367089020688300_554159565314577")</f>
        <v>367089020688300_554159565314577</v>
      </c>
      <c r="E2458" s="11">
        <v>1185.0</v>
      </c>
      <c r="F2458" s="11">
        <v>29.0</v>
      </c>
      <c r="G2458" s="11">
        <v>1057.0</v>
      </c>
      <c r="H2458" s="9" t="s">
        <v>26</v>
      </c>
      <c r="I2458" s="9" t="s">
        <v>10417</v>
      </c>
      <c r="J2458" s="9" t="s">
        <v>10418</v>
      </c>
      <c r="K2458" s="9" t="s">
        <v>2498</v>
      </c>
      <c r="L2458" s="9" t="s">
        <v>30</v>
      </c>
      <c r="M2458" s="9" t="s">
        <v>31</v>
      </c>
      <c r="N2458" s="9" t="s">
        <v>32</v>
      </c>
      <c r="O2458" s="12" t="s">
        <v>33</v>
      </c>
      <c r="P2458" s="12" t="s">
        <v>34</v>
      </c>
      <c r="Q2458" s="9"/>
      <c r="R2458" s="18"/>
      <c r="S2458" s="18"/>
      <c r="T2458" s="18"/>
      <c r="U2458" s="18"/>
      <c r="V2458" s="18"/>
      <c r="W2458" s="15"/>
      <c r="X2458" s="15"/>
    </row>
    <row r="2459">
      <c r="A2459" s="7">
        <v>2458.0</v>
      </c>
      <c r="B2459" s="8" t="s">
        <v>10419</v>
      </c>
      <c r="C2459" s="9" t="s">
        <v>10420</v>
      </c>
      <c r="D2459" s="10" t="str">
        <f>HYPERLINK("https://facebook.com/367089020688300_540405366689997", "367089020688300_540405366689997")</f>
        <v>367089020688300_540405366689997</v>
      </c>
      <c r="E2459" s="11">
        <v>772.0</v>
      </c>
      <c r="F2459" s="11">
        <v>13.0</v>
      </c>
      <c r="G2459" s="11">
        <v>661.0</v>
      </c>
      <c r="H2459" s="9" t="s">
        <v>26</v>
      </c>
      <c r="I2459" s="9" t="s">
        <v>6607</v>
      </c>
      <c r="J2459" s="9" t="s">
        <v>10421</v>
      </c>
      <c r="K2459" s="9" t="s">
        <v>7175</v>
      </c>
      <c r="L2459" s="9" t="s">
        <v>30</v>
      </c>
      <c r="M2459" s="9" t="s">
        <v>31</v>
      </c>
      <c r="N2459" s="9" t="s">
        <v>32</v>
      </c>
      <c r="O2459" s="12" t="s">
        <v>33</v>
      </c>
      <c r="P2459" s="12" t="s">
        <v>34</v>
      </c>
      <c r="Q2459" s="9"/>
      <c r="R2459" s="18"/>
      <c r="S2459" s="18"/>
      <c r="T2459" s="18"/>
      <c r="U2459" s="18"/>
      <c r="V2459" s="18"/>
      <c r="W2459" s="15"/>
      <c r="X2459" s="15"/>
    </row>
    <row r="2460">
      <c r="A2460" s="7">
        <v>2459.0</v>
      </c>
      <c r="B2460" s="8" t="s">
        <v>10422</v>
      </c>
      <c r="C2460" s="9" t="s">
        <v>10423</v>
      </c>
      <c r="D2460" s="10" t="str">
        <f>HYPERLINK("https://facebook.com/367089020688300_539966843400516", "367089020688300_539966843400516")</f>
        <v>367089020688300_539966843400516</v>
      </c>
      <c r="E2460" s="11">
        <v>554.0</v>
      </c>
      <c r="F2460" s="11">
        <v>15.0</v>
      </c>
      <c r="G2460" s="11">
        <v>267.0</v>
      </c>
      <c r="H2460" s="9" t="s">
        <v>26</v>
      </c>
      <c r="I2460" s="9" t="s">
        <v>6377</v>
      </c>
      <c r="J2460" s="9" t="s">
        <v>7301</v>
      </c>
      <c r="K2460" s="9" t="s">
        <v>249</v>
      </c>
      <c r="L2460" s="9" t="s">
        <v>30</v>
      </c>
      <c r="M2460" s="9" t="s">
        <v>31</v>
      </c>
      <c r="N2460" s="9" t="s">
        <v>32</v>
      </c>
      <c r="O2460" s="12" t="s">
        <v>33</v>
      </c>
      <c r="P2460" s="12" t="s">
        <v>34</v>
      </c>
      <c r="Q2460" s="9"/>
      <c r="R2460" s="18"/>
      <c r="S2460" s="18"/>
      <c r="T2460" s="18"/>
      <c r="U2460" s="18"/>
      <c r="V2460" s="18"/>
      <c r="W2460" s="15"/>
      <c r="X2460" s="15"/>
    </row>
    <row r="2461">
      <c r="A2461" s="7">
        <v>2460.0</v>
      </c>
      <c r="B2461" s="8" t="s">
        <v>10424</v>
      </c>
      <c r="C2461" s="9" t="s">
        <v>10425</v>
      </c>
      <c r="D2461" s="10" t="str">
        <f>HYPERLINK("https://facebook.com/367089020688300_536707507059783", "367089020688300_536707507059783")</f>
        <v>367089020688300_536707507059783</v>
      </c>
      <c r="E2461" s="11">
        <v>310.0</v>
      </c>
      <c r="F2461" s="11">
        <v>5.0</v>
      </c>
      <c r="G2461" s="11">
        <v>271.0</v>
      </c>
      <c r="H2461" s="9" t="s">
        <v>26</v>
      </c>
      <c r="I2461" s="9" t="s">
        <v>10426</v>
      </c>
      <c r="J2461" s="16" t="s">
        <v>10427</v>
      </c>
      <c r="K2461" s="9"/>
      <c r="L2461" s="9" t="s">
        <v>30</v>
      </c>
      <c r="M2461" s="9" t="s">
        <v>31</v>
      </c>
      <c r="N2461" s="9" t="s">
        <v>32</v>
      </c>
      <c r="O2461" s="12" t="s">
        <v>33</v>
      </c>
      <c r="P2461" s="12" t="s">
        <v>34</v>
      </c>
      <c r="Q2461" s="9"/>
      <c r="R2461" s="18"/>
      <c r="S2461" s="18"/>
      <c r="T2461" s="18"/>
      <c r="U2461" s="18"/>
      <c r="V2461" s="18"/>
      <c r="W2461" s="15"/>
      <c r="X2461" s="15"/>
    </row>
    <row r="2462">
      <c r="A2462" s="7">
        <v>2461.0</v>
      </c>
      <c r="B2462" s="8" t="s">
        <v>10428</v>
      </c>
      <c r="C2462" s="9" t="s">
        <v>10429</v>
      </c>
      <c r="D2462" s="10" t="str">
        <f>HYPERLINK("https://facebook.com/367089020688300_472126583517876", "367089020688300_472126583517876")</f>
        <v>367089020688300_472126583517876</v>
      </c>
      <c r="E2462" s="11">
        <v>205.0</v>
      </c>
      <c r="F2462" s="11">
        <v>1.0</v>
      </c>
      <c r="G2462" s="11">
        <v>159.0</v>
      </c>
      <c r="H2462" s="9" t="s">
        <v>26</v>
      </c>
      <c r="I2462" s="9" t="s">
        <v>10430</v>
      </c>
      <c r="J2462" s="9" t="s">
        <v>10431</v>
      </c>
      <c r="K2462" s="9" t="s">
        <v>9552</v>
      </c>
      <c r="L2462" s="9" t="s">
        <v>30</v>
      </c>
      <c r="M2462" s="9" t="s">
        <v>31</v>
      </c>
      <c r="N2462" s="9" t="s">
        <v>32</v>
      </c>
      <c r="O2462" s="12" t="s">
        <v>33</v>
      </c>
      <c r="P2462" s="12" t="s">
        <v>34</v>
      </c>
      <c r="Q2462" s="9"/>
      <c r="R2462" s="18"/>
      <c r="S2462" s="18"/>
      <c r="T2462" s="18"/>
      <c r="U2462" s="18"/>
      <c r="V2462" s="18"/>
      <c r="W2462" s="15"/>
      <c r="X2462" s="15"/>
    </row>
    <row r="2463">
      <c r="A2463" s="7">
        <v>2462.0</v>
      </c>
      <c r="B2463" s="8" t="s">
        <v>10432</v>
      </c>
      <c r="C2463" s="9" t="s">
        <v>10433</v>
      </c>
      <c r="D2463" s="10" t="str">
        <f>HYPERLINK("https://facebook.com/367089020688300_538789216851612", "367089020688300_538789216851612")</f>
        <v>367089020688300_538789216851612</v>
      </c>
      <c r="E2463" s="11">
        <v>4.0</v>
      </c>
      <c r="F2463" s="11">
        <v>0.0</v>
      </c>
      <c r="G2463" s="11">
        <v>18.0</v>
      </c>
      <c r="H2463" s="9" t="s">
        <v>26</v>
      </c>
      <c r="I2463" s="9" t="s">
        <v>10434</v>
      </c>
      <c r="J2463" s="9" t="s">
        <v>10435</v>
      </c>
      <c r="K2463" s="9" t="s">
        <v>789</v>
      </c>
      <c r="L2463" s="9" t="s">
        <v>30</v>
      </c>
      <c r="M2463" s="9" t="s">
        <v>31</v>
      </c>
      <c r="N2463" s="9" t="s">
        <v>32</v>
      </c>
      <c r="O2463" s="12" t="s">
        <v>33</v>
      </c>
      <c r="P2463" s="12" t="s">
        <v>34</v>
      </c>
      <c r="Q2463" s="9"/>
      <c r="R2463" s="18"/>
      <c r="S2463" s="18"/>
      <c r="T2463" s="18"/>
      <c r="U2463" s="18"/>
      <c r="V2463" s="18"/>
      <c r="W2463" s="15"/>
      <c r="X2463" s="15"/>
    </row>
    <row r="2464">
      <c r="A2464" s="7">
        <v>2463.0</v>
      </c>
      <c r="B2464" s="8" t="s">
        <v>10436</v>
      </c>
      <c r="C2464" s="9" t="s">
        <v>10437</v>
      </c>
      <c r="D2464" s="10" t="str">
        <f>HYPERLINK("https://facebook.com/367089020688300_561502491246951", "367089020688300_561502491246951")</f>
        <v>367089020688300_561502491246951</v>
      </c>
      <c r="E2464" s="11">
        <v>3.0</v>
      </c>
      <c r="F2464" s="11">
        <v>0.0</v>
      </c>
      <c r="G2464" s="11">
        <v>2.0</v>
      </c>
      <c r="H2464" s="9" t="s">
        <v>26</v>
      </c>
      <c r="I2464" s="9" t="s">
        <v>10438</v>
      </c>
      <c r="J2464" s="9" t="s">
        <v>10439</v>
      </c>
      <c r="K2464" s="9" t="s">
        <v>10440</v>
      </c>
      <c r="L2464" s="9" t="s">
        <v>30</v>
      </c>
      <c r="M2464" s="9" t="s">
        <v>31</v>
      </c>
      <c r="N2464" s="9" t="s">
        <v>32</v>
      </c>
      <c r="O2464" s="12" t="s">
        <v>33</v>
      </c>
      <c r="P2464" s="12" t="s">
        <v>34</v>
      </c>
      <c r="Q2464" s="9"/>
      <c r="R2464" s="18"/>
      <c r="S2464" s="18"/>
      <c r="T2464" s="18"/>
      <c r="U2464" s="18"/>
      <c r="V2464" s="18"/>
      <c r="W2464" s="15"/>
      <c r="X2464" s="15"/>
    </row>
    <row r="2465">
      <c r="A2465" s="7">
        <v>2464.0</v>
      </c>
      <c r="B2465" s="8" t="s">
        <v>10441</v>
      </c>
      <c r="C2465" s="9" t="s">
        <v>10442</v>
      </c>
      <c r="D2465" s="10" t="str">
        <f>HYPERLINK("https://facebook.com/367089020688300_532078707522663", "367089020688300_532078707522663")</f>
        <v>367089020688300_532078707522663</v>
      </c>
      <c r="E2465" s="11">
        <v>141.0</v>
      </c>
      <c r="F2465" s="11">
        <v>6.0</v>
      </c>
      <c r="G2465" s="11">
        <v>100.0</v>
      </c>
      <c r="H2465" s="9" t="s">
        <v>26</v>
      </c>
      <c r="I2465" s="9" t="s">
        <v>9534</v>
      </c>
      <c r="J2465" s="16" t="s">
        <v>10443</v>
      </c>
      <c r="K2465" s="9"/>
      <c r="L2465" s="9" t="s">
        <v>30</v>
      </c>
      <c r="M2465" s="9" t="s">
        <v>31</v>
      </c>
      <c r="N2465" s="9" t="s">
        <v>32</v>
      </c>
      <c r="O2465" s="12" t="s">
        <v>33</v>
      </c>
      <c r="P2465" s="12" t="s">
        <v>34</v>
      </c>
      <c r="Q2465" s="9"/>
      <c r="R2465" s="18"/>
      <c r="S2465" s="18"/>
      <c r="T2465" s="18"/>
      <c r="U2465" s="18"/>
      <c r="V2465" s="18"/>
      <c r="W2465" s="15"/>
      <c r="X2465" s="15"/>
    </row>
    <row r="2466">
      <c r="A2466" s="7">
        <v>2465.0</v>
      </c>
      <c r="B2466" s="8" t="s">
        <v>10444</v>
      </c>
      <c r="C2466" s="9" t="s">
        <v>10445</v>
      </c>
      <c r="D2466" s="10" t="str">
        <f>HYPERLINK("https://facebook.com/367089020688300_447232916007243", "367089020688300_447232916007243")</f>
        <v>367089020688300_447232916007243</v>
      </c>
      <c r="E2466" s="11">
        <v>394.0</v>
      </c>
      <c r="F2466" s="11">
        <v>21.0</v>
      </c>
      <c r="G2466" s="11">
        <v>433.0</v>
      </c>
      <c r="H2466" s="9" t="s">
        <v>26</v>
      </c>
      <c r="I2466" s="9" t="s">
        <v>10446</v>
      </c>
      <c r="J2466" s="9" t="s">
        <v>10447</v>
      </c>
      <c r="K2466" s="9" t="s">
        <v>476</v>
      </c>
      <c r="L2466" s="9" t="s">
        <v>30</v>
      </c>
      <c r="M2466" s="9" t="s">
        <v>31</v>
      </c>
      <c r="N2466" s="9" t="s">
        <v>32</v>
      </c>
      <c r="O2466" s="12" t="s">
        <v>33</v>
      </c>
      <c r="P2466" s="12" t="s">
        <v>34</v>
      </c>
      <c r="Q2466" s="9"/>
      <c r="R2466" s="18"/>
      <c r="S2466" s="18"/>
      <c r="T2466" s="18"/>
      <c r="U2466" s="18"/>
      <c r="V2466" s="18"/>
      <c r="W2466" s="15"/>
      <c r="X2466" s="15"/>
    </row>
    <row r="2467">
      <c r="A2467" s="7">
        <v>2466.0</v>
      </c>
      <c r="B2467" s="8" t="s">
        <v>10448</v>
      </c>
      <c r="C2467" s="9" t="s">
        <v>10449</v>
      </c>
      <c r="D2467" s="10" t="str">
        <f>HYPERLINK("https://facebook.com/367089020688300_545818029482064", "367089020688300_545818029482064")</f>
        <v>367089020688300_545818029482064</v>
      </c>
      <c r="E2467" s="11">
        <v>11.0</v>
      </c>
      <c r="F2467" s="11">
        <v>0.0</v>
      </c>
      <c r="G2467" s="11">
        <v>3.0</v>
      </c>
      <c r="H2467" s="9" t="s">
        <v>26</v>
      </c>
      <c r="I2467" s="9" t="s">
        <v>9247</v>
      </c>
      <c r="J2467" s="16" t="s">
        <v>10450</v>
      </c>
      <c r="K2467" s="9"/>
      <c r="L2467" s="9" t="s">
        <v>30</v>
      </c>
      <c r="M2467" s="9" t="s">
        <v>31</v>
      </c>
      <c r="N2467" s="9" t="s">
        <v>32</v>
      </c>
      <c r="O2467" s="12" t="s">
        <v>33</v>
      </c>
      <c r="P2467" s="12" t="s">
        <v>34</v>
      </c>
      <c r="Q2467" s="9"/>
      <c r="R2467" s="18"/>
      <c r="S2467" s="18"/>
      <c r="T2467" s="18"/>
      <c r="U2467" s="18"/>
      <c r="V2467" s="18"/>
      <c r="W2467" s="15"/>
      <c r="X2467" s="15"/>
    </row>
    <row r="2468">
      <c r="A2468" s="7">
        <v>2467.0</v>
      </c>
      <c r="B2468" s="8" t="s">
        <v>10451</v>
      </c>
      <c r="C2468" s="9" t="s">
        <v>10452</v>
      </c>
      <c r="D2468" s="10" t="str">
        <f>HYPERLINK("https://facebook.com/367089020688300_544211296309404", "367089020688300_544211296309404")</f>
        <v>367089020688300_544211296309404</v>
      </c>
      <c r="E2468" s="11">
        <v>24.0</v>
      </c>
      <c r="F2468" s="11">
        <v>0.0</v>
      </c>
      <c r="G2468" s="11">
        <v>13.0</v>
      </c>
      <c r="H2468" s="9" t="s">
        <v>26</v>
      </c>
      <c r="I2468" s="9" t="s">
        <v>9296</v>
      </c>
      <c r="J2468" s="9" t="s">
        <v>10453</v>
      </c>
      <c r="K2468" s="9" t="s">
        <v>10454</v>
      </c>
      <c r="L2468" s="9" t="s">
        <v>30</v>
      </c>
      <c r="M2468" s="9" t="s">
        <v>31</v>
      </c>
      <c r="N2468" s="9" t="s">
        <v>32</v>
      </c>
      <c r="O2468" s="12" t="s">
        <v>33</v>
      </c>
      <c r="P2468" s="12" t="s">
        <v>34</v>
      </c>
      <c r="Q2468" s="9"/>
      <c r="R2468" s="18"/>
      <c r="S2468" s="18"/>
      <c r="T2468" s="18"/>
      <c r="U2468" s="18"/>
      <c r="V2468" s="18"/>
      <c r="W2468" s="15"/>
      <c r="X2468" s="15"/>
    </row>
    <row r="2469">
      <c r="A2469" s="7">
        <v>2468.0</v>
      </c>
      <c r="B2469" s="8" t="s">
        <v>10455</v>
      </c>
      <c r="C2469" s="9" t="s">
        <v>10456</v>
      </c>
      <c r="D2469" s="10" t="str">
        <f>HYPERLINK("https://facebook.com/367089020688300_562280434502490", "367089020688300_562280434502490")</f>
        <v>367089020688300_562280434502490</v>
      </c>
      <c r="E2469" s="11">
        <v>25.0</v>
      </c>
      <c r="F2469" s="11">
        <v>1.0</v>
      </c>
      <c r="G2469" s="11">
        <v>22.0</v>
      </c>
      <c r="H2469" s="9" t="s">
        <v>26</v>
      </c>
      <c r="I2469" s="9" t="s">
        <v>10457</v>
      </c>
      <c r="J2469" s="16" t="s">
        <v>10458</v>
      </c>
      <c r="K2469" s="9"/>
      <c r="L2469" s="9" t="s">
        <v>30</v>
      </c>
      <c r="M2469" s="9" t="s">
        <v>31</v>
      </c>
      <c r="N2469" s="9" t="s">
        <v>32</v>
      </c>
      <c r="O2469" s="12" t="s">
        <v>33</v>
      </c>
      <c r="P2469" s="12" t="s">
        <v>34</v>
      </c>
      <c r="Q2469" s="9"/>
      <c r="R2469" s="18"/>
      <c r="S2469" s="18"/>
      <c r="T2469" s="18"/>
      <c r="U2469" s="18"/>
      <c r="V2469" s="18"/>
      <c r="W2469" s="15"/>
      <c r="X2469" s="15"/>
    </row>
    <row r="2470">
      <c r="A2470" s="7">
        <v>2469.0</v>
      </c>
      <c r="B2470" s="8" t="s">
        <v>10459</v>
      </c>
      <c r="C2470" s="9" t="s">
        <v>10460</v>
      </c>
      <c r="D2470" s="10" t="str">
        <f>HYPERLINK("https://facebook.com/367089020688300_562080774522456", "367089020688300_562080774522456")</f>
        <v>367089020688300_562080774522456</v>
      </c>
      <c r="E2470" s="11">
        <v>196.0</v>
      </c>
      <c r="F2470" s="11">
        <v>4.0</v>
      </c>
      <c r="G2470" s="11">
        <v>304.0</v>
      </c>
      <c r="H2470" s="9" t="s">
        <v>26</v>
      </c>
      <c r="I2470" s="9" t="s">
        <v>7757</v>
      </c>
      <c r="J2470" s="16" t="s">
        <v>10461</v>
      </c>
      <c r="K2470" s="9"/>
      <c r="L2470" s="9" t="s">
        <v>30</v>
      </c>
      <c r="M2470" s="9" t="s">
        <v>31</v>
      </c>
      <c r="N2470" s="9" t="s">
        <v>32</v>
      </c>
      <c r="O2470" s="12" t="s">
        <v>33</v>
      </c>
      <c r="P2470" s="12" t="s">
        <v>34</v>
      </c>
      <c r="Q2470" s="9"/>
      <c r="R2470" s="18"/>
      <c r="S2470" s="18"/>
      <c r="T2470" s="18"/>
      <c r="U2470" s="18"/>
      <c r="V2470" s="18"/>
      <c r="W2470" s="15"/>
      <c r="X2470" s="15"/>
    </row>
    <row r="2471">
      <c r="A2471" s="7">
        <v>2470.0</v>
      </c>
      <c r="B2471" s="8" t="s">
        <v>10462</v>
      </c>
      <c r="C2471" s="9" t="s">
        <v>10463</v>
      </c>
      <c r="D2471" s="10" t="str">
        <f>HYPERLINK("https://facebook.com/367089020688300_562298417834025", "367089020688300_562298417834025")</f>
        <v>367089020688300_562298417834025</v>
      </c>
      <c r="E2471" s="11">
        <v>210.0</v>
      </c>
      <c r="F2471" s="11">
        <v>2.0</v>
      </c>
      <c r="G2471" s="11">
        <v>49.0</v>
      </c>
      <c r="H2471" s="9" t="s">
        <v>26</v>
      </c>
      <c r="I2471" s="9" t="s">
        <v>6853</v>
      </c>
      <c r="J2471" s="16" t="s">
        <v>6854</v>
      </c>
      <c r="K2471" s="9"/>
      <c r="L2471" s="9" t="s">
        <v>30</v>
      </c>
      <c r="M2471" s="9" t="s">
        <v>31</v>
      </c>
      <c r="N2471" s="9" t="s">
        <v>32</v>
      </c>
      <c r="O2471" s="12" t="s">
        <v>33</v>
      </c>
      <c r="P2471" s="12" t="s">
        <v>34</v>
      </c>
      <c r="Q2471" s="9"/>
      <c r="R2471" s="18"/>
      <c r="S2471" s="18"/>
      <c r="T2471" s="18"/>
      <c r="U2471" s="18"/>
      <c r="V2471" s="18"/>
      <c r="W2471" s="15"/>
      <c r="X2471" s="15"/>
    </row>
    <row r="2472">
      <c r="A2472" s="7">
        <v>2471.0</v>
      </c>
      <c r="B2472" s="8" t="s">
        <v>10464</v>
      </c>
      <c r="C2472" s="9" t="s">
        <v>10465</v>
      </c>
      <c r="D2472" s="10" t="str">
        <f>HYPERLINK("https://facebook.com/367089020688300_560159631381237", "367089020688300_560159631381237")</f>
        <v>367089020688300_560159631381237</v>
      </c>
      <c r="E2472" s="11">
        <v>27.0</v>
      </c>
      <c r="F2472" s="11">
        <v>0.0</v>
      </c>
      <c r="G2472" s="11">
        <v>20.0</v>
      </c>
      <c r="H2472" s="9" t="s">
        <v>26</v>
      </c>
      <c r="I2472" s="9" t="s">
        <v>5795</v>
      </c>
      <c r="J2472" s="9" t="s">
        <v>5796</v>
      </c>
      <c r="K2472" s="9" t="s">
        <v>5447</v>
      </c>
      <c r="L2472" s="9" t="s">
        <v>30</v>
      </c>
      <c r="M2472" s="9" t="s">
        <v>31</v>
      </c>
      <c r="N2472" s="9" t="s">
        <v>32</v>
      </c>
      <c r="O2472" s="12" t="s">
        <v>33</v>
      </c>
      <c r="P2472" s="12" t="s">
        <v>34</v>
      </c>
      <c r="Q2472" s="9"/>
      <c r="R2472" s="18"/>
      <c r="S2472" s="18"/>
      <c r="T2472" s="18"/>
      <c r="U2472" s="18"/>
      <c r="V2472" s="18"/>
      <c r="W2472" s="15"/>
      <c r="X2472" s="15"/>
    </row>
    <row r="2473">
      <c r="A2473" s="7">
        <v>2472.0</v>
      </c>
      <c r="B2473" s="8" t="s">
        <v>10466</v>
      </c>
      <c r="C2473" s="9" t="s">
        <v>10467</v>
      </c>
      <c r="D2473" s="10" t="str">
        <f>HYPERLINK("https://facebook.com/367089020688300_513714056025795", "367089020688300_513714056025795")</f>
        <v>367089020688300_513714056025795</v>
      </c>
      <c r="E2473" s="11">
        <v>93.0</v>
      </c>
      <c r="F2473" s="11">
        <v>2.0</v>
      </c>
      <c r="G2473" s="11">
        <v>101.0</v>
      </c>
      <c r="H2473" s="9" t="s">
        <v>26</v>
      </c>
      <c r="I2473" s="9" t="s">
        <v>10468</v>
      </c>
      <c r="J2473" s="9" t="s">
        <v>10469</v>
      </c>
      <c r="K2473" s="9" t="s">
        <v>10470</v>
      </c>
      <c r="L2473" s="9" t="s">
        <v>30</v>
      </c>
      <c r="M2473" s="9" t="s">
        <v>31</v>
      </c>
      <c r="N2473" s="9" t="s">
        <v>32</v>
      </c>
      <c r="O2473" s="12" t="s">
        <v>33</v>
      </c>
      <c r="P2473" s="12" t="s">
        <v>34</v>
      </c>
      <c r="Q2473" s="9"/>
      <c r="R2473" s="18"/>
      <c r="S2473" s="18"/>
      <c r="T2473" s="18"/>
      <c r="U2473" s="18"/>
      <c r="V2473" s="18"/>
      <c r="W2473" s="15"/>
      <c r="X2473" s="15"/>
    </row>
    <row r="2474">
      <c r="A2474" s="7">
        <v>2473.0</v>
      </c>
      <c r="B2474" s="8" t="s">
        <v>10471</v>
      </c>
      <c r="C2474" s="9" t="s">
        <v>10472</v>
      </c>
      <c r="D2474" s="10" t="str">
        <f>HYPERLINK("https://facebook.com/367089020688300_477535589643642", "367089020688300_477535589643642")</f>
        <v>367089020688300_477535589643642</v>
      </c>
      <c r="E2474" s="11">
        <v>634.0</v>
      </c>
      <c r="F2474" s="11">
        <v>2.0</v>
      </c>
      <c r="G2474" s="11">
        <v>561.0</v>
      </c>
      <c r="H2474" s="9" t="s">
        <v>26</v>
      </c>
      <c r="I2474" s="9" t="s">
        <v>10473</v>
      </c>
      <c r="J2474" s="9" t="s">
        <v>10474</v>
      </c>
      <c r="K2474" s="9" t="s">
        <v>4681</v>
      </c>
      <c r="L2474" s="9" t="s">
        <v>30</v>
      </c>
      <c r="M2474" s="9" t="s">
        <v>31</v>
      </c>
      <c r="N2474" s="9" t="s">
        <v>32</v>
      </c>
      <c r="O2474" s="12" t="s">
        <v>33</v>
      </c>
      <c r="P2474" s="12" t="s">
        <v>34</v>
      </c>
      <c r="Q2474" s="9"/>
      <c r="R2474" s="18"/>
      <c r="S2474" s="18"/>
      <c r="T2474" s="18"/>
      <c r="U2474" s="18"/>
      <c r="V2474" s="18"/>
      <c r="W2474" s="15"/>
      <c r="X2474" s="15"/>
    </row>
    <row r="2475">
      <c r="A2475" s="7">
        <v>2474.0</v>
      </c>
      <c r="B2475" s="8" t="s">
        <v>10475</v>
      </c>
      <c r="C2475" s="9" t="s">
        <v>10476</v>
      </c>
      <c r="D2475" s="10" t="str">
        <f>HYPERLINK("https://facebook.com/367089020688300_540776376652896", "367089020688300_540776376652896")</f>
        <v>367089020688300_540776376652896</v>
      </c>
      <c r="E2475" s="11">
        <v>125.0</v>
      </c>
      <c r="F2475" s="11">
        <v>0.0</v>
      </c>
      <c r="G2475" s="11">
        <v>65.0</v>
      </c>
      <c r="H2475" s="9" t="s">
        <v>26</v>
      </c>
      <c r="I2475" s="9" t="s">
        <v>10477</v>
      </c>
      <c r="J2475" s="16" t="s">
        <v>10478</v>
      </c>
      <c r="K2475" s="9"/>
      <c r="L2475" s="9" t="s">
        <v>30</v>
      </c>
      <c r="M2475" s="9" t="s">
        <v>31</v>
      </c>
      <c r="N2475" s="9" t="s">
        <v>32</v>
      </c>
      <c r="O2475" s="12" t="s">
        <v>33</v>
      </c>
      <c r="P2475" s="12" t="s">
        <v>34</v>
      </c>
      <c r="Q2475" s="9"/>
      <c r="R2475" s="18"/>
      <c r="S2475" s="18"/>
      <c r="T2475" s="18"/>
      <c r="U2475" s="18"/>
      <c r="V2475" s="18"/>
      <c r="W2475" s="15"/>
      <c r="X2475" s="15"/>
    </row>
    <row r="2476">
      <c r="A2476" s="7">
        <v>2475.0</v>
      </c>
      <c r="B2476" s="8" t="s">
        <v>10479</v>
      </c>
      <c r="C2476" s="9" t="s">
        <v>10480</v>
      </c>
      <c r="D2476" s="10" t="str">
        <f>HYPERLINK("https://facebook.com/367089020688300_547195779344289", "367089020688300_547195779344289")</f>
        <v>367089020688300_547195779344289</v>
      </c>
      <c r="E2476" s="11">
        <v>158.0</v>
      </c>
      <c r="F2476" s="11">
        <v>1.0</v>
      </c>
      <c r="G2476" s="11">
        <v>7.0</v>
      </c>
      <c r="H2476" s="9" t="s">
        <v>26</v>
      </c>
      <c r="I2476" s="9" t="s">
        <v>10481</v>
      </c>
      <c r="J2476" s="16" t="s">
        <v>10482</v>
      </c>
      <c r="K2476" s="9"/>
      <c r="L2476" s="9" t="s">
        <v>30</v>
      </c>
      <c r="M2476" s="9" t="s">
        <v>31</v>
      </c>
      <c r="N2476" s="9" t="s">
        <v>32</v>
      </c>
      <c r="O2476" s="12" t="s">
        <v>33</v>
      </c>
      <c r="P2476" s="12" t="s">
        <v>34</v>
      </c>
      <c r="Q2476" s="9"/>
      <c r="R2476" s="18"/>
      <c r="S2476" s="18"/>
      <c r="T2476" s="18"/>
      <c r="U2476" s="18"/>
      <c r="V2476" s="18"/>
      <c r="W2476" s="15"/>
      <c r="X2476" s="15"/>
    </row>
    <row r="2477">
      <c r="A2477" s="7">
        <v>2476.0</v>
      </c>
      <c r="B2477" s="8" t="s">
        <v>10483</v>
      </c>
      <c r="C2477" s="9" t="s">
        <v>10484</v>
      </c>
      <c r="D2477" s="10" t="str">
        <f>HYPERLINK("https://facebook.com/367089020688300_471445996919268", "367089020688300_471445996919268")</f>
        <v>367089020688300_471445996919268</v>
      </c>
      <c r="E2477" s="11">
        <v>260.0</v>
      </c>
      <c r="F2477" s="11">
        <v>0.0</v>
      </c>
      <c r="G2477" s="11">
        <v>283.0</v>
      </c>
      <c r="H2477" s="9" t="s">
        <v>26</v>
      </c>
      <c r="I2477" s="9" t="s">
        <v>10485</v>
      </c>
      <c r="J2477" s="9" t="s">
        <v>10486</v>
      </c>
      <c r="K2477" s="9" t="s">
        <v>10487</v>
      </c>
      <c r="L2477" s="9" t="s">
        <v>30</v>
      </c>
      <c r="M2477" s="9" t="s">
        <v>31</v>
      </c>
      <c r="N2477" s="9" t="s">
        <v>32</v>
      </c>
      <c r="O2477" s="12" t="s">
        <v>33</v>
      </c>
      <c r="P2477" s="12" t="s">
        <v>34</v>
      </c>
      <c r="Q2477" s="9"/>
      <c r="R2477" s="18"/>
      <c r="S2477" s="18"/>
      <c r="T2477" s="18"/>
      <c r="U2477" s="18"/>
      <c r="V2477" s="18"/>
      <c r="W2477" s="15"/>
      <c r="X2477" s="15"/>
    </row>
    <row r="2478">
      <c r="A2478" s="7">
        <v>2477.0</v>
      </c>
      <c r="B2478" s="8" t="s">
        <v>10488</v>
      </c>
      <c r="C2478" s="9" t="s">
        <v>10489</v>
      </c>
      <c r="D2478" s="10" t="str">
        <f>HYPERLINK("https://facebook.com/367089020688300_534550260608841", "367089020688300_534550260608841")</f>
        <v>367089020688300_534550260608841</v>
      </c>
      <c r="E2478" s="11">
        <v>14.0</v>
      </c>
      <c r="F2478" s="11">
        <v>0.0</v>
      </c>
      <c r="G2478" s="11">
        <v>28.0</v>
      </c>
      <c r="H2478" s="9" t="s">
        <v>26</v>
      </c>
      <c r="I2478" s="9" t="s">
        <v>10490</v>
      </c>
      <c r="J2478" s="16" t="s">
        <v>10491</v>
      </c>
      <c r="K2478" s="9"/>
      <c r="L2478" s="9" t="s">
        <v>30</v>
      </c>
      <c r="M2478" s="9" t="s">
        <v>31</v>
      </c>
      <c r="N2478" s="9" t="s">
        <v>32</v>
      </c>
      <c r="O2478" s="12" t="s">
        <v>33</v>
      </c>
      <c r="P2478" s="12" t="s">
        <v>34</v>
      </c>
      <c r="Q2478" s="9"/>
      <c r="R2478" s="18"/>
      <c r="S2478" s="18"/>
      <c r="T2478" s="18"/>
      <c r="U2478" s="18"/>
      <c r="V2478" s="18"/>
      <c r="W2478" s="15"/>
      <c r="X2478" s="15"/>
    </row>
    <row r="2479">
      <c r="A2479" s="7">
        <v>2478.0</v>
      </c>
      <c r="B2479" s="8" t="s">
        <v>10492</v>
      </c>
      <c r="C2479" s="9" t="s">
        <v>10493</v>
      </c>
      <c r="D2479" s="10" t="str">
        <f>HYPERLINK("https://facebook.com/367089020688300_539802553416945", "367089020688300_539802553416945")</f>
        <v>367089020688300_539802553416945</v>
      </c>
      <c r="E2479" s="11">
        <v>143.0</v>
      </c>
      <c r="F2479" s="11">
        <v>3.0</v>
      </c>
      <c r="G2479" s="11">
        <v>139.0</v>
      </c>
      <c r="H2479" s="9" t="s">
        <v>26</v>
      </c>
      <c r="I2479" s="9" t="s">
        <v>10494</v>
      </c>
      <c r="J2479" s="9" t="s">
        <v>10495</v>
      </c>
      <c r="K2479" s="9" t="s">
        <v>10496</v>
      </c>
      <c r="L2479" s="9" t="s">
        <v>30</v>
      </c>
      <c r="M2479" s="9" t="s">
        <v>31</v>
      </c>
      <c r="N2479" s="9" t="s">
        <v>32</v>
      </c>
      <c r="O2479" s="12" t="s">
        <v>33</v>
      </c>
      <c r="P2479" s="12" t="s">
        <v>34</v>
      </c>
      <c r="Q2479" s="9"/>
      <c r="R2479" s="18"/>
      <c r="S2479" s="18"/>
      <c r="T2479" s="18"/>
      <c r="U2479" s="18"/>
      <c r="V2479" s="18"/>
      <c r="W2479" s="15"/>
      <c r="X2479" s="15"/>
    </row>
    <row r="2480">
      <c r="A2480" s="7">
        <v>2479.0</v>
      </c>
      <c r="B2480" s="8" t="s">
        <v>10497</v>
      </c>
      <c r="C2480" s="9" t="s">
        <v>10498</v>
      </c>
      <c r="D2480" s="10" t="str">
        <f>HYPERLINK("https://facebook.com/367089020688300_552160135514520", "367089020688300_552160135514520")</f>
        <v>367089020688300_552160135514520</v>
      </c>
      <c r="E2480" s="11">
        <v>73.0</v>
      </c>
      <c r="F2480" s="11">
        <v>1.0</v>
      </c>
      <c r="G2480" s="11">
        <v>48.0</v>
      </c>
      <c r="H2480" s="9" t="s">
        <v>26</v>
      </c>
      <c r="I2480" s="9" t="s">
        <v>10499</v>
      </c>
      <c r="J2480" s="16" t="s">
        <v>10500</v>
      </c>
      <c r="K2480" s="9"/>
      <c r="L2480" s="9" t="s">
        <v>30</v>
      </c>
      <c r="M2480" s="9" t="s">
        <v>31</v>
      </c>
      <c r="N2480" s="9" t="s">
        <v>32</v>
      </c>
      <c r="O2480" s="12" t="s">
        <v>33</v>
      </c>
      <c r="P2480" s="12" t="s">
        <v>34</v>
      </c>
      <c r="Q2480" s="9"/>
      <c r="R2480" s="18"/>
      <c r="S2480" s="18"/>
      <c r="T2480" s="18"/>
      <c r="U2480" s="18"/>
      <c r="V2480" s="18"/>
      <c r="W2480" s="15"/>
      <c r="X2480" s="15"/>
    </row>
    <row r="2481">
      <c r="A2481" s="7">
        <v>2480.0</v>
      </c>
      <c r="B2481" s="8" t="s">
        <v>10501</v>
      </c>
      <c r="C2481" s="9" t="s">
        <v>10502</v>
      </c>
      <c r="D2481" s="10" t="str">
        <f>HYPERLINK("https://facebook.com/367089020688300_479031166160751", "367089020688300_479031166160751")</f>
        <v>367089020688300_479031166160751</v>
      </c>
      <c r="E2481" s="11">
        <v>854.0</v>
      </c>
      <c r="F2481" s="11">
        <v>35.0</v>
      </c>
      <c r="G2481" s="11">
        <v>984.0</v>
      </c>
      <c r="H2481" s="9" t="s">
        <v>26</v>
      </c>
      <c r="I2481" s="9" t="s">
        <v>10503</v>
      </c>
      <c r="J2481" s="9" t="s">
        <v>10504</v>
      </c>
      <c r="K2481" s="9" t="s">
        <v>10505</v>
      </c>
      <c r="L2481" s="9" t="s">
        <v>30</v>
      </c>
      <c r="M2481" s="9" t="s">
        <v>31</v>
      </c>
      <c r="N2481" s="9" t="s">
        <v>32</v>
      </c>
      <c r="O2481" s="12" t="s">
        <v>33</v>
      </c>
      <c r="P2481" s="12" t="s">
        <v>34</v>
      </c>
      <c r="Q2481" s="9"/>
      <c r="R2481" s="18"/>
      <c r="S2481" s="18"/>
      <c r="T2481" s="18"/>
      <c r="U2481" s="18"/>
      <c r="V2481" s="18"/>
      <c r="W2481" s="15"/>
      <c r="X2481" s="15"/>
    </row>
    <row r="2482">
      <c r="A2482" s="7">
        <v>2481.0</v>
      </c>
      <c r="B2482" s="8" t="s">
        <v>10506</v>
      </c>
      <c r="C2482" s="9" t="s">
        <v>10507</v>
      </c>
      <c r="D2482" s="10" t="str">
        <f>HYPERLINK("https://facebook.com/367089020688300_546327589431108", "367089020688300_546327589431108")</f>
        <v>367089020688300_546327589431108</v>
      </c>
      <c r="E2482" s="11">
        <v>8.0</v>
      </c>
      <c r="F2482" s="11">
        <v>0.0</v>
      </c>
      <c r="G2482" s="11">
        <v>4.0</v>
      </c>
      <c r="H2482" s="9" t="s">
        <v>26</v>
      </c>
      <c r="I2482" s="9" t="s">
        <v>10508</v>
      </c>
      <c r="J2482" s="16" t="s">
        <v>10509</v>
      </c>
      <c r="K2482" s="9"/>
      <c r="L2482" s="9" t="s">
        <v>30</v>
      </c>
      <c r="M2482" s="9" t="s">
        <v>31</v>
      </c>
      <c r="N2482" s="9" t="s">
        <v>32</v>
      </c>
      <c r="O2482" s="12" t="s">
        <v>33</v>
      </c>
      <c r="P2482" s="12" t="s">
        <v>34</v>
      </c>
      <c r="Q2482" s="9"/>
      <c r="R2482" s="18"/>
      <c r="S2482" s="18"/>
      <c r="T2482" s="18"/>
      <c r="U2482" s="18"/>
      <c r="V2482" s="18"/>
      <c r="W2482" s="15"/>
      <c r="X2482" s="15"/>
    </row>
    <row r="2483">
      <c r="A2483" s="7">
        <v>2482.0</v>
      </c>
      <c r="B2483" s="8" t="s">
        <v>10510</v>
      </c>
      <c r="C2483" s="9" t="s">
        <v>10511</v>
      </c>
      <c r="D2483" s="10" t="str">
        <f>HYPERLINK("https://facebook.com/367089020688300_542136589850208", "367089020688300_542136589850208")</f>
        <v>367089020688300_542136589850208</v>
      </c>
      <c r="E2483" s="11">
        <v>284.0</v>
      </c>
      <c r="F2483" s="11">
        <v>1.0</v>
      </c>
      <c r="G2483" s="11">
        <v>204.0</v>
      </c>
      <c r="H2483" s="9" t="s">
        <v>26</v>
      </c>
      <c r="I2483" s="9" t="s">
        <v>10512</v>
      </c>
      <c r="J2483" s="9" t="s">
        <v>10513</v>
      </c>
      <c r="K2483" s="9" t="s">
        <v>249</v>
      </c>
      <c r="L2483" s="9" t="s">
        <v>30</v>
      </c>
      <c r="M2483" s="9" t="s">
        <v>31</v>
      </c>
      <c r="N2483" s="9" t="s">
        <v>32</v>
      </c>
      <c r="O2483" s="12" t="s">
        <v>33</v>
      </c>
      <c r="P2483" s="12" t="s">
        <v>34</v>
      </c>
      <c r="Q2483" s="9"/>
      <c r="R2483" s="18"/>
      <c r="S2483" s="18"/>
      <c r="T2483" s="18"/>
      <c r="U2483" s="18"/>
      <c r="V2483" s="18"/>
      <c r="W2483" s="15"/>
      <c r="X2483" s="15"/>
    </row>
    <row r="2484">
      <c r="A2484" s="7">
        <v>2483.0</v>
      </c>
      <c r="B2484" s="8" t="s">
        <v>10514</v>
      </c>
      <c r="C2484" s="9" t="s">
        <v>10515</v>
      </c>
      <c r="D2484" s="10" t="str">
        <f>HYPERLINK("https://facebook.com/367089020688300_468918740505327", "367089020688300_468918740505327")</f>
        <v>367089020688300_468918740505327</v>
      </c>
      <c r="E2484" s="11">
        <v>2683.0</v>
      </c>
      <c r="F2484" s="11">
        <v>75.0</v>
      </c>
      <c r="G2484" s="11">
        <v>1129.0</v>
      </c>
      <c r="H2484" s="9" t="s">
        <v>26</v>
      </c>
      <c r="I2484" s="9" t="s">
        <v>10516</v>
      </c>
      <c r="J2484" s="9" t="s">
        <v>10517</v>
      </c>
      <c r="K2484" s="9" t="s">
        <v>10518</v>
      </c>
      <c r="L2484" s="9" t="s">
        <v>30</v>
      </c>
      <c r="M2484" s="9" t="s">
        <v>31</v>
      </c>
      <c r="N2484" s="9" t="s">
        <v>32</v>
      </c>
      <c r="O2484" s="12" t="s">
        <v>33</v>
      </c>
      <c r="P2484" s="12" t="s">
        <v>34</v>
      </c>
      <c r="Q2484" s="9"/>
      <c r="R2484" s="18"/>
      <c r="S2484" s="18"/>
      <c r="T2484" s="18"/>
      <c r="U2484" s="18"/>
      <c r="V2484" s="18"/>
      <c r="W2484" s="15"/>
      <c r="X2484" s="15"/>
    </row>
    <row r="2485">
      <c r="A2485" s="7">
        <v>2484.0</v>
      </c>
      <c r="B2485" s="8" t="s">
        <v>10519</v>
      </c>
      <c r="C2485" s="9" t="s">
        <v>10520</v>
      </c>
      <c r="D2485" s="10" t="str">
        <f>HYPERLINK("https://facebook.com/367089020688300_480738385990029", "367089020688300_480738385990029")</f>
        <v>367089020688300_480738385990029</v>
      </c>
      <c r="E2485" s="11">
        <v>991.0</v>
      </c>
      <c r="F2485" s="11">
        <v>17.0</v>
      </c>
      <c r="G2485" s="11">
        <v>513.0</v>
      </c>
      <c r="H2485" s="9" t="s">
        <v>26</v>
      </c>
      <c r="I2485" s="9" t="s">
        <v>10521</v>
      </c>
      <c r="J2485" s="9" t="s">
        <v>10522</v>
      </c>
      <c r="K2485" s="9" t="s">
        <v>10523</v>
      </c>
      <c r="L2485" s="9" t="s">
        <v>30</v>
      </c>
      <c r="M2485" s="9" t="s">
        <v>31</v>
      </c>
      <c r="N2485" s="9" t="s">
        <v>32</v>
      </c>
      <c r="O2485" s="12" t="s">
        <v>33</v>
      </c>
      <c r="P2485" s="12" t="s">
        <v>34</v>
      </c>
      <c r="Q2485" s="9"/>
      <c r="R2485" s="18"/>
      <c r="S2485" s="18"/>
      <c r="T2485" s="18"/>
      <c r="U2485" s="18"/>
      <c r="V2485" s="18"/>
      <c r="W2485" s="15"/>
      <c r="X2485" s="15"/>
    </row>
    <row r="2486">
      <c r="A2486" s="7">
        <v>2485.0</v>
      </c>
      <c r="B2486" s="8" t="s">
        <v>10524</v>
      </c>
      <c r="C2486" s="9" t="s">
        <v>10525</v>
      </c>
      <c r="D2486" s="10" t="str">
        <f>HYPERLINK("https://facebook.com/367089020688300_540757656654768", "367089020688300_540757656654768")</f>
        <v>367089020688300_540757656654768</v>
      </c>
      <c r="E2486" s="11">
        <v>118.0</v>
      </c>
      <c r="F2486" s="11">
        <v>1.0</v>
      </c>
      <c r="G2486" s="11">
        <v>97.0</v>
      </c>
      <c r="H2486" s="9" t="s">
        <v>26</v>
      </c>
      <c r="I2486" s="9" t="s">
        <v>3362</v>
      </c>
      <c r="J2486" s="9" t="s">
        <v>10526</v>
      </c>
      <c r="K2486" s="9" t="s">
        <v>10527</v>
      </c>
      <c r="L2486" s="9" t="s">
        <v>30</v>
      </c>
      <c r="M2486" s="9" t="s">
        <v>31</v>
      </c>
      <c r="N2486" s="9" t="s">
        <v>32</v>
      </c>
      <c r="O2486" s="12" t="s">
        <v>33</v>
      </c>
      <c r="P2486" s="12" t="s">
        <v>34</v>
      </c>
      <c r="Q2486" s="9"/>
      <c r="R2486" s="18"/>
      <c r="S2486" s="18"/>
      <c r="T2486" s="18"/>
      <c r="U2486" s="18"/>
      <c r="V2486" s="18"/>
      <c r="W2486" s="15"/>
      <c r="X2486" s="15"/>
    </row>
    <row r="2487">
      <c r="A2487" s="7">
        <v>2486.0</v>
      </c>
      <c r="B2487" s="8" t="s">
        <v>10528</v>
      </c>
      <c r="C2487" s="9" t="s">
        <v>10529</v>
      </c>
      <c r="D2487" s="10" t="str">
        <f>HYPERLINK("https://facebook.com/367089020688300_542549586475575", "367089020688300_542549586475575")</f>
        <v>367089020688300_542549586475575</v>
      </c>
      <c r="E2487" s="11">
        <v>146.0</v>
      </c>
      <c r="F2487" s="11">
        <v>2.0</v>
      </c>
      <c r="G2487" s="11">
        <v>137.0</v>
      </c>
      <c r="H2487" s="9" t="s">
        <v>26</v>
      </c>
      <c r="I2487" s="9" t="s">
        <v>10530</v>
      </c>
      <c r="J2487" s="9" t="s">
        <v>10531</v>
      </c>
      <c r="K2487" s="9" t="s">
        <v>249</v>
      </c>
      <c r="L2487" s="9" t="s">
        <v>30</v>
      </c>
      <c r="M2487" s="9" t="s">
        <v>31</v>
      </c>
      <c r="N2487" s="9" t="s">
        <v>32</v>
      </c>
      <c r="O2487" s="12" t="s">
        <v>33</v>
      </c>
      <c r="P2487" s="12" t="s">
        <v>34</v>
      </c>
      <c r="Q2487" s="9"/>
      <c r="R2487" s="18"/>
      <c r="S2487" s="18"/>
      <c r="T2487" s="18"/>
      <c r="U2487" s="18"/>
      <c r="V2487" s="18"/>
      <c r="W2487" s="15"/>
      <c r="X2487" s="15"/>
    </row>
    <row r="2488">
      <c r="A2488" s="7">
        <v>2487.0</v>
      </c>
      <c r="B2488" s="8" t="s">
        <v>10532</v>
      </c>
      <c r="C2488" s="9" t="s">
        <v>10533</v>
      </c>
      <c r="D2488" s="10" t="str">
        <f>HYPERLINK("https://facebook.com/367089020688300_544348279629039", "367089020688300_544348279629039")</f>
        <v>367089020688300_544348279629039</v>
      </c>
      <c r="E2488" s="11">
        <v>355.0</v>
      </c>
      <c r="F2488" s="11">
        <v>7.0</v>
      </c>
      <c r="G2488" s="11">
        <v>160.0</v>
      </c>
      <c r="H2488" s="9" t="s">
        <v>26</v>
      </c>
      <c r="I2488" s="9" t="s">
        <v>10534</v>
      </c>
      <c r="J2488" s="16" t="s">
        <v>10535</v>
      </c>
      <c r="K2488" s="9"/>
      <c r="L2488" s="9" t="s">
        <v>30</v>
      </c>
      <c r="M2488" s="9" t="s">
        <v>31</v>
      </c>
      <c r="N2488" s="9" t="s">
        <v>32</v>
      </c>
      <c r="O2488" s="12" t="s">
        <v>33</v>
      </c>
      <c r="P2488" s="12" t="s">
        <v>34</v>
      </c>
      <c r="Q2488" s="9"/>
      <c r="R2488" s="18"/>
      <c r="S2488" s="18"/>
      <c r="T2488" s="18"/>
      <c r="U2488" s="18"/>
      <c r="V2488" s="18"/>
      <c r="W2488" s="15"/>
      <c r="X2488" s="15"/>
    </row>
    <row r="2489">
      <c r="A2489" s="7">
        <v>2488.0</v>
      </c>
      <c r="B2489" s="8" t="s">
        <v>10536</v>
      </c>
      <c r="C2489" s="9" t="s">
        <v>10537</v>
      </c>
      <c r="D2489" s="10" t="str">
        <f>HYPERLINK("https://facebook.com/367089020688300_560714991325701", "367089020688300_560714991325701")</f>
        <v>367089020688300_560714991325701</v>
      </c>
      <c r="E2489" s="11">
        <v>144.0</v>
      </c>
      <c r="F2489" s="11">
        <v>1.0</v>
      </c>
      <c r="G2489" s="11">
        <v>136.0</v>
      </c>
      <c r="H2489" s="9" t="s">
        <v>26</v>
      </c>
      <c r="I2489" s="9" t="s">
        <v>3325</v>
      </c>
      <c r="J2489" s="9" t="s">
        <v>10538</v>
      </c>
      <c r="K2489" s="9" t="s">
        <v>10539</v>
      </c>
      <c r="L2489" s="9" t="s">
        <v>30</v>
      </c>
      <c r="M2489" s="9" t="s">
        <v>31</v>
      </c>
      <c r="N2489" s="9" t="s">
        <v>32</v>
      </c>
      <c r="O2489" s="12" t="s">
        <v>33</v>
      </c>
      <c r="P2489" s="12" t="s">
        <v>34</v>
      </c>
      <c r="Q2489" s="9"/>
      <c r="R2489" s="18"/>
      <c r="S2489" s="18"/>
      <c r="T2489" s="18"/>
      <c r="U2489" s="18"/>
      <c r="V2489" s="18"/>
      <c r="W2489" s="15"/>
      <c r="X2489" s="15"/>
    </row>
    <row r="2490">
      <c r="A2490" s="7">
        <v>2489.0</v>
      </c>
      <c r="B2490" s="8" t="s">
        <v>10540</v>
      </c>
      <c r="C2490" s="9" t="s">
        <v>10541</v>
      </c>
      <c r="D2490" s="10" t="str">
        <f>HYPERLINK("https://facebook.com/367089020688300_552591338804733", "367089020688300_552591338804733")</f>
        <v>367089020688300_552591338804733</v>
      </c>
      <c r="E2490" s="11">
        <v>464.0</v>
      </c>
      <c r="F2490" s="11">
        <v>5.0</v>
      </c>
      <c r="G2490" s="11">
        <v>396.0</v>
      </c>
      <c r="H2490" s="9" t="s">
        <v>26</v>
      </c>
      <c r="I2490" s="9" t="s">
        <v>10542</v>
      </c>
      <c r="J2490" s="9" t="s">
        <v>10543</v>
      </c>
      <c r="K2490" s="9" t="s">
        <v>363</v>
      </c>
      <c r="L2490" s="9" t="s">
        <v>30</v>
      </c>
      <c r="M2490" s="9" t="s">
        <v>31</v>
      </c>
      <c r="N2490" s="9" t="s">
        <v>32</v>
      </c>
      <c r="O2490" s="12" t="s">
        <v>33</v>
      </c>
      <c r="P2490" s="12" t="s">
        <v>34</v>
      </c>
      <c r="Q2490" s="9"/>
      <c r="R2490" s="18"/>
      <c r="S2490" s="18"/>
      <c r="T2490" s="18"/>
      <c r="U2490" s="18"/>
      <c r="V2490" s="18"/>
      <c r="W2490" s="15"/>
      <c r="X2490" s="15"/>
    </row>
    <row r="2491">
      <c r="A2491" s="7">
        <v>2490.0</v>
      </c>
      <c r="B2491" s="8" t="s">
        <v>10544</v>
      </c>
      <c r="C2491" s="9" t="s">
        <v>10545</v>
      </c>
      <c r="D2491" s="10" t="str">
        <f>HYPERLINK("https://facebook.com/367089020688300_555035741893626", "367089020688300_555035741893626")</f>
        <v>367089020688300_555035741893626</v>
      </c>
      <c r="E2491" s="11">
        <v>44.0</v>
      </c>
      <c r="F2491" s="11">
        <v>1.0</v>
      </c>
      <c r="G2491" s="11">
        <v>52.0</v>
      </c>
      <c r="H2491" s="9" t="s">
        <v>26</v>
      </c>
      <c r="I2491" s="9" t="s">
        <v>393</v>
      </c>
      <c r="J2491" s="9" t="s">
        <v>10546</v>
      </c>
      <c r="K2491" s="9" t="s">
        <v>10547</v>
      </c>
      <c r="L2491" s="9" t="s">
        <v>30</v>
      </c>
      <c r="M2491" s="9" t="s">
        <v>31</v>
      </c>
      <c r="N2491" s="9" t="s">
        <v>32</v>
      </c>
      <c r="O2491" s="12" t="s">
        <v>33</v>
      </c>
      <c r="P2491" s="12" t="s">
        <v>34</v>
      </c>
      <c r="Q2491" s="9"/>
      <c r="R2491" s="18"/>
      <c r="S2491" s="18"/>
      <c r="T2491" s="18"/>
      <c r="U2491" s="18"/>
      <c r="V2491" s="18"/>
      <c r="W2491" s="15"/>
      <c r="X2491" s="15"/>
    </row>
    <row r="2492">
      <c r="A2492" s="7">
        <v>2491.0</v>
      </c>
      <c r="B2492" s="8" t="s">
        <v>10548</v>
      </c>
      <c r="C2492" s="9" t="s">
        <v>10549</v>
      </c>
      <c r="D2492" s="10" t="str">
        <f>HYPERLINK("https://facebook.com/367089020688300_553381058725761", "367089020688300_553381058725761")</f>
        <v>367089020688300_553381058725761</v>
      </c>
      <c r="E2492" s="11">
        <v>11.0</v>
      </c>
      <c r="F2492" s="11">
        <v>0.0</v>
      </c>
      <c r="G2492" s="11">
        <v>5.0</v>
      </c>
      <c r="H2492" s="9" t="s">
        <v>26</v>
      </c>
      <c r="I2492" s="9" t="s">
        <v>10550</v>
      </c>
      <c r="J2492" s="9" t="s">
        <v>10551</v>
      </c>
      <c r="K2492" s="9" t="s">
        <v>2271</v>
      </c>
      <c r="L2492" s="9" t="s">
        <v>30</v>
      </c>
      <c r="M2492" s="9" t="s">
        <v>31</v>
      </c>
      <c r="N2492" s="9" t="s">
        <v>32</v>
      </c>
      <c r="O2492" s="12" t="s">
        <v>33</v>
      </c>
      <c r="P2492" s="12" t="s">
        <v>34</v>
      </c>
      <c r="Q2492" s="9"/>
      <c r="R2492" s="18"/>
      <c r="S2492" s="18"/>
      <c r="T2492" s="18"/>
      <c r="U2492" s="18"/>
      <c r="V2492" s="18"/>
      <c r="W2492" s="15"/>
      <c r="X2492" s="15"/>
    </row>
    <row r="2493">
      <c r="A2493" s="7">
        <v>2492.0</v>
      </c>
      <c r="B2493" s="8" t="s">
        <v>10552</v>
      </c>
      <c r="C2493" s="9" t="s">
        <v>10553</v>
      </c>
      <c r="D2493" s="10" t="str">
        <f>HYPERLINK("https://facebook.com/367089020688300_544242649639602", "367089020688300_544242649639602")</f>
        <v>367089020688300_544242649639602</v>
      </c>
      <c r="E2493" s="11">
        <v>23.0</v>
      </c>
      <c r="F2493" s="11">
        <v>0.0</v>
      </c>
      <c r="G2493" s="11">
        <v>29.0</v>
      </c>
      <c r="H2493" s="9" t="s">
        <v>26</v>
      </c>
      <c r="I2493" s="9" t="s">
        <v>1007</v>
      </c>
      <c r="J2493" s="16" t="s">
        <v>10554</v>
      </c>
      <c r="K2493" s="9"/>
      <c r="L2493" s="9" t="s">
        <v>30</v>
      </c>
      <c r="M2493" s="9" t="s">
        <v>31</v>
      </c>
      <c r="N2493" s="9" t="s">
        <v>32</v>
      </c>
      <c r="O2493" s="12" t="s">
        <v>33</v>
      </c>
      <c r="P2493" s="12" t="s">
        <v>34</v>
      </c>
      <c r="Q2493" s="9"/>
      <c r="R2493" s="18"/>
      <c r="S2493" s="18"/>
      <c r="T2493" s="18"/>
      <c r="U2493" s="18"/>
      <c r="V2493" s="18"/>
      <c r="W2493" s="15"/>
      <c r="X2493" s="15"/>
    </row>
    <row r="2494">
      <c r="A2494" s="7">
        <v>2493.0</v>
      </c>
      <c r="B2494" s="8" t="s">
        <v>10555</v>
      </c>
      <c r="C2494" s="9" t="s">
        <v>10556</v>
      </c>
      <c r="D2494" s="10" t="str">
        <f>HYPERLINK("https://facebook.com/367089020688300_397065054357363", "367089020688300_397065054357363")</f>
        <v>367089020688300_397065054357363</v>
      </c>
      <c r="E2494" s="11">
        <v>404.0</v>
      </c>
      <c r="F2494" s="11">
        <v>8.0</v>
      </c>
      <c r="G2494" s="11">
        <v>268.0</v>
      </c>
      <c r="H2494" s="9" t="s">
        <v>26</v>
      </c>
      <c r="I2494" s="9" t="s">
        <v>10557</v>
      </c>
      <c r="J2494" s="9" t="s">
        <v>10558</v>
      </c>
      <c r="K2494" s="9" t="s">
        <v>10559</v>
      </c>
      <c r="L2494" s="9" t="s">
        <v>30</v>
      </c>
      <c r="M2494" s="9" t="s">
        <v>31</v>
      </c>
      <c r="N2494" s="9" t="s">
        <v>32</v>
      </c>
      <c r="O2494" s="12" t="s">
        <v>33</v>
      </c>
      <c r="P2494" s="12" t="s">
        <v>34</v>
      </c>
      <c r="Q2494" s="9"/>
      <c r="R2494" s="18"/>
      <c r="S2494" s="18"/>
      <c r="T2494" s="18"/>
      <c r="U2494" s="18"/>
      <c r="V2494" s="18"/>
      <c r="W2494" s="15"/>
      <c r="X2494" s="15"/>
    </row>
    <row r="2495">
      <c r="A2495" s="7">
        <v>2494.0</v>
      </c>
      <c r="B2495" s="8" t="s">
        <v>10560</v>
      </c>
      <c r="C2495" s="9" t="s">
        <v>10561</v>
      </c>
      <c r="D2495" s="10" t="str">
        <f>HYPERLINK("https://facebook.com/367089020688300_544344816296052", "367089020688300_544344816296052")</f>
        <v>367089020688300_544344816296052</v>
      </c>
      <c r="E2495" s="11">
        <v>382.0</v>
      </c>
      <c r="F2495" s="11">
        <v>14.0</v>
      </c>
      <c r="G2495" s="11">
        <v>172.0</v>
      </c>
      <c r="H2495" s="9" t="s">
        <v>26</v>
      </c>
      <c r="I2495" s="9" t="s">
        <v>10562</v>
      </c>
      <c r="J2495" s="16" t="s">
        <v>10563</v>
      </c>
      <c r="K2495" s="9"/>
      <c r="L2495" s="9" t="s">
        <v>30</v>
      </c>
      <c r="M2495" s="9" t="s">
        <v>31</v>
      </c>
      <c r="N2495" s="9" t="s">
        <v>32</v>
      </c>
      <c r="O2495" s="12" t="s">
        <v>33</v>
      </c>
      <c r="P2495" s="12" t="s">
        <v>34</v>
      </c>
      <c r="Q2495" s="9"/>
      <c r="R2495" s="18"/>
      <c r="S2495" s="18"/>
      <c r="T2495" s="18"/>
      <c r="U2495" s="18"/>
      <c r="V2495" s="18"/>
      <c r="W2495" s="15"/>
      <c r="X2495" s="15"/>
    </row>
    <row r="2496">
      <c r="A2496" s="7">
        <v>2495.0</v>
      </c>
      <c r="B2496" s="8" t="s">
        <v>10564</v>
      </c>
      <c r="C2496" s="9" t="s">
        <v>10565</v>
      </c>
      <c r="D2496" s="10" t="str">
        <f>HYPERLINK("https://facebook.com/367089020688300_525789524818248", "367089020688300_525789524818248")</f>
        <v>367089020688300_525789524818248</v>
      </c>
      <c r="E2496" s="11">
        <v>577.0</v>
      </c>
      <c r="F2496" s="11">
        <v>14.0</v>
      </c>
      <c r="G2496" s="11">
        <v>413.0</v>
      </c>
      <c r="H2496" s="9" t="s">
        <v>26</v>
      </c>
      <c r="I2496" s="9" t="s">
        <v>10566</v>
      </c>
      <c r="J2496" s="9" t="s">
        <v>10567</v>
      </c>
      <c r="K2496" s="9" t="s">
        <v>10568</v>
      </c>
      <c r="L2496" s="9" t="s">
        <v>30</v>
      </c>
      <c r="M2496" s="9" t="s">
        <v>31</v>
      </c>
      <c r="N2496" s="9" t="s">
        <v>32</v>
      </c>
      <c r="O2496" s="12" t="s">
        <v>33</v>
      </c>
      <c r="P2496" s="12" t="s">
        <v>34</v>
      </c>
      <c r="Q2496" s="9"/>
      <c r="R2496" s="18"/>
      <c r="S2496" s="18"/>
      <c r="T2496" s="18"/>
      <c r="U2496" s="18"/>
      <c r="V2496" s="18"/>
      <c r="W2496" s="15"/>
      <c r="X2496" s="15"/>
    </row>
    <row r="2497">
      <c r="A2497" s="7">
        <v>2496.0</v>
      </c>
      <c r="B2497" s="8" t="s">
        <v>10569</v>
      </c>
      <c r="C2497" s="9" t="s">
        <v>10570</v>
      </c>
      <c r="D2497" s="10" t="str">
        <f>HYPERLINK("https://facebook.com/367089020688300_426557081408160", "367089020688300_426557081408160")</f>
        <v>367089020688300_426557081408160</v>
      </c>
      <c r="E2497" s="11">
        <v>10.0</v>
      </c>
      <c r="F2497" s="11">
        <v>0.0</v>
      </c>
      <c r="G2497" s="11">
        <v>29.0</v>
      </c>
      <c r="H2497" s="9" t="s">
        <v>26</v>
      </c>
      <c r="I2497" s="9" t="s">
        <v>5560</v>
      </c>
      <c r="J2497" s="9" t="s">
        <v>10571</v>
      </c>
      <c r="K2497" s="9" t="s">
        <v>10572</v>
      </c>
      <c r="L2497" s="9" t="s">
        <v>30</v>
      </c>
      <c r="M2497" s="9" t="s">
        <v>31</v>
      </c>
      <c r="N2497" s="9" t="s">
        <v>32</v>
      </c>
      <c r="O2497" s="12" t="s">
        <v>33</v>
      </c>
      <c r="P2497" s="12" t="s">
        <v>34</v>
      </c>
      <c r="Q2497" s="9"/>
      <c r="R2497" s="18"/>
      <c r="S2497" s="18"/>
      <c r="T2497" s="18"/>
      <c r="U2497" s="18"/>
      <c r="V2497" s="18"/>
      <c r="W2497" s="15"/>
      <c r="X2497" s="15"/>
    </row>
    <row r="2498">
      <c r="A2498" s="7">
        <v>2497.0</v>
      </c>
      <c r="B2498" s="8" t="s">
        <v>10573</v>
      </c>
      <c r="C2498" s="9" t="s">
        <v>10574</v>
      </c>
      <c r="D2498" s="10" t="str">
        <f>HYPERLINK("https://facebook.com/367089020688300_495243067872894", "367089020688300_495243067872894")</f>
        <v>367089020688300_495243067872894</v>
      </c>
      <c r="E2498" s="11">
        <v>81.0</v>
      </c>
      <c r="F2498" s="11">
        <v>1.0</v>
      </c>
      <c r="G2498" s="11">
        <v>85.0</v>
      </c>
      <c r="H2498" s="9" t="s">
        <v>26</v>
      </c>
      <c r="I2498" s="9" t="s">
        <v>10575</v>
      </c>
      <c r="J2498" s="9" t="s">
        <v>10576</v>
      </c>
      <c r="K2498" s="9" t="s">
        <v>10577</v>
      </c>
      <c r="L2498" s="9" t="s">
        <v>30</v>
      </c>
      <c r="M2498" s="9" t="s">
        <v>31</v>
      </c>
      <c r="N2498" s="9" t="s">
        <v>32</v>
      </c>
      <c r="O2498" s="12" t="s">
        <v>33</v>
      </c>
      <c r="P2498" s="12" t="s">
        <v>34</v>
      </c>
      <c r="Q2498" s="9"/>
      <c r="R2498" s="18"/>
      <c r="S2498" s="18"/>
      <c r="T2498" s="18"/>
      <c r="U2498" s="18"/>
      <c r="V2498" s="18"/>
      <c r="W2498" s="15"/>
      <c r="X2498" s="15"/>
    </row>
    <row r="2499">
      <c r="A2499" s="7">
        <v>2498.0</v>
      </c>
      <c r="B2499" s="8" t="s">
        <v>10578</v>
      </c>
      <c r="C2499" s="9" t="s">
        <v>10579</v>
      </c>
      <c r="D2499" s="10" t="str">
        <f>HYPERLINK("https://facebook.com/367089020688300_531047907625743", "367089020688300_531047907625743")</f>
        <v>367089020688300_531047907625743</v>
      </c>
      <c r="E2499" s="11">
        <v>1276.0</v>
      </c>
      <c r="F2499" s="11">
        <v>9.0</v>
      </c>
      <c r="G2499" s="11">
        <v>553.0</v>
      </c>
      <c r="H2499" s="9" t="s">
        <v>26</v>
      </c>
      <c r="I2499" s="9" t="s">
        <v>10580</v>
      </c>
      <c r="J2499" s="9" t="s">
        <v>10581</v>
      </c>
      <c r="K2499" s="9" t="s">
        <v>10582</v>
      </c>
      <c r="L2499" s="9" t="s">
        <v>30</v>
      </c>
      <c r="M2499" s="9" t="s">
        <v>31</v>
      </c>
      <c r="N2499" s="9" t="s">
        <v>32</v>
      </c>
      <c r="O2499" s="12" t="s">
        <v>33</v>
      </c>
      <c r="P2499" s="12" t="s">
        <v>34</v>
      </c>
      <c r="Q2499" s="9"/>
      <c r="R2499" s="18"/>
      <c r="S2499" s="18"/>
      <c r="T2499" s="18"/>
      <c r="U2499" s="18"/>
      <c r="V2499" s="18"/>
      <c r="W2499" s="15"/>
      <c r="X2499" s="15"/>
    </row>
    <row r="2500">
      <c r="A2500" s="7">
        <v>2499.0</v>
      </c>
      <c r="B2500" s="8" t="s">
        <v>10583</v>
      </c>
      <c r="C2500" s="9" t="s">
        <v>10584</v>
      </c>
      <c r="D2500" s="10" t="str">
        <f>HYPERLINK("https://facebook.com/367089020688300_548139705916563", "367089020688300_548139705916563")</f>
        <v>367089020688300_548139705916563</v>
      </c>
      <c r="E2500" s="11">
        <v>370.0</v>
      </c>
      <c r="F2500" s="11">
        <v>7.0</v>
      </c>
      <c r="G2500" s="11">
        <v>448.0</v>
      </c>
      <c r="H2500" s="9" t="s">
        <v>26</v>
      </c>
      <c r="I2500" s="9" t="s">
        <v>10585</v>
      </c>
      <c r="J2500" s="16" t="s">
        <v>10586</v>
      </c>
      <c r="K2500" s="9"/>
      <c r="L2500" s="9" t="s">
        <v>30</v>
      </c>
      <c r="M2500" s="9" t="s">
        <v>31</v>
      </c>
      <c r="N2500" s="9" t="s">
        <v>32</v>
      </c>
      <c r="O2500" s="12" t="s">
        <v>33</v>
      </c>
      <c r="P2500" s="12" t="s">
        <v>34</v>
      </c>
      <c r="Q2500" s="9"/>
      <c r="R2500" s="18"/>
      <c r="S2500" s="18"/>
      <c r="T2500" s="18"/>
      <c r="U2500" s="18"/>
      <c r="V2500" s="18"/>
      <c r="W2500" s="15"/>
      <c r="X2500" s="15"/>
    </row>
    <row r="2501">
      <c r="A2501" s="7">
        <v>2500.0</v>
      </c>
      <c r="B2501" s="8" t="s">
        <v>10587</v>
      </c>
      <c r="C2501" s="9" t="s">
        <v>10588</v>
      </c>
      <c r="D2501" s="10" t="str">
        <f>HYPERLINK("https://facebook.com/367089020688300_532861014111099", "367089020688300_532861014111099")</f>
        <v>367089020688300_532861014111099</v>
      </c>
      <c r="E2501" s="11">
        <v>420.0</v>
      </c>
      <c r="F2501" s="11">
        <v>9.0</v>
      </c>
      <c r="G2501" s="11">
        <v>292.0</v>
      </c>
      <c r="H2501" s="9" t="s">
        <v>26</v>
      </c>
      <c r="I2501" s="9" t="s">
        <v>10589</v>
      </c>
      <c r="J2501" s="9" t="s">
        <v>10590</v>
      </c>
      <c r="K2501" s="9" t="s">
        <v>10591</v>
      </c>
      <c r="L2501" s="9" t="s">
        <v>30</v>
      </c>
      <c r="M2501" s="9" t="s">
        <v>31</v>
      </c>
      <c r="N2501" s="9" t="s">
        <v>32</v>
      </c>
      <c r="O2501" s="12" t="s">
        <v>33</v>
      </c>
      <c r="P2501" s="12" t="s">
        <v>34</v>
      </c>
      <c r="Q2501" s="9"/>
      <c r="R2501" s="18"/>
      <c r="S2501" s="18"/>
      <c r="T2501" s="18"/>
      <c r="U2501" s="18"/>
      <c r="V2501" s="18"/>
      <c r="W2501" s="15"/>
      <c r="X2501" s="15"/>
    </row>
    <row r="2502">
      <c r="A2502" s="7">
        <v>2501.0</v>
      </c>
      <c r="B2502" s="8" t="s">
        <v>10592</v>
      </c>
      <c r="C2502" s="9" t="s">
        <v>10593</v>
      </c>
      <c r="D2502" s="10" t="str">
        <f>HYPERLINK("https://facebook.com/367089020688300_539893123407888", "367089020688300_539893123407888")</f>
        <v>367089020688300_539893123407888</v>
      </c>
      <c r="E2502" s="11">
        <v>210.0</v>
      </c>
      <c r="F2502" s="11">
        <v>3.0</v>
      </c>
      <c r="G2502" s="11">
        <v>33.0</v>
      </c>
      <c r="H2502" s="9" t="s">
        <v>26</v>
      </c>
      <c r="I2502" s="9" t="s">
        <v>1540</v>
      </c>
      <c r="J2502" s="9" t="s">
        <v>10594</v>
      </c>
      <c r="K2502" s="9" t="s">
        <v>10595</v>
      </c>
      <c r="L2502" s="9" t="s">
        <v>30</v>
      </c>
      <c r="M2502" s="9" t="s">
        <v>31</v>
      </c>
      <c r="N2502" s="9" t="s">
        <v>32</v>
      </c>
      <c r="O2502" s="12" t="s">
        <v>33</v>
      </c>
      <c r="P2502" s="12" t="s">
        <v>34</v>
      </c>
      <c r="Q2502" s="9"/>
      <c r="R2502" s="18"/>
      <c r="S2502" s="18"/>
      <c r="T2502" s="18"/>
      <c r="U2502" s="18"/>
      <c r="V2502" s="18"/>
      <c r="W2502" s="15"/>
      <c r="X2502" s="15"/>
    </row>
    <row r="2503">
      <c r="A2503" s="7">
        <v>2502.0</v>
      </c>
      <c r="B2503" s="8" t="s">
        <v>10596</v>
      </c>
      <c r="C2503" s="9" t="s">
        <v>10597</v>
      </c>
      <c r="D2503" s="10" t="str">
        <f>HYPERLINK("https://facebook.com/367089020688300_530891694308031", "367089020688300_530891694308031")</f>
        <v>367089020688300_530891694308031</v>
      </c>
      <c r="E2503" s="11">
        <v>112.0</v>
      </c>
      <c r="F2503" s="11">
        <v>5.0</v>
      </c>
      <c r="G2503" s="11">
        <v>46.0</v>
      </c>
      <c r="H2503" s="9" t="s">
        <v>26</v>
      </c>
      <c r="I2503" s="9" t="s">
        <v>10598</v>
      </c>
      <c r="J2503" s="9" t="s">
        <v>10599</v>
      </c>
      <c r="K2503" s="9" t="s">
        <v>10600</v>
      </c>
      <c r="L2503" s="9" t="s">
        <v>30</v>
      </c>
      <c r="M2503" s="9" t="s">
        <v>31</v>
      </c>
      <c r="N2503" s="9" t="s">
        <v>32</v>
      </c>
      <c r="O2503" s="12" t="s">
        <v>33</v>
      </c>
      <c r="P2503" s="12" t="s">
        <v>34</v>
      </c>
      <c r="Q2503" s="9"/>
      <c r="R2503" s="18"/>
      <c r="S2503" s="18"/>
      <c r="T2503" s="18"/>
      <c r="U2503" s="18"/>
      <c r="V2503" s="18"/>
      <c r="W2503" s="15"/>
      <c r="X2503" s="15"/>
    </row>
    <row r="2504">
      <c r="A2504" s="7">
        <v>2503.0</v>
      </c>
      <c r="B2504" s="8" t="s">
        <v>10601</v>
      </c>
      <c r="C2504" s="9" t="s">
        <v>10602</v>
      </c>
      <c r="D2504" s="10" t="str">
        <f>HYPERLINK("https://facebook.com/367089020688300_551638708899996", "367089020688300_551638708899996")</f>
        <v>367089020688300_551638708899996</v>
      </c>
      <c r="E2504" s="11">
        <v>191.0</v>
      </c>
      <c r="F2504" s="11">
        <v>7.0</v>
      </c>
      <c r="G2504" s="11">
        <v>270.0</v>
      </c>
      <c r="H2504" s="9" t="s">
        <v>26</v>
      </c>
      <c r="I2504" s="9" t="s">
        <v>10603</v>
      </c>
      <c r="J2504" s="16" t="s">
        <v>10604</v>
      </c>
      <c r="K2504" s="9"/>
      <c r="L2504" s="9" t="s">
        <v>30</v>
      </c>
      <c r="M2504" s="9" t="s">
        <v>31</v>
      </c>
      <c r="N2504" s="9" t="s">
        <v>32</v>
      </c>
      <c r="O2504" s="12" t="s">
        <v>33</v>
      </c>
      <c r="P2504" s="12" t="s">
        <v>34</v>
      </c>
      <c r="Q2504" s="9"/>
      <c r="R2504" s="18"/>
      <c r="S2504" s="18"/>
      <c r="T2504" s="18"/>
      <c r="U2504" s="18"/>
      <c r="V2504" s="18"/>
      <c r="W2504" s="15"/>
      <c r="X2504" s="15"/>
    </row>
    <row r="2505">
      <c r="A2505" s="7">
        <v>2504.0</v>
      </c>
      <c r="B2505" s="8" t="s">
        <v>10605</v>
      </c>
      <c r="C2505" s="9" t="s">
        <v>10606</v>
      </c>
      <c r="D2505" s="10" t="str">
        <f>HYPERLINK("https://facebook.com/367089020688300_534493863947814", "367089020688300_534493863947814")</f>
        <v>367089020688300_534493863947814</v>
      </c>
      <c r="E2505" s="11">
        <v>28.0</v>
      </c>
      <c r="F2505" s="11">
        <v>0.0</v>
      </c>
      <c r="G2505" s="11">
        <v>89.0</v>
      </c>
      <c r="H2505" s="9" t="s">
        <v>26</v>
      </c>
      <c r="I2505" s="9" t="s">
        <v>10607</v>
      </c>
      <c r="J2505" s="9" t="s">
        <v>10608</v>
      </c>
      <c r="K2505" s="9" t="s">
        <v>51</v>
      </c>
      <c r="L2505" s="9" t="s">
        <v>30</v>
      </c>
      <c r="M2505" s="9" t="s">
        <v>31</v>
      </c>
      <c r="N2505" s="9" t="s">
        <v>32</v>
      </c>
      <c r="O2505" s="12" t="s">
        <v>33</v>
      </c>
      <c r="P2505" s="12" t="s">
        <v>34</v>
      </c>
      <c r="Q2505" s="9"/>
      <c r="R2505" s="18"/>
      <c r="S2505" s="18"/>
      <c r="T2505" s="18"/>
      <c r="U2505" s="18"/>
      <c r="V2505" s="18"/>
      <c r="W2505" s="15"/>
      <c r="X2505" s="15"/>
    </row>
    <row r="2506">
      <c r="A2506" s="7">
        <v>2505.0</v>
      </c>
      <c r="B2506" s="8" t="s">
        <v>10609</v>
      </c>
      <c r="C2506" s="9" t="s">
        <v>10610</v>
      </c>
      <c r="D2506" s="10" t="str">
        <f>HYPERLINK("https://facebook.com/367089020688300_532102317520302", "367089020688300_532102317520302")</f>
        <v>367089020688300_532102317520302</v>
      </c>
      <c r="E2506" s="11">
        <v>262.0</v>
      </c>
      <c r="F2506" s="11">
        <v>13.0</v>
      </c>
      <c r="G2506" s="11">
        <v>154.0</v>
      </c>
      <c r="H2506" s="9" t="s">
        <v>26</v>
      </c>
      <c r="I2506" s="9" t="s">
        <v>10611</v>
      </c>
      <c r="J2506" s="9" t="s">
        <v>10612</v>
      </c>
      <c r="K2506" s="9" t="s">
        <v>10613</v>
      </c>
      <c r="L2506" s="9" t="s">
        <v>30</v>
      </c>
      <c r="M2506" s="9" t="s">
        <v>31</v>
      </c>
      <c r="N2506" s="9" t="s">
        <v>32</v>
      </c>
      <c r="O2506" s="12" t="s">
        <v>33</v>
      </c>
      <c r="P2506" s="12" t="s">
        <v>34</v>
      </c>
      <c r="Q2506" s="9"/>
      <c r="R2506" s="18"/>
      <c r="S2506" s="18"/>
      <c r="T2506" s="18"/>
      <c r="U2506" s="18"/>
      <c r="V2506" s="18"/>
      <c r="W2506" s="15"/>
      <c r="X2506" s="15"/>
    </row>
    <row r="2507">
      <c r="A2507" s="7">
        <v>2506.0</v>
      </c>
      <c r="B2507" s="8" t="s">
        <v>10614</v>
      </c>
      <c r="C2507" s="9" t="s">
        <v>10615</v>
      </c>
      <c r="D2507" s="10" t="str">
        <f>HYPERLINK("https://facebook.com/367089020688300_552966938767173", "367089020688300_552966938767173")</f>
        <v>367089020688300_552966938767173</v>
      </c>
      <c r="E2507" s="11">
        <v>313.0</v>
      </c>
      <c r="F2507" s="11">
        <v>3.0</v>
      </c>
      <c r="G2507" s="11">
        <v>154.0</v>
      </c>
      <c r="H2507" s="9" t="s">
        <v>26</v>
      </c>
      <c r="I2507" s="9" t="s">
        <v>10616</v>
      </c>
      <c r="J2507" s="16" t="s">
        <v>10617</v>
      </c>
      <c r="K2507" s="9"/>
      <c r="L2507" s="9" t="s">
        <v>30</v>
      </c>
      <c r="M2507" s="9" t="s">
        <v>31</v>
      </c>
      <c r="N2507" s="9" t="s">
        <v>32</v>
      </c>
      <c r="O2507" s="12" t="s">
        <v>33</v>
      </c>
      <c r="P2507" s="12" t="s">
        <v>34</v>
      </c>
      <c r="Q2507" s="9"/>
      <c r="R2507" s="18"/>
      <c r="S2507" s="18"/>
      <c r="T2507" s="18"/>
      <c r="U2507" s="18"/>
      <c r="V2507" s="18"/>
      <c r="W2507" s="15"/>
      <c r="X2507" s="15"/>
    </row>
    <row r="2508">
      <c r="A2508" s="7">
        <v>2507.0</v>
      </c>
      <c r="B2508" s="8" t="s">
        <v>10618</v>
      </c>
      <c r="C2508" s="9" t="s">
        <v>10619</v>
      </c>
      <c r="D2508" s="10" t="str">
        <f>HYPERLINK("https://facebook.com/367089020688300_518230188907515", "367089020688300_518230188907515")</f>
        <v>367089020688300_518230188907515</v>
      </c>
      <c r="E2508" s="11">
        <v>174.0</v>
      </c>
      <c r="F2508" s="11">
        <v>4.0</v>
      </c>
      <c r="G2508" s="11">
        <v>130.0</v>
      </c>
      <c r="H2508" s="9" t="s">
        <v>26</v>
      </c>
      <c r="I2508" s="9" t="s">
        <v>10620</v>
      </c>
      <c r="J2508" s="16" t="s">
        <v>10621</v>
      </c>
      <c r="K2508" s="9"/>
      <c r="L2508" s="9" t="s">
        <v>30</v>
      </c>
      <c r="M2508" s="9" t="s">
        <v>31</v>
      </c>
      <c r="N2508" s="9" t="s">
        <v>32</v>
      </c>
      <c r="O2508" s="12" t="s">
        <v>33</v>
      </c>
      <c r="P2508" s="12" t="s">
        <v>34</v>
      </c>
      <c r="Q2508" s="9"/>
      <c r="R2508" s="18"/>
      <c r="S2508" s="18"/>
      <c r="T2508" s="18"/>
      <c r="U2508" s="18"/>
      <c r="V2508" s="18"/>
      <c r="W2508" s="15"/>
      <c r="X2508" s="15"/>
    </row>
    <row r="2509">
      <c r="A2509" s="7">
        <v>2508.0</v>
      </c>
      <c r="B2509" s="8" t="s">
        <v>10622</v>
      </c>
      <c r="C2509" s="9" t="s">
        <v>10623</v>
      </c>
      <c r="D2509" s="10" t="str">
        <f>HYPERLINK("https://facebook.com/367089020688300_541851529878714", "367089020688300_541851529878714")</f>
        <v>367089020688300_541851529878714</v>
      </c>
      <c r="E2509" s="11">
        <v>206.0</v>
      </c>
      <c r="F2509" s="11">
        <v>1.0</v>
      </c>
      <c r="G2509" s="11">
        <v>106.0</v>
      </c>
      <c r="H2509" s="9" t="s">
        <v>26</v>
      </c>
      <c r="I2509" s="9" t="s">
        <v>10624</v>
      </c>
      <c r="J2509" s="16" t="s">
        <v>10625</v>
      </c>
      <c r="K2509" s="9"/>
      <c r="L2509" s="9" t="s">
        <v>30</v>
      </c>
      <c r="M2509" s="9" t="s">
        <v>31</v>
      </c>
      <c r="N2509" s="9" t="s">
        <v>32</v>
      </c>
      <c r="O2509" s="12" t="s">
        <v>33</v>
      </c>
      <c r="P2509" s="12" t="s">
        <v>34</v>
      </c>
      <c r="Q2509" s="9"/>
      <c r="R2509" s="18"/>
      <c r="S2509" s="18"/>
      <c r="T2509" s="18"/>
      <c r="U2509" s="18"/>
      <c r="V2509" s="18"/>
      <c r="W2509" s="15"/>
      <c r="X2509" s="15"/>
    </row>
    <row r="2510">
      <c r="A2510" s="7">
        <v>2509.0</v>
      </c>
      <c r="B2510" s="8" t="s">
        <v>10626</v>
      </c>
      <c r="C2510" s="9" t="s">
        <v>10627</v>
      </c>
      <c r="D2510" s="10" t="str">
        <f>HYPERLINK("https://facebook.com/367089020688300_539066920157175", "367089020688300_539066920157175")</f>
        <v>367089020688300_539066920157175</v>
      </c>
      <c r="E2510" s="11">
        <v>135.0</v>
      </c>
      <c r="F2510" s="11">
        <v>7.0</v>
      </c>
      <c r="G2510" s="11">
        <v>149.0</v>
      </c>
      <c r="H2510" s="9" t="s">
        <v>26</v>
      </c>
      <c r="I2510" s="9" t="s">
        <v>10628</v>
      </c>
      <c r="J2510" s="16" t="s">
        <v>10629</v>
      </c>
      <c r="K2510" s="9"/>
      <c r="L2510" s="9" t="s">
        <v>30</v>
      </c>
      <c r="M2510" s="9" t="s">
        <v>31</v>
      </c>
      <c r="N2510" s="9" t="s">
        <v>32</v>
      </c>
      <c r="O2510" s="12" t="s">
        <v>33</v>
      </c>
      <c r="P2510" s="12" t="s">
        <v>34</v>
      </c>
      <c r="Q2510" s="9"/>
      <c r="R2510" s="18"/>
      <c r="S2510" s="18"/>
      <c r="T2510" s="18"/>
      <c r="U2510" s="18"/>
      <c r="V2510" s="18"/>
      <c r="W2510" s="15"/>
      <c r="X2510" s="15"/>
    </row>
    <row r="2511">
      <c r="A2511" s="7">
        <v>2510.0</v>
      </c>
      <c r="B2511" s="8" t="s">
        <v>10630</v>
      </c>
      <c r="C2511" s="9" t="s">
        <v>10631</v>
      </c>
      <c r="D2511" s="10" t="str">
        <f>HYPERLINK("https://facebook.com/367089020688300_556939595036574", "367089020688300_556939595036574")</f>
        <v>367089020688300_556939595036574</v>
      </c>
      <c r="E2511" s="11">
        <v>415.0</v>
      </c>
      <c r="F2511" s="11">
        <v>17.0</v>
      </c>
      <c r="G2511" s="11">
        <v>494.0</v>
      </c>
      <c r="H2511" s="9" t="s">
        <v>26</v>
      </c>
      <c r="I2511" s="9" t="s">
        <v>10632</v>
      </c>
      <c r="J2511" s="9" t="s">
        <v>10633</v>
      </c>
      <c r="K2511" s="9" t="s">
        <v>10634</v>
      </c>
      <c r="L2511" s="9" t="s">
        <v>30</v>
      </c>
      <c r="M2511" s="9" t="s">
        <v>31</v>
      </c>
      <c r="N2511" s="9" t="s">
        <v>32</v>
      </c>
      <c r="O2511" s="12" t="s">
        <v>33</v>
      </c>
      <c r="P2511" s="12" t="s">
        <v>34</v>
      </c>
      <c r="Q2511" s="9"/>
      <c r="R2511" s="18"/>
      <c r="S2511" s="18"/>
      <c r="T2511" s="18"/>
      <c r="U2511" s="18"/>
      <c r="V2511" s="18"/>
      <c r="W2511" s="15"/>
      <c r="X2511" s="15"/>
    </row>
    <row r="2512">
      <c r="A2512" s="7">
        <v>2511.0</v>
      </c>
      <c r="B2512" s="8" t="s">
        <v>10635</v>
      </c>
      <c r="C2512" s="9" t="s">
        <v>10636</v>
      </c>
      <c r="D2512" s="10" t="str">
        <f>HYPERLINK("https://facebook.com/367089020688300_435885123808689", "367089020688300_435885123808689")</f>
        <v>367089020688300_435885123808689</v>
      </c>
      <c r="E2512" s="11">
        <v>225.0</v>
      </c>
      <c r="F2512" s="11">
        <v>9.0</v>
      </c>
      <c r="G2512" s="11">
        <v>177.0</v>
      </c>
      <c r="H2512" s="9" t="s">
        <v>26</v>
      </c>
      <c r="I2512" s="9" t="s">
        <v>10637</v>
      </c>
      <c r="J2512" s="9" t="s">
        <v>10638</v>
      </c>
      <c r="K2512" s="9" t="s">
        <v>10639</v>
      </c>
      <c r="L2512" s="9" t="s">
        <v>30</v>
      </c>
      <c r="M2512" s="9" t="s">
        <v>31</v>
      </c>
      <c r="N2512" s="9" t="s">
        <v>32</v>
      </c>
      <c r="O2512" s="12" t="s">
        <v>33</v>
      </c>
      <c r="P2512" s="12" t="s">
        <v>34</v>
      </c>
      <c r="Q2512" s="9"/>
      <c r="R2512" s="18"/>
      <c r="S2512" s="18"/>
      <c r="T2512" s="18"/>
      <c r="U2512" s="18"/>
      <c r="V2512" s="18"/>
      <c r="W2512" s="15"/>
      <c r="X2512" s="15"/>
    </row>
    <row r="2513">
      <c r="A2513" s="7">
        <v>2512.0</v>
      </c>
      <c r="B2513" s="8" t="s">
        <v>10640</v>
      </c>
      <c r="C2513" s="9" t="s">
        <v>10641</v>
      </c>
      <c r="D2513" s="10" t="str">
        <f>HYPERLINK("https://facebook.com/367089020688300_538806936849840", "367089020688300_538806936849840")</f>
        <v>367089020688300_538806936849840</v>
      </c>
      <c r="E2513" s="11">
        <v>9.0</v>
      </c>
      <c r="F2513" s="11">
        <v>0.0</v>
      </c>
      <c r="G2513" s="11">
        <v>18.0</v>
      </c>
      <c r="H2513" s="9" t="s">
        <v>26</v>
      </c>
      <c r="I2513" s="9" t="s">
        <v>10642</v>
      </c>
      <c r="J2513" s="9" t="s">
        <v>10643</v>
      </c>
      <c r="K2513" s="9" t="s">
        <v>219</v>
      </c>
      <c r="L2513" s="9" t="s">
        <v>30</v>
      </c>
      <c r="M2513" s="9" t="s">
        <v>31</v>
      </c>
      <c r="N2513" s="9" t="s">
        <v>32</v>
      </c>
      <c r="O2513" s="12" t="s">
        <v>33</v>
      </c>
      <c r="P2513" s="12" t="s">
        <v>34</v>
      </c>
      <c r="Q2513" s="9"/>
      <c r="R2513" s="18"/>
      <c r="S2513" s="18"/>
      <c r="T2513" s="18"/>
      <c r="U2513" s="18"/>
      <c r="V2513" s="18"/>
      <c r="W2513" s="15"/>
      <c r="X2513" s="15"/>
    </row>
    <row r="2514">
      <c r="A2514" s="7">
        <v>2513.0</v>
      </c>
      <c r="B2514" s="8" t="s">
        <v>10644</v>
      </c>
      <c r="C2514" s="9" t="s">
        <v>10645</v>
      </c>
      <c r="D2514" s="10" t="str">
        <f>HYPERLINK("https://facebook.com/367089020688300_547220679341799", "367089020688300_547220679341799")</f>
        <v>367089020688300_547220679341799</v>
      </c>
      <c r="E2514" s="11">
        <v>17.0</v>
      </c>
      <c r="F2514" s="11">
        <v>0.0</v>
      </c>
      <c r="G2514" s="11">
        <v>3.0</v>
      </c>
      <c r="H2514" s="9" t="s">
        <v>26</v>
      </c>
      <c r="I2514" s="9" t="s">
        <v>10646</v>
      </c>
      <c r="J2514" s="16" t="s">
        <v>10647</v>
      </c>
      <c r="K2514" s="9"/>
      <c r="L2514" s="9" t="s">
        <v>30</v>
      </c>
      <c r="M2514" s="9" t="s">
        <v>31</v>
      </c>
      <c r="N2514" s="9" t="s">
        <v>32</v>
      </c>
      <c r="O2514" s="12" t="s">
        <v>33</v>
      </c>
      <c r="P2514" s="12" t="s">
        <v>34</v>
      </c>
      <c r="Q2514" s="9"/>
      <c r="R2514" s="18"/>
      <c r="S2514" s="18"/>
      <c r="T2514" s="18"/>
      <c r="U2514" s="18"/>
      <c r="V2514" s="18"/>
      <c r="W2514" s="15"/>
      <c r="X2514" s="15"/>
    </row>
    <row r="2515">
      <c r="A2515" s="7">
        <v>2514.0</v>
      </c>
      <c r="B2515" s="8" t="s">
        <v>10648</v>
      </c>
      <c r="C2515" s="9" t="s">
        <v>10649</v>
      </c>
      <c r="D2515" s="10" t="str">
        <f>HYPERLINK("https://facebook.com/367089020688300_555177365212797", "367089020688300_555177365212797")</f>
        <v>367089020688300_555177365212797</v>
      </c>
      <c r="E2515" s="11">
        <v>675.0</v>
      </c>
      <c r="F2515" s="11">
        <v>4.0</v>
      </c>
      <c r="G2515" s="11">
        <v>286.0</v>
      </c>
      <c r="H2515" s="9" t="s">
        <v>26</v>
      </c>
      <c r="I2515" s="9" t="s">
        <v>10650</v>
      </c>
      <c r="J2515" s="9" t="s">
        <v>10651</v>
      </c>
      <c r="K2515" s="9" t="s">
        <v>10652</v>
      </c>
      <c r="L2515" s="9" t="s">
        <v>30</v>
      </c>
      <c r="M2515" s="9" t="s">
        <v>31</v>
      </c>
      <c r="N2515" s="9" t="s">
        <v>32</v>
      </c>
      <c r="O2515" s="12" t="s">
        <v>33</v>
      </c>
      <c r="P2515" s="12" t="s">
        <v>34</v>
      </c>
      <c r="Q2515" s="9"/>
      <c r="R2515" s="18"/>
      <c r="S2515" s="18"/>
      <c r="T2515" s="18"/>
      <c r="U2515" s="18"/>
      <c r="V2515" s="18"/>
      <c r="W2515" s="15"/>
      <c r="X2515" s="15"/>
    </row>
    <row r="2516">
      <c r="A2516" s="7">
        <v>2515.0</v>
      </c>
      <c r="B2516" s="8" t="s">
        <v>10653</v>
      </c>
      <c r="C2516" s="9" t="s">
        <v>10654</v>
      </c>
      <c r="D2516" s="10" t="str">
        <f>HYPERLINK("https://facebook.com/367089020688300_543256619738205", "367089020688300_543256619738205")</f>
        <v>367089020688300_543256619738205</v>
      </c>
      <c r="E2516" s="11">
        <v>110.0</v>
      </c>
      <c r="F2516" s="11">
        <v>3.0</v>
      </c>
      <c r="G2516" s="11">
        <v>155.0</v>
      </c>
      <c r="H2516" s="9" t="s">
        <v>26</v>
      </c>
      <c r="I2516" s="9" t="s">
        <v>2344</v>
      </c>
      <c r="J2516" s="9" t="s">
        <v>10655</v>
      </c>
      <c r="K2516" s="9" t="s">
        <v>10656</v>
      </c>
      <c r="L2516" s="9" t="s">
        <v>30</v>
      </c>
      <c r="M2516" s="9" t="s">
        <v>31</v>
      </c>
      <c r="N2516" s="9" t="s">
        <v>32</v>
      </c>
      <c r="O2516" s="12" t="s">
        <v>33</v>
      </c>
      <c r="P2516" s="12" t="s">
        <v>34</v>
      </c>
      <c r="Q2516" s="9"/>
      <c r="R2516" s="18"/>
      <c r="S2516" s="18"/>
      <c r="T2516" s="18"/>
      <c r="U2516" s="18"/>
      <c r="V2516" s="18"/>
      <c r="W2516" s="15"/>
      <c r="X2516" s="15"/>
    </row>
    <row r="2517">
      <c r="A2517" s="7">
        <v>2516.0</v>
      </c>
      <c r="B2517" s="8" t="s">
        <v>10657</v>
      </c>
      <c r="C2517" s="9" t="s">
        <v>10658</v>
      </c>
      <c r="D2517" s="10" t="str">
        <f>HYPERLINK("https://facebook.com/367089020688300_546295996100934", "367089020688300_546295996100934")</f>
        <v>367089020688300_546295996100934</v>
      </c>
      <c r="E2517" s="11">
        <v>2.0</v>
      </c>
      <c r="F2517" s="11">
        <v>0.0</v>
      </c>
      <c r="G2517" s="11">
        <v>5.0</v>
      </c>
      <c r="H2517" s="9" t="s">
        <v>26</v>
      </c>
      <c r="I2517" s="9" t="s">
        <v>7274</v>
      </c>
      <c r="J2517" s="16" t="s">
        <v>7275</v>
      </c>
      <c r="K2517" s="9"/>
      <c r="L2517" s="9" t="s">
        <v>30</v>
      </c>
      <c r="M2517" s="9" t="s">
        <v>31</v>
      </c>
      <c r="N2517" s="9" t="s">
        <v>32</v>
      </c>
      <c r="O2517" s="12" t="s">
        <v>33</v>
      </c>
      <c r="P2517" s="12" t="s">
        <v>34</v>
      </c>
      <c r="Q2517" s="9"/>
      <c r="R2517" s="18"/>
      <c r="S2517" s="18"/>
      <c r="T2517" s="18"/>
      <c r="U2517" s="18"/>
      <c r="V2517" s="18"/>
      <c r="W2517" s="15"/>
      <c r="X2517" s="15"/>
    </row>
    <row r="2518">
      <c r="A2518" s="7">
        <v>2517.0</v>
      </c>
      <c r="B2518" s="8" t="s">
        <v>10659</v>
      </c>
      <c r="C2518" s="9" t="s">
        <v>10660</v>
      </c>
      <c r="D2518" s="10" t="str">
        <f>HYPERLINK("https://facebook.com/367089020688300_556928985037635", "367089020688300_556928985037635")</f>
        <v>367089020688300_556928985037635</v>
      </c>
      <c r="E2518" s="11">
        <v>16.0</v>
      </c>
      <c r="F2518" s="11">
        <v>0.0</v>
      </c>
      <c r="G2518" s="11">
        <v>1.0</v>
      </c>
      <c r="H2518" s="9" t="s">
        <v>26</v>
      </c>
      <c r="I2518" s="9" t="s">
        <v>10661</v>
      </c>
      <c r="J2518" s="16" t="s">
        <v>10662</v>
      </c>
      <c r="K2518" s="9"/>
      <c r="L2518" s="9" t="s">
        <v>30</v>
      </c>
      <c r="M2518" s="9" t="s">
        <v>31</v>
      </c>
      <c r="N2518" s="9" t="s">
        <v>32</v>
      </c>
      <c r="O2518" s="12" t="s">
        <v>33</v>
      </c>
      <c r="P2518" s="12" t="s">
        <v>34</v>
      </c>
      <c r="Q2518" s="9"/>
      <c r="R2518" s="18"/>
      <c r="S2518" s="18"/>
      <c r="T2518" s="18"/>
      <c r="U2518" s="18"/>
      <c r="V2518" s="18"/>
      <c r="W2518" s="15"/>
      <c r="X2518" s="15"/>
    </row>
    <row r="2519">
      <c r="A2519" s="7">
        <v>2518.0</v>
      </c>
      <c r="B2519" s="8" t="s">
        <v>10663</v>
      </c>
      <c r="C2519" s="9" t="s">
        <v>10664</v>
      </c>
      <c r="D2519" s="10" t="str">
        <f>HYPERLINK("https://facebook.com/367089020688300_542475023149698", "367089020688300_542475023149698")</f>
        <v>367089020688300_542475023149698</v>
      </c>
      <c r="E2519" s="11">
        <v>2881.0</v>
      </c>
      <c r="F2519" s="11">
        <v>80.0</v>
      </c>
      <c r="G2519" s="11">
        <v>237.0</v>
      </c>
      <c r="H2519" s="9" t="s">
        <v>26</v>
      </c>
      <c r="I2519" s="9" t="s">
        <v>10665</v>
      </c>
      <c r="J2519" s="9" t="s">
        <v>10666</v>
      </c>
      <c r="K2519" s="9" t="s">
        <v>1214</v>
      </c>
      <c r="L2519" s="9" t="s">
        <v>30</v>
      </c>
      <c r="M2519" s="9" t="s">
        <v>31</v>
      </c>
      <c r="N2519" s="9" t="s">
        <v>32</v>
      </c>
      <c r="O2519" s="12" t="s">
        <v>33</v>
      </c>
      <c r="P2519" s="12" t="s">
        <v>34</v>
      </c>
      <c r="Q2519" s="9"/>
      <c r="R2519" s="18"/>
      <c r="S2519" s="18"/>
      <c r="T2519" s="18"/>
      <c r="U2519" s="18"/>
      <c r="V2519" s="18"/>
      <c r="W2519" s="15"/>
      <c r="X2519" s="15"/>
    </row>
    <row r="2520">
      <c r="A2520" s="7">
        <v>2519.0</v>
      </c>
      <c r="B2520" s="8" t="s">
        <v>10667</v>
      </c>
      <c r="C2520" s="9" t="s">
        <v>10668</v>
      </c>
      <c r="D2520" s="10" t="str">
        <f>HYPERLINK("https://facebook.com/367089020688300_489384245125443", "367089020688300_489384245125443")</f>
        <v>367089020688300_489384245125443</v>
      </c>
      <c r="E2520" s="11">
        <v>137.0</v>
      </c>
      <c r="F2520" s="11">
        <v>0.0</v>
      </c>
      <c r="G2520" s="11">
        <v>99.0</v>
      </c>
      <c r="H2520" s="9" t="s">
        <v>26</v>
      </c>
      <c r="I2520" s="9" t="s">
        <v>10669</v>
      </c>
      <c r="J2520" s="9" t="s">
        <v>10670</v>
      </c>
      <c r="K2520" s="9" t="s">
        <v>2556</v>
      </c>
      <c r="L2520" s="9" t="s">
        <v>30</v>
      </c>
      <c r="M2520" s="9" t="s">
        <v>31</v>
      </c>
      <c r="N2520" s="9" t="s">
        <v>32</v>
      </c>
      <c r="O2520" s="12" t="s">
        <v>33</v>
      </c>
      <c r="P2520" s="12" t="s">
        <v>34</v>
      </c>
      <c r="Q2520" s="9"/>
      <c r="R2520" s="18"/>
      <c r="S2520" s="18"/>
      <c r="T2520" s="18"/>
      <c r="U2520" s="18"/>
      <c r="V2520" s="18"/>
      <c r="W2520" s="15"/>
      <c r="X2520" s="15"/>
    </row>
    <row r="2521">
      <c r="A2521" s="7">
        <v>2520.0</v>
      </c>
      <c r="B2521" s="8" t="s">
        <v>10671</v>
      </c>
      <c r="C2521" s="9" t="s">
        <v>10672</v>
      </c>
      <c r="D2521" s="10" t="str">
        <f>HYPERLINK("https://facebook.com/367089020688300_552269475503586", "367089020688300_552269475503586")</f>
        <v>367089020688300_552269475503586</v>
      </c>
      <c r="E2521" s="11">
        <v>33.0</v>
      </c>
      <c r="F2521" s="11">
        <v>1.0</v>
      </c>
      <c r="G2521" s="11">
        <v>48.0</v>
      </c>
      <c r="H2521" s="9" t="s">
        <v>26</v>
      </c>
      <c r="I2521" s="9" t="s">
        <v>1688</v>
      </c>
      <c r="J2521" s="9" t="s">
        <v>1689</v>
      </c>
      <c r="K2521" s="9" t="s">
        <v>10673</v>
      </c>
      <c r="L2521" s="9" t="s">
        <v>30</v>
      </c>
      <c r="M2521" s="9" t="s">
        <v>31</v>
      </c>
      <c r="N2521" s="9" t="s">
        <v>32</v>
      </c>
      <c r="O2521" s="12" t="s">
        <v>33</v>
      </c>
      <c r="P2521" s="12" t="s">
        <v>34</v>
      </c>
      <c r="Q2521" s="9"/>
      <c r="R2521" s="18"/>
      <c r="S2521" s="18"/>
      <c r="T2521" s="18"/>
      <c r="U2521" s="18"/>
      <c r="V2521" s="18"/>
      <c r="W2521" s="15"/>
      <c r="X2521" s="15"/>
    </row>
    <row r="2522">
      <c r="A2522" s="7">
        <v>2521.0</v>
      </c>
      <c r="B2522" s="8" t="s">
        <v>10674</v>
      </c>
      <c r="C2522" s="9" t="s">
        <v>10675</v>
      </c>
      <c r="D2522" s="10" t="str">
        <f>HYPERLINK("https://facebook.com/367089020688300_543618779701989", "367089020688300_543618779701989")</f>
        <v>367089020688300_543618779701989</v>
      </c>
      <c r="E2522" s="11">
        <v>16.0</v>
      </c>
      <c r="F2522" s="11">
        <v>0.0</v>
      </c>
      <c r="G2522" s="11">
        <v>7.0</v>
      </c>
      <c r="H2522" s="9" t="s">
        <v>26</v>
      </c>
      <c r="I2522" s="9" t="s">
        <v>10676</v>
      </c>
      <c r="J2522" s="16" t="s">
        <v>10677</v>
      </c>
      <c r="K2522" s="9"/>
      <c r="L2522" s="9" t="s">
        <v>30</v>
      </c>
      <c r="M2522" s="9" t="s">
        <v>31</v>
      </c>
      <c r="N2522" s="9" t="s">
        <v>32</v>
      </c>
      <c r="O2522" s="12" t="s">
        <v>33</v>
      </c>
      <c r="P2522" s="12" t="s">
        <v>34</v>
      </c>
      <c r="Q2522" s="9"/>
      <c r="R2522" s="18"/>
      <c r="S2522" s="18"/>
      <c r="T2522" s="18"/>
      <c r="U2522" s="18"/>
      <c r="V2522" s="18"/>
      <c r="W2522" s="15"/>
      <c r="X2522" s="15"/>
    </row>
    <row r="2523">
      <c r="A2523" s="7">
        <v>2522.0</v>
      </c>
      <c r="B2523" s="8" t="s">
        <v>10678</v>
      </c>
      <c r="C2523" s="9" t="s">
        <v>10679</v>
      </c>
      <c r="D2523" s="10" t="str">
        <f>HYPERLINK("https://facebook.com/367089020688300_539217826808751", "367089020688300_539217826808751")</f>
        <v>367089020688300_539217826808751</v>
      </c>
      <c r="E2523" s="11">
        <v>16.0</v>
      </c>
      <c r="F2523" s="11">
        <v>0.0</v>
      </c>
      <c r="G2523" s="11">
        <v>21.0</v>
      </c>
      <c r="H2523" s="9" t="s">
        <v>26</v>
      </c>
      <c r="I2523" s="9" t="s">
        <v>10680</v>
      </c>
      <c r="J2523" s="9" t="s">
        <v>10681</v>
      </c>
      <c r="K2523" s="9" t="s">
        <v>219</v>
      </c>
      <c r="L2523" s="9" t="s">
        <v>30</v>
      </c>
      <c r="M2523" s="9" t="s">
        <v>31</v>
      </c>
      <c r="N2523" s="9" t="s">
        <v>32</v>
      </c>
      <c r="O2523" s="12" t="s">
        <v>33</v>
      </c>
      <c r="P2523" s="12" t="s">
        <v>34</v>
      </c>
      <c r="Q2523" s="9"/>
      <c r="R2523" s="18"/>
      <c r="S2523" s="18"/>
      <c r="T2523" s="18"/>
      <c r="U2523" s="18"/>
      <c r="V2523" s="18"/>
      <c r="W2523" s="15"/>
      <c r="X2523" s="15"/>
    </row>
    <row r="2524">
      <c r="A2524" s="7">
        <v>2523.0</v>
      </c>
      <c r="B2524" s="8" t="s">
        <v>10682</v>
      </c>
      <c r="C2524" s="9" t="s">
        <v>10683</v>
      </c>
      <c r="D2524" s="10" t="str">
        <f>HYPERLINK("https://facebook.com/367089020688300_561991474531386", "367089020688300_561991474531386")</f>
        <v>367089020688300_561991474531386</v>
      </c>
      <c r="E2524" s="11">
        <v>70.0</v>
      </c>
      <c r="F2524" s="11">
        <v>0.0</v>
      </c>
      <c r="G2524" s="11">
        <v>18.0</v>
      </c>
      <c r="H2524" s="9" t="s">
        <v>26</v>
      </c>
      <c r="I2524" s="9" t="s">
        <v>10684</v>
      </c>
      <c r="J2524" s="16" t="s">
        <v>10685</v>
      </c>
      <c r="K2524" s="9"/>
      <c r="L2524" s="9" t="s">
        <v>30</v>
      </c>
      <c r="M2524" s="9" t="s">
        <v>31</v>
      </c>
      <c r="N2524" s="9" t="s">
        <v>32</v>
      </c>
      <c r="O2524" s="12" t="s">
        <v>33</v>
      </c>
      <c r="P2524" s="12" t="s">
        <v>34</v>
      </c>
      <c r="Q2524" s="9"/>
      <c r="R2524" s="18"/>
      <c r="S2524" s="18"/>
      <c r="T2524" s="18"/>
      <c r="U2524" s="18"/>
      <c r="V2524" s="18"/>
      <c r="W2524" s="15"/>
      <c r="X2524" s="15"/>
    </row>
    <row r="2525">
      <c r="A2525" s="7">
        <v>2524.0</v>
      </c>
      <c r="B2525" s="8" t="s">
        <v>10686</v>
      </c>
      <c r="C2525" s="9" t="s">
        <v>10687</v>
      </c>
      <c r="D2525" s="10" t="str">
        <f>HYPERLINK("https://facebook.com/367089020688300_560502081346992", "367089020688300_560502081346992")</f>
        <v>367089020688300_560502081346992</v>
      </c>
      <c r="E2525" s="11">
        <v>31.0</v>
      </c>
      <c r="F2525" s="11">
        <v>0.0</v>
      </c>
      <c r="G2525" s="11">
        <v>14.0</v>
      </c>
      <c r="H2525" s="9" t="s">
        <v>26</v>
      </c>
      <c r="I2525" s="9" t="s">
        <v>10688</v>
      </c>
      <c r="J2525" s="9" t="s">
        <v>10689</v>
      </c>
      <c r="K2525" s="9" t="s">
        <v>10690</v>
      </c>
      <c r="L2525" s="9" t="s">
        <v>30</v>
      </c>
      <c r="M2525" s="9" t="s">
        <v>31</v>
      </c>
      <c r="N2525" s="9" t="s">
        <v>32</v>
      </c>
      <c r="O2525" s="12" t="s">
        <v>33</v>
      </c>
      <c r="P2525" s="12" t="s">
        <v>34</v>
      </c>
      <c r="Q2525" s="9"/>
      <c r="R2525" s="18"/>
      <c r="S2525" s="18"/>
      <c r="T2525" s="18"/>
      <c r="U2525" s="18"/>
      <c r="V2525" s="18"/>
      <c r="W2525" s="15"/>
      <c r="X2525" s="15"/>
    </row>
    <row r="2526">
      <c r="A2526" s="7">
        <v>2525.0</v>
      </c>
      <c r="B2526" s="8" t="s">
        <v>10691</v>
      </c>
      <c r="C2526" s="9" t="s">
        <v>10692</v>
      </c>
      <c r="D2526" s="10" t="str">
        <f>HYPERLINK("https://facebook.com/367089020688300_487819038615297", "367089020688300_487819038615297")</f>
        <v>367089020688300_487819038615297</v>
      </c>
      <c r="E2526" s="11">
        <v>104.0</v>
      </c>
      <c r="F2526" s="11">
        <v>5.0</v>
      </c>
      <c r="G2526" s="11">
        <v>167.0</v>
      </c>
      <c r="H2526" s="9" t="s">
        <v>26</v>
      </c>
      <c r="I2526" s="9" t="s">
        <v>10693</v>
      </c>
      <c r="J2526" s="9" t="s">
        <v>10694</v>
      </c>
      <c r="K2526" s="9" t="s">
        <v>249</v>
      </c>
      <c r="L2526" s="9" t="s">
        <v>30</v>
      </c>
      <c r="M2526" s="9" t="s">
        <v>31</v>
      </c>
      <c r="N2526" s="9" t="s">
        <v>32</v>
      </c>
      <c r="O2526" s="12" t="s">
        <v>33</v>
      </c>
      <c r="P2526" s="12" t="s">
        <v>34</v>
      </c>
      <c r="Q2526" s="9"/>
      <c r="R2526" s="18"/>
      <c r="S2526" s="18"/>
      <c r="T2526" s="18"/>
      <c r="U2526" s="18"/>
      <c r="V2526" s="18"/>
      <c r="W2526" s="15"/>
      <c r="X2526" s="15"/>
    </row>
    <row r="2527">
      <c r="A2527" s="7">
        <v>2526.0</v>
      </c>
      <c r="B2527" s="8" t="s">
        <v>10695</v>
      </c>
      <c r="C2527" s="9" t="s">
        <v>10696</v>
      </c>
      <c r="D2527" s="10" t="str">
        <f>HYPERLINK("https://facebook.com/367089020688300_534474050616462", "367089020688300_534474050616462")</f>
        <v>367089020688300_534474050616462</v>
      </c>
      <c r="E2527" s="11">
        <v>870.0</v>
      </c>
      <c r="F2527" s="11">
        <v>46.0</v>
      </c>
      <c r="G2527" s="11">
        <v>1238.0</v>
      </c>
      <c r="H2527" s="9" t="s">
        <v>26</v>
      </c>
      <c r="I2527" s="9" t="s">
        <v>7851</v>
      </c>
      <c r="J2527" s="16" t="s">
        <v>10697</v>
      </c>
      <c r="K2527" s="9"/>
      <c r="L2527" s="9" t="s">
        <v>30</v>
      </c>
      <c r="M2527" s="9" t="s">
        <v>31</v>
      </c>
      <c r="N2527" s="9" t="s">
        <v>32</v>
      </c>
      <c r="O2527" s="12" t="s">
        <v>33</v>
      </c>
      <c r="P2527" s="12" t="s">
        <v>34</v>
      </c>
      <c r="Q2527" s="9"/>
      <c r="R2527" s="18"/>
      <c r="S2527" s="18"/>
      <c r="T2527" s="18"/>
      <c r="U2527" s="18"/>
      <c r="V2527" s="18"/>
      <c r="W2527" s="15"/>
      <c r="X2527" s="15"/>
    </row>
    <row r="2528">
      <c r="A2528" s="7">
        <v>2527.0</v>
      </c>
      <c r="B2528" s="8" t="s">
        <v>10698</v>
      </c>
      <c r="C2528" s="9" t="s">
        <v>10699</v>
      </c>
      <c r="D2528" s="10" t="str">
        <f>HYPERLINK("https://facebook.com/367089020688300_534729623924238", "367089020688300_534729623924238")</f>
        <v>367089020688300_534729623924238</v>
      </c>
      <c r="E2528" s="11">
        <v>128.0</v>
      </c>
      <c r="F2528" s="11">
        <v>3.0</v>
      </c>
      <c r="G2528" s="11">
        <v>157.0</v>
      </c>
      <c r="H2528" s="9" t="s">
        <v>26</v>
      </c>
      <c r="I2528" s="9" t="s">
        <v>5294</v>
      </c>
      <c r="J2528" s="16" t="s">
        <v>10700</v>
      </c>
      <c r="K2528" s="9"/>
      <c r="L2528" s="9" t="s">
        <v>30</v>
      </c>
      <c r="M2528" s="9" t="s">
        <v>31</v>
      </c>
      <c r="N2528" s="9" t="s">
        <v>32</v>
      </c>
      <c r="O2528" s="12" t="s">
        <v>33</v>
      </c>
      <c r="P2528" s="12" t="s">
        <v>34</v>
      </c>
      <c r="Q2528" s="9"/>
      <c r="R2528" s="18"/>
      <c r="S2528" s="18"/>
      <c r="T2528" s="18"/>
      <c r="U2528" s="18"/>
      <c r="V2528" s="18"/>
      <c r="W2528" s="15"/>
      <c r="X2528" s="15"/>
    </row>
    <row r="2529">
      <c r="A2529" s="7">
        <v>2528.0</v>
      </c>
      <c r="B2529" s="8" t="s">
        <v>10701</v>
      </c>
      <c r="C2529" s="9" t="s">
        <v>10702</v>
      </c>
      <c r="D2529" s="10" t="str">
        <f>HYPERLINK("https://facebook.com/367089020688300_503205760409958", "367089020688300_503205760409958")</f>
        <v>367089020688300_503205760409958</v>
      </c>
      <c r="E2529" s="11">
        <v>915.0</v>
      </c>
      <c r="F2529" s="11">
        <v>16.0</v>
      </c>
      <c r="G2529" s="11">
        <v>391.0</v>
      </c>
      <c r="H2529" s="9" t="s">
        <v>26</v>
      </c>
      <c r="I2529" s="9" t="s">
        <v>3476</v>
      </c>
      <c r="J2529" s="9" t="s">
        <v>10703</v>
      </c>
      <c r="K2529" s="9" t="s">
        <v>2093</v>
      </c>
      <c r="L2529" s="9" t="s">
        <v>30</v>
      </c>
      <c r="M2529" s="9" t="s">
        <v>31</v>
      </c>
      <c r="N2529" s="9" t="s">
        <v>32</v>
      </c>
      <c r="O2529" s="12" t="s">
        <v>33</v>
      </c>
      <c r="P2529" s="12" t="s">
        <v>34</v>
      </c>
      <c r="Q2529" s="9"/>
      <c r="R2529" s="18"/>
      <c r="S2529" s="18"/>
      <c r="T2529" s="18"/>
      <c r="U2529" s="18"/>
      <c r="V2529" s="18"/>
      <c r="W2529" s="15"/>
      <c r="X2529" s="15"/>
    </row>
    <row r="2530">
      <c r="A2530" s="7">
        <v>2529.0</v>
      </c>
      <c r="B2530" s="8" t="s">
        <v>10704</v>
      </c>
      <c r="C2530" s="9" t="s">
        <v>10705</v>
      </c>
      <c r="D2530" s="10" t="str">
        <f>HYPERLINK("https://facebook.com/367089020688300_432295867500948", "367089020688300_432295867500948")</f>
        <v>367089020688300_432295867500948</v>
      </c>
      <c r="E2530" s="11">
        <v>1251.0</v>
      </c>
      <c r="F2530" s="11">
        <v>29.0</v>
      </c>
      <c r="G2530" s="11">
        <v>153.0</v>
      </c>
      <c r="H2530" s="9" t="s">
        <v>26</v>
      </c>
      <c r="I2530" s="9" t="s">
        <v>10706</v>
      </c>
      <c r="J2530" s="9" t="s">
        <v>10707</v>
      </c>
      <c r="K2530" s="9" t="s">
        <v>1214</v>
      </c>
      <c r="L2530" s="9" t="s">
        <v>30</v>
      </c>
      <c r="M2530" s="9" t="s">
        <v>31</v>
      </c>
      <c r="N2530" s="9" t="s">
        <v>32</v>
      </c>
      <c r="O2530" s="12" t="s">
        <v>33</v>
      </c>
      <c r="P2530" s="12" t="s">
        <v>34</v>
      </c>
      <c r="Q2530" s="9"/>
      <c r="R2530" s="18"/>
      <c r="S2530" s="18"/>
      <c r="T2530" s="18"/>
      <c r="U2530" s="18"/>
      <c r="V2530" s="18"/>
      <c r="W2530" s="15"/>
      <c r="X2530" s="15"/>
    </row>
    <row r="2531">
      <c r="A2531" s="7">
        <v>2530.0</v>
      </c>
      <c r="B2531" s="8" t="s">
        <v>10708</v>
      </c>
      <c r="C2531" s="9" t="s">
        <v>10709</v>
      </c>
      <c r="D2531" s="10" t="str">
        <f>HYPERLINK("https://facebook.com/367089020688300_464514114279123", "367089020688300_464514114279123")</f>
        <v>367089020688300_464514114279123</v>
      </c>
      <c r="E2531" s="11">
        <v>29.0</v>
      </c>
      <c r="F2531" s="11">
        <v>1.0</v>
      </c>
      <c r="G2531" s="11">
        <v>61.0</v>
      </c>
      <c r="H2531" s="9" t="s">
        <v>26</v>
      </c>
      <c r="I2531" s="9" t="s">
        <v>10710</v>
      </c>
      <c r="J2531" s="9" t="s">
        <v>10711</v>
      </c>
      <c r="K2531" s="9" t="s">
        <v>10712</v>
      </c>
      <c r="L2531" s="9" t="s">
        <v>30</v>
      </c>
      <c r="M2531" s="9" t="s">
        <v>31</v>
      </c>
      <c r="N2531" s="9" t="s">
        <v>32</v>
      </c>
      <c r="O2531" s="12" t="s">
        <v>33</v>
      </c>
      <c r="P2531" s="12" t="s">
        <v>34</v>
      </c>
      <c r="Q2531" s="9"/>
      <c r="R2531" s="18"/>
      <c r="S2531" s="18"/>
      <c r="T2531" s="18"/>
      <c r="U2531" s="18"/>
      <c r="V2531" s="18"/>
      <c r="W2531" s="15"/>
      <c r="X2531" s="15"/>
    </row>
    <row r="2532">
      <c r="A2532" s="7">
        <v>2531.0</v>
      </c>
      <c r="B2532" s="8" t="s">
        <v>10713</v>
      </c>
      <c r="C2532" s="9" t="s">
        <v>10714</v>
      </c>
      <c r="D2532" s="10" t="str">
        <f>HYPERLINK("https://facebook.com/367089020688300_481425655921302", "367089020688300_481425655921302")</f>
        <v>367089020688300_481425655921302</v>
      </c>
      <c r="E2532" s="11">
        <v>276.0</v>
      </c>
      <c r="F2532" s="11">
        <v>19.0</v>
      </c>
      <c r="G2532" s="11">
        <v>272.0</v>
      </c>
      <c r="H2532" s="9" t="s">
        <v>26</v>
      </c>
      <c r="I2532" s="9" t="s">
        <v>10715</v>
      </c>
      <c r="J2532" s="9" t="s">
        <v>10716</v>
      </c>
      <c r="K2532" s="9" t="s">
        <v>219</v>
      </c>
      <c r="L2532" s="9" t="s">
        <v>30</v>
      </c>
      <c r="M2532" s="9" t="s">
        <v>31</v>
      </c>
      <c r="N2532" s="9" t="s">
        <v>32</v>
      </c>
      <c r="O2532" s="12" t="s">
        <v>33</v>
      </c>
      <c r="P2532" s="12" t="s">
        <v>34</v>
      </c>
      <c r="Q2532" s="9"/>
      <c r="R2532" s="18"/>
      <c r="S2532" s="18"/>
      <c r="T2532" s="18"/>
      <c r="U2532" s="18"/>
      <c r="V2532" s="18"/>
      <c r="W2532" s="15"/>
      <c r="X2532" s="15"/>
    </row>
    <row r="2533">
      <c r="A2533" s="7">
        <v>2532.0</v>
      </c>
      <c r="B2533" s="8" t="s">
        <v>10717</v>
      </c>
      <c r="C2533" s="9" t="s">
        <v>10718</v>
      </c>
      <c r="D2533" s="10" t="str">
        <f>HYPERLINK("https://facebook.com/367089020688300_547007882696412", "367089020688300_547007882696412")</f>
        <v>367089020688300_547007882696412</v>
      </c>
      <c r="E2533" s="11">
        <v>52.0</v>
      </c>
      <c r="F2533" s="11">
        <v>0.0</v>
      </c>
      <c r="G2533" s="11">
        <v>25.0</v>
      </c>
      <c r="H2533" s="9" t="s">
        <v>26</v>
      </c>
      <c r="I2533" s="9" t="s">
        <v>10719</v>
      </c>
      <c r="J2533" s="16" t="s">
        <v>10720</v>
      </c>
      <c r="K2533" s="9"/>
      <c r="L2533" s="9" t="s">
        <v>30</v>
      </c>
      <c r="M2533" s="9" t="s">
        <v>31</v>
      </c>
      <c r="N2533" s="9" t="s">
        <v>32</v>
      </c>
      <c r="O2533" s="12" t="s">
        <v>33</v>
      </c>
      <c r="P2533" s="12" t="s">
        <v>34</v>
      </c>
      <c r="Q2533" s="9"/>
      <c r="R2533" s="18"/>
      <c r="S2533" s="18"/>
      <c r="T2533" s="18"/>
      <c r="U2533" s="18"/>
      <c r="V2533" s="18"/>
      <c r="W2533" s="15"/>
      <c r="X2533" s="15"/>
    </row>
    <row r="2534">
      <c r="A2534" s="7">
        <v>2533.0</v>
      </c>
      <c r="B2534" s="8" t="s">
        <v>10721</v>
      </c>
      <c r="C2534" s="9" t="s">
        <v>10722</v>
      </c>
      <c r="D2534" s="10" t="str">
        <f>HYPERLINK("https://facebook.com/367089020688300_558475991549601", "367089020688300_558475991549601")</f>
        <v>367089020688300_558475991549601</v>
      </c>
      <c r="E2534" s="11">
        <v>1.0</v>
      </c>
      <c r="F2534" s="11">
        <v>0.0</v>
      </c>
      <c r="G2534" s="11">
        <v>0.0</v>
      </c>
      <c r="H2534" s="9" t="s">
        <v>26</v>
      </c>
      <c r="I2534" s="9" t="s">
        <v>10723</v>
      </c>
      <c r="J2534" s="9" t="s">
        <v>10724</v>
      </c>
      <c r="K2534" s="9" t="s">
        <v>10725</v>
      </c>
      <c r="L2534" s="9" t="s">
        <v>30</v>
      </c>
      <c r="M2534" s="9" t="s">
        <v>31</v>
      </c>
      <c r="N2534" s="9" t="s">
        <v>32</v>
      </c>
      <c r="O2534" s="12" t="s">
        <v>33</v>
      </c>
      <c r="P2534" s="12" t="s">
        <v>34</v>
      </c>
      <c r="Q2534" s="9"/>
      <c r="R2534" s="18"/>
      <c r="S2534" s="18"/>
      <c r="T2534" s="18"/>
      <c r="U2534" s="18"/>
      <c r="V2534" s="18"/>
      <c r="W2534" s="15"/>
      <c r="X2534" s="15"/>
    </row>
    <row r="2535">
      <c r="A2535" s="7">
        <v>2534.0</v>
      </c>
      <c r="B2535" s="8" t="s">
        <v>10726</v>
      </c>
      <c r="C2535" s="9" t="s">
        <v>10727</v>
      </c>
      <c r="D2535" s="10" t="str">
        <f>HYPERLINK("https://facebook.com/367089020688300_549114855819048", "367089020688300_549114855819048")</f>
        <v>367089020688300_549114855819048</v>
      </c>
      <c r="E2535" s="11">
        <v>308.0</v>
      </c>
      <c r="F2535" s="11">
        <v>0.0</v>
      </c>
      <c r="G2535" s="11">
        <v>131.0</v>
      </c>
      <c r="H2535" s="9" t="s">
        <v>26</v>
      </c>
      <c r="I2535" s="9" t="s">
        <v>10728</v>
      </c>
      <c r="J2535" s="16" t="s">
        <v>10729</v>
      </c>
      <c r="K2535" s="9"/>
      <c r="L2535" s="9" t="s">
        <v>30</v>
      </c>
      <c r="M2535" s="9" t="s">
        <v>31</v>
      </c>
      <c r="N2535" s="9" t="s">
        <v>32</v>
      </c>
      <c r="O2535" s="12" t="s">
        <v>33</v>
      </c>
      <c r="P2535" s="12" t="s">
        <v>34</v>
      </c>
      <c r="Q2535" s="9"/>
      <c r="R2535" s="18"/>
      <c r="S2535" s="18"/>
      <c r="T2535" s="18"/>
      <c r="U2535" s="18"/>
      <c r="V2535" s="18"/>
      <c r="W2535" s="15"/>
      <c r="X2535" s="15"/>
    </row>
    <row r="2536">
      <c r="A2536" s="7">
        <v>2535.0</v>
      </c>
      <c r="B2536" s="8" t="s">
        <v>10730</v>
      </c>
      <c r="C2536" s="9" t="s">
        <v>10731</v>
      </c>
      <c r="D2536" s="10" t="str">
        <f>HYPERLINK("https://facebook.com/367089020688300_541828436547690", "367089020688300_541828436547690")</f>
        <v>367089020688300_541828436547690</v>
      </c>
      <c r="E2536" s="11">
        <v>92.0</v>
      </c>
      <c r="F2536" s="11">
        <v>1.0</v>
      </c>
      <c r="G2536" s="11">
        <v>38.0</v>
      </c>
      <c r="H2536" s="9" t="s">
        <v>26</v>
      </c>
      <c r="I2536" s="9" t="s">
        <v>10732</v>
      </c>
      <c r="J2536" s="16" t="s">
        <v>10733</v>
      </c>
      <c r="K2536" s="9"/>
      <c r="L2536" s="9" t="s">
        <v>30</v>
      </c>
      <c r="M2536" s="9" t="s">
        <v>31</v>
      </c>
      <c r="N2536" s="9" t="s">
        <v>32</v>
      </c>
      <c r="O2536" s="12" t="s">
        <v>33</v>
      </c>
      <c r="P2536" s="12" t="s">
        <v>34</v>
      </c>
      <c r="Q2536" s="9"/>
      <c r="R2536" s="18"/>
      <c r="S2536" s="18"/>
      <c r="T2536" s="18"/>
      <c r="U2536" s="18"/>
      <c r="V2536" s="18"/>
      <c r="W2536" s="15"/>
      <c r="X2536" s="15"/>
    </row>
    <row r="2537">
      <c r="A2537" s="7">
        <v>2536.0</v>
      </c>
      <c r="B2537" s="8" t="s">
        <v>10734</v>
      </c>
      <c r="C2537" s="9" t="s">
        <v>10735</v>
      </c>
      <c r="D2537" s="10" t="str">
        <f>HYPERLINK("https://facebook.com/367089020688300_562392251157975", "367089020688300_562392251157975")</f>
        <v>367089020688300_562392251157975</v>
      </c>
      <c r="E2537" s="11">
        <v>11.0</v>
      </c>
      <c r="F2537" s="11">
        <v>0.0</v>
      </c>
      <c r="G2537" s="11">
        <v>3.0</v>
      </c>
      <c r="H2537" s="9" t="s">
        <v>26</v>
      </c>
      <c r="I2537" s="9" t="s">
        <v>10603</v>
      </c>
      <c r="J2537" s="9" t="s">
        <v>10604</v>
      </c>
      <c r="K2537" s="9" t="s">
        <v>249</v>
      </c>
      <c r="L2537" s="9" t="s">
        <v>30</v>
      </c>
      <c r="M2537" s="9" t="s">
        <v>31</v>
      </c>
      <c r="N2537" s="9" t="s">
        <v>32</v>
      </c>
      <c r="O2537" s="12" t="s">
        <v>33</v>
      </c>
      <c r="P2537" s="12" t="s">
        <v>34</v>
      </c>
      <c r="Q2537" s="9"/>
      <c r="R2537" s="18"/>
      <c r="S2537" s="18"/>
      <c r="T2537" s="18"/>
      <c r="U2537" s="18"/>
      <c r="V2537" s="18"/>
      <c r="W2537" s="15"/>
      <c r="X2537" s="15"/>
    </row>
    <row r="2538">
      <c r="A2538" s="7">
        <v>2537.0</v>
      </c>
      <c r="B2538" s="8" t="s">
        <v>10736</v>
      </c>
      <c r="C2538" s="9" t="s">
        <v>10737</v>
      </c>
      <c r="D2538" s="10" t="str">
        <f>HYPERLINK("https://facebook.com/367089020688300_530082591055608", "367089020688300_530082591055608")</f>
        <v>367089020688300_530082591055608</v>
      </c>
      <c r="E2538" s="11">
        <v>133.0</v>
      </c>
      <c r="F2538" s="11">
        <v>7.0</v>
      </c>
      <c r="G2538" s="11">
        <v>116.0</v>
      </c>
      <c r="H2538" s="9" t="s">
        <v>26</v>
      </c>
      <c r="I2538" s="9" t="s">
        <v>10738</v>
      </c>
      <c r="J2538" s="9" t="s">
        <v>10739</v>
      </c>
      <c r="K2538" s="9" t="s">
        <v>1690</v>
      </c>
      <c r="L2538" s="9" t="s">
        <v>30</v>
      </c>
      <c r="M2538" s="9" t="s">
        <v>31</v>
      </c>
      <c r="N2538" s="9" t="s">
        <v>32</v>
      </c>
      <c r="O2538" s="12" t="s">
        <v>33</v>
      </c>
      <c r="P2538" s="12" t="s">
        <v>34</v>
      </c>
      <c r="Q2538" s="9"/>
      <c r="R2538" s="18"/>
      <c r="S2538" s="18"/>
      <c r="T2538" s="18"/>
      <c r="U2538" s="18"/>
      <c r="V2538" s="18"/>
      <c r="W2538" s="15"/>
      <c r="X2538" s="15"/>
    </row>
    <row r="2539">
      <c r="A2539" s="7">
        <v>2538.0</v>
      </c>
      <c r="B2539" s="8" t="s">
        <v>10740</v>
      </c>
      <c r="C2539" s="9" t="s">
        <v>10741</v>
      </c>
      <c r="D2539" s="10" t="str">
        <f>HYPERLINK("https://facebook.com/367089020688300_437368936993641", "367089020688300_437368936993641")</f>
        <v>367089020688300_437368936993641</v>
      </c>
      <c r="E2539" s="11">
        <v>602.0</v>
      </c>
      <c r="F2539" s="11">
        <v>30.0</v>
      </c>
      <c r="G2539" s="11">
        <v>873.0</v>
      </c>
      <c r="H2539" s="9" t="s">
        <v>26</v>
      </c>
      <c r="I2539" s="9" t="s">
        <v>10742</v>
      </c>
      <c r="J2539" s="9" t="s">
        <v>10743</v>
      </c>
      <c r="K2539" s="9" t="s">
        <v>10744</v>
      </c>
      <c r="L2539" s="9" t="s">
        <v>30</v>
      </c>
      <c r="M2539" s="9" t="s">
        <v>31</v>
      </c>
      <c r="N2539" s="9" t="s">
        <v>32</v>
      </c>
      <c r="O2539" s="12" t="s">
        <v>33</v>
      </c>
      <c r="P2539" s="12" t="s">
        <v>34</v>
      </c>
      <c r="Q2539" s="9"/>
      <c r="R2539" s="18"/>
      <c r="S2539" s="18"/>
      <c r="T2539" s="18"/>
      <c r="U2539" s="18"/>
      <c r="V2539" s="18"/>
      <c r="W2539" s="15"/>
      <c r="X2539" s="15"/>
    </row>
    <row r="2540">
      <c r="A2540" s="7">
        <v>2539.0</v>
      </c>
      <c r="B2540" s="8" t="s">
        <v>10745</v>
      </c>
      <c r="C2540" s="9" t="s">
        <v>10746</v>
      </c>
      <c r="D2540" s="10" t="str">
        <f>HYPERLINK("https://facebook.com/367089020688300_533471747383359", "367089020688300_533471747383359")</f>
        <v>367089020688300_533471747383359</v>
      </c>
      <c r="E2540" s="11">
        <v>219.0</v>
      </c>
      <c r="F2540" s="11">
        <v>4.0</v>
      </c>
      <c r="G2540" s="11">
        <v>77.0</v>
      </c>
      <c r="H2540" s="9" t="s">
        <v>26</v>
      </c>
      <c r="I2540" s="9" t="s">
        <v>10747</v>
      </c>
      <c r="J2540" s="16" t="s">
        <v>10748</v>
      </c>
      <c r="K2540" s="9"/>
      <c r="L2540" s="9" t="s">
        <v>30</v>
      </c>
      <c r="M2540" s="9" t="s">
        <v>31</v>
      </c>
      <c r="N2540" s="9" t="s">
        <v>32</v>
      </c>
      <c r="O2540" s="12" t="s">
        <v>33</v>
      </c>
      <c r="P2540" s="12" t="s">
        <v>34</v>
      </c>
      <c r="Q2540" s="9"/>
      <c r="R2540" s="18"/>
      <c r="S2540" s="18"/>
      <c r="T2540" s="18"/>
      <c r="U2540" s="18"/>
      <c r="V2540" s="18"/>
      <c r="W2540" s="15"/>
      <c r="X2540" s="15"/>
    </row>
    <row r="2541">
      <c r="A2541" s="7">
        <v>2540.0</v>
      </c>
      <c r="B2541" s="8" t="s">
        <v>10749</v>
      </c>
      <c r="C2541" s="9" t="s">
        <v>10750</v>
      </c>
      <c r="D2541" s="10" t="str">
        <f>HYPERLINK("https://facebook.com/367089020688300_410675142996354", "367089020688300_410675142996354")</f>
        <v>367089020688300_410675142996354</v>
      </c>
      <c r="E2541" s="11">
        <v>262.0</v>
      </c>
      <c r="F2541" s="11">
        <v>21.0</v>
      </c>
      <c r="G2541" s="11">
        <v>489.0</v>
      </c>
      <c r="H2541" s="9" t="s">
        <v>26</v>
      </c>
      <c r="I2541" s="9" t="s">
        <v>10751</v>
      </c>
      <c r="J2541" s="9" t="s">
        <v>10752</v>
      </c>
      <c r="K2541" s="9" t="s">
        <v>10753</v>
      </c>
      <c r="L2541" s="9" t="s">
        <v>30</v>
      </c>
      <c r="M2541" s="9" t="s">
        <v>31</v>
      </c>
      <c r="N2541" s="9" t="s">
        <v>32</v>
      </c>
      <c r="O2541" s="12" t="s">
        <v>33</v>
      </c>
      <c r="P2541" s="12" t="s">
        <v>34</v>
      </c>
      <c r="Q2541" s="9"/>
      <c r="R2541" s="18"/>
      <c r="S2541" s="18"/>
      <c r="T2541" s="18"/>
      <c r="U2541" s="18"/>
      <c r="V2541" s="18"/>
      <c r="W2541" s="15"/>
      <c r="X2541" s="15"/>
    </row>
    <row r="2542">
      <c r="A2542" s="7">
        <v>2541.0</v>
      </c>
      <c r="B2542" s="8" t="s">
        <v>10754</v>
      </c>
      <c r="C2542" s="9" t="s">
        <v>10755</v>
      </c>
      <c r="D2542" s="10" t="str">
        <f>HYPERLINK("https://facebook.com/367089020688300_474419509955250", "367089020688300_474419509955250")</f>
        <v>367089020688300_474419509955250</v>
      </c>
      <c r="E2542" s="11">
        <v>57.0</v>
      </c>
      <c r="F2542" s="11">
        <v>1.0</v>
      </c>
      <c r="G2542" s="11">
        <v>42.0</v>
      </c>
      <c r="H2542" s="9" t="s">
        <v>26</v>
      </c>
      <c r="I2542" s="9" t="s">
        <v>10756</v>
      </c>
      <c r="J2542" s="9" t="s">
        <v>10757</v>
      </c>
      <c r="K2542" s="9" t="s">
        <v>10758</v>
      </c>
      <c r="L2542" s="9" t="s">
        <v>30</v>
      </c>
      <c r="M2542" s="9" t="s">
        <v>31</v>
      </c>
      <c r="N2542" s="9" t="s">
        <v>32</v>
      </c>
      <c r="O2542" s="12" t="s">
        <v>33</v>
      </c>
      <c r="P2542" s="12" t="s">
        <v>34</v>
      </c>
      <c r="Q2542" s="9"/>
      <c r="R2542" s="18"/>
      <c r="S2542" s="18"/>
      <c r="T2542" s="18"/>
      <c r="U2542" s="18"/>
      <c r="V2542" s="18"/>
      <c r="W2542" s="15"/>
      <c r="X2542" s="15"/>
    </row>
    <row r="2543">
      <c r="A2543" s="7">
        <v>2542.0</v>
      </c>
      <c r="B2543" s="8" t="s">
        <v>10759</v>
      </c>
      <c r="C2543" s="9" t="s">
        <v>10760</v>
      </c>
      <c r="D2543" s="10" t="str">
        <f>HYPERLINK("https://facebook.com/367089020688300_509764063087461", "367089020688300_509764063087461")</f>
        <v>367089020688300_509764063087461</v>
      </c>
      <c r="E2543" s="11">
        <v>140.0</v>
      </c>
      <c r="F2543" s="11">
        <v>4.0</v>
      </c>
      <c r="G2543" s="11">
        <v>201.0</v>
      </c>
      <c r="H2543" s="9" t="s">
        <v>26</v>
      </c>
      <c r="I2543" s="9" t="s">
        <v>3400</v>
      </c>
      <c r="J2543" s="9" t="s">
        <v>10761</v>
      </c>
      <c r="K2543" s="9" t="s">
        <v>10762</v>
      </c>
      <c r="L2543" s="9" t="s">
        <v>30</v>
      </c>
      <c r="M2543" s="9" t="s">
        <v>31</v>
      </c>
      <c r="N2543" s="9" t="s">
        <v>32</v>
      </c>
      <c r="O2543" s="12" t="s">
        <v>33</v>
      </c>
      <c r="P2543" s="12" t="s">
        <v>34</v>
      </c>
      <c r="Q2543" s="9"/>
      <c r="R2543" s="18"/>
      <c r="S2543" s="18"/>
      <c r="T2543" s="18"/>
      <c r="U2543" s="18"/>
      <c r="V2543" s="18"/>
      <c r="W2543" s="15"/>
      <c r="X2543" s="15"/>
    </row>
    <row r="2544">
      <c r="A2544" s="7">
        <v>2543.0</v>
      </c>
      <c r="B2544" s="8" t="s">
        <v>10763</v>
      </c>
      <c r="C2544" s="9" t="s">
        <v>10764</v>
      </c>
      <c r="D2544" s="10" t="str">
        <f>HYPERLINK("https://facebook.com/367089020688300_532642994132901", "367089020688300_532642994132901")</f>
        <v>367089020688300_532642994132901</v>
      </c>
      <c r="E2544" s="11">
        <v>164.0</v>
      </c>
      <c r="F2544" s="11">
        <v>1.0</v>
      </c>
      <c r="G2544" s="11">
        <v>226.0</v>
      </c>
      <c r="H2544" s="9" t="s">
        <v>26</v>
      </c>
      <c r="I2544" s="9" t="s">
        <v>10765</v>
      </c>
      <c r="J2544" s="16" t="s">
        <v>10766</v>
      </c>
      <c r="K2544" s="9"/>
      <c r="L2544" s="9" t="s">
        <v>30</v>
      </c>
      <c r="M2544" s="9" t="s">
        <v>31</v>
      </c>
      <c r="N2544" s="9" t="s">
        <v>32</v>
      </c>
      <c r="O2544" s="12" t="s">
        <v>33</v>
      </c>
      <c r="P2544" s="12" t="s">
        <v>34</v>
      </c>
      <c r="Q2544" s="9"/>
      <c r="R2544" s="18"/>
      <c r="S2544" s="18"/>
      <c r="T2544" s="18"/>
      <c r="U2544" s="18"/>
      <c r="V2544" s="18"/>
      <c r="W2544" s="15"/>
      <c r="X2544" s="15"/>
    </row>
    <row r="2545">
      <c r="A2545" s="7">
        <v>2544.0</v>
      </c>
      <c r="B2545" s="8" t="s">
        <v>10767</v>
      </c>
      <c r="C2545" s="9" t="s">
        <v>10768</v>
      </c>
      <c r="D2545" s="10" t="str">
        <f>HYPERLINK("https://facebook.com/367089020688300_543427076387826", "367089020688300_543427076387826")</f>
        <v>367089020688300_543427076387826</v>
      </c>
      <c r="E2545" s="11">
        <v>398.0</v>
      </c>
      <c r="F2545" s="11">
        <v>3.0</v>
      </c>
      <c r="G2545" s="11">
        <v>314.0</v>
      </c>
      <c r="H2545" s="9" t="s">
        <v>26</v>
      </c>
      <c r="I2545" s="9" t="s">
        <v>5043</v>
      </c>
      <c r="J2545" s="16" t="s">
        <v>10769</v>
      </c>
      <c r="K2545" s="9"/>
      <c r="L2545" s="9" t="s">
        <v>30</v>
      </c>
      <c r="M2545" s="9" t="s">
        <v>31</v>
      </c>
      <c r="N2545" s="9" t="s">
        <v>32</v>
      </c>
      <c r="O2545" s="12" t="s">
        <v>33</v>
      </c>
      <c r="P2545" s="12" t="s">
        <v>34</v>
      </c>
      <c r="Q2545" s="9"/>
      <c r="R2545" s="18"/>
      <c r="S2545" s="18"/>
      <c r="T2545" s="18"/>
      <c r="U2545" s="18"/>
      <c r="V2545" s="18"/>
      <c r="W2545" s="15"/>
      <c r="X2545" s="15"/>
    </row>
    <row r="2546">
      <c r="A2546" s="7">
        <v>2545.0</v>
      </c>
      <c r="B2546" s="8" t="s">
        <v>10770</v>
      </c>
      <c r="C2546" s="9" t="s">
        <v>10771</v>
      </c>
      <c r="D2546" s="10" t="str">
        <f>HYPERLINK("https://facebook.com/367089020688300_539988926731641", "367089020688300_539988926731641")</f>
        <v>367089020688300_539988926731641</v>
      </c>
      <c r="E2546" s="11">
        <v>21.0</v>
      </c>
      <c r="F2546" s="11">
        <v>0.0</v>
      </c>
      <c r="G2546" s="11">
        <v>25.0</v>
      </c>
      <c r="H2546" s="9" t="s">
        <v>26</v>
      </c>
      <c r="I2546" s="9" t="s">
        <v>10772</v>
      </c>
      <c r="J2546" s="9" t="s">
        <v>10773</v>
      </c>
      <c r="K2546" s="9" t="s">
        <v>2556</v>
      </c>
      <c r="L2546" s="9" t="s">
        <v>30</v>
      </c>
      <c r="M2546" s="9" t="s">
        <v>31</v>
      </c>
      <c r="N2546" s="9" t="s">
        <v>32</v>
      </c>
      <c r="O2546" s="12" t="s">
        <v>33</v>
      </c>
      <c r="P2546" s="12" t="s">
        <v>34</v>
      </c>
      <c r="Q2546" s="9"/>
      <c r="R2546" s="18"/>
      <c r="S2546" s="18"/>
      <c r="T2546" s="18"/>
      <c r="U2546" s="18"/>
      <c r="V2546" s="18"/>
      <c r="W2546" s="15"/>
      <c r="X2546" s="15"/>
    </row>
    <row r="2547">
      <c r="A2547" s="7">
        <v>2546.0</v>
      </c>
      <c r="B2547" s="8" t="s">
        <v>10774</v>
      </c>
      <c r="C2547" s="9" t="s">
        <v>10775</v>
      </c>
      <c r="D2547" s="10" t="str">
        <f>HYPERLINK("https://facebook.com/367089020688300_545994729464394", "367089020688300_545994729464394")</f>
        <v>367089020688300_545994729464394</v>
      </c>
      <c r="E2547" s="11">
        <v>6.0</v>
      </c>
      <c r="F2547" s="11">
        <v>0.0</v>
      </c>
      <c r="G2547" s="11">
        <v>19.0</v>
      </c>
      <c r="H2547" s="9" t="s">
        <v>26</v>
      </c>
      <c r="I2547" s="9" t="s">
        <v>10776</v>
      </c>
      <c r="J2547" s="16" t="s">
        <v>10777</v>
      </c>
      <c r="K2547" s="9"/>
      <c r="L2547" s="9" t="s">
        <v>30</v>
      </c>
      <c r="M2547" s="9" t="s">
        <v>31</v>
      </c>
      <c r="N2547" s="9" t="s">
        <v>32</v>
      </c>
      <c r="O2547" s="12" t="s">
        <v>33</v>
      </c>
      <c r="P2547" s="12" t="s">
        <v>34</v>
      </c>
      <c r="Q2547" s="9"/>
      <c r="R2547" s="18"/>
      <c r="S2547" s="18"/>
      <c r="T2547" s="18"/>
      <c r="U2547" s="18"/>
      <c r="V2547" s="18"/>
      <c r="W2547" s="15"/>
      <c r="X2547" s="15"/>
    </row>
    <row r="2548">
      <c r="A2548" s="7">
        <v>2547.0</v>
      </c>
      <c r="B2548" s="8" t="s">
        <v>10778</v>
      </c>
      <c r="C2548" s="9" t="s">
        <v>10779</v>
      </c>
      <c r="D2548" s="10" t="str">
        <f>HYPERLINK("https://facebook.com/367089020688300_540180610045806", "367089020688300_540180610045806")</f>
        <v>367089020688300_540180610045806</v>
      </c>
      <c r="E2548" s="11">
        <v>4.0</v>
      </c>
      <c r="F2548" s="11">
        <v>0.0</v>
      </c>
      <c r="G2548" s="11">
        <v>2.0</v>
      </c>
      <c r="H2548" s="9" t="s">
        <v>26</v>
      </c>
      <c r="I2548" s="9" t="s">
        <v>10780</v>
      </c>
      <c r="J2548" s="16" t="s">
        <v>10781</v>
      </c>
      <c r="K2548" s="9"/>
      <c r="L2548" s="9" t="s">
        <v>30</v>
      </c>
      <c r="M2548" s="9" t="s">
        <v>31</v>
      </c>
      <c r="N2548" s="9" t="s">
        <v>32</v>
      </c>
      <c r="O2548" s="12" t="s">
        <v>33</v>
      </c>
      <c r="P2548" s="12" t="s">
        <v>34</v>
      </c>
      <c r="Q2548" s="9"/>
      <c r="R2548" s="18"/>
      <c r="S2548" s="18"/>
      <c r="T2548" s="18"/>
      <c r="U2548" s="18"/>
      <c r="V2548" s="18"/>
      <c r="W2548" s="15"/>
      <c r="X2548" s="15"/>
    </row>
    <row r="2549">
      <c r="A2549" s="7">
        <v>2548.0</v>
      </c>
      <c r="B2549" s="8" t="s">
        <v>10782</v>
      </c>
      <c r="C2549" s="9" t="s">
        <v>10783</v>
      </c>
      <c r="D2549" s="10" t="str">
        <f>HYPERLINK("https://facebook.com/367089020688300_541865316544002", "367089020688300_541865316544002")</f>
        <v>367089020688300_541865316544002</v>
      </c>
      <c r="E2549" s="11">
        <v>5.0</v>
      </c>
      <c r="F2549" s="11">
        <v>0.0</v>
      </c>
      <c r="G2549" s="11">
        <v>4.0</v>
      </c>
      <c r="H2549" s="9" t="s">
        <v>26</v>
      </c>
      <c r="I2549" s="9" t="s">
        <v>10784</v>
      </c>
      <c r="J2549" s="16" t="s">
        <v>10785</v>
      </c>
      <c r="K2549" s="9"/>
      <c r="L2549" s="9" t="s">
        <v>30</v>
      </c>
      <c r="M2549" s="9" t="s">
        <v>31</v>
      </c>
      <c r="N2549" s="9" t="s">
        <v>32</v>
      </c>
      <c r="O2549" s="12" t="s">
        <v>33</v>
      </c>
      <c r="P2549" s="12" t="s">
        <v>34</v>
      </c>
      <c r="Q2549" s="9"/>
      <c r="R2549" s="18"/>
      <c r="S2549" s="18"/>
      <c r="T2549" s="18"/>
      <c r="U2549" s="18"/>
      <c r="V2549" s="18"/>
      <c r="W2549" s="15"/>
      <c r="X2549" s="15"/>
    </row>
    <row r="2550">
      <c r="A2550" s="7">
        <v>2549.0</v>
      </c>
      <c r="B2550" s="8" t="s">
        <v>10786</v>
      </c>
      <c r="C2550" s="9" t="s">
        <v>10787</v>
      </c>
      <c r="D2550" s="10" t="str">
        <f>HYPERLINK("https://facebook.com/367089020688300_527089301354937", "367089020688300_527089301354937")</f>
        <v>367089020688300_527089301354937</v>
      </c>
      <c r="E2550" s="11">
        <v>869.0</v>
      </c>
      <c r="F2550" s="11">
        <v>14.0</v>
      </c>
      <c r="G2550" s="11">
        <v>362.0</v>
      </c>
      <c r="H2550" s="9" t="s">
        <v>26</v>
      </c>
      <c r="I2550" s="9" t="s">
        <v>10788</v>
      </c>
      <c r="J2550" s="9" t="s">
        <v>10789</v>
      </c>
      <c r="K2550" s="9" t="s">
        <v>10790</v>
      </c>
      <c r="L2550" s="9" t="s">
        <v>30</v>
      </c>
      <c r="M2550" s="9" t="s">
        <v>31</v>
      </c>
      <c r="N2550" s="9" t="s">
        <v>32</v>
      </c>
      <c r="O2550" s="12" t="s">
        <v>33</v>
      </c>
      <c r="P2550" s="12" t="s">
        <v>34</v>
      </c>
      <c r="Q2550" s="9"/>
      <c r="R2550" s="18"/>
      <c r="S2550" s="18"/>
      <c r="T2550" s="18"/>
      <c r="U2550" s="18"/>
      <c r="V2550" s="18"/>
      <c r="W2550" s="15"/>
      <c r="X2550" s="15"/>
    </row>
    <row r="2551">
      <c r="A2551" s="7">
        <v>2550.0</v>
      </c>
      <c r="B2551" s="8" t="s">
        <v>10791</v>
      </c>
      <c r="C2551" s="9" t="s">
        <v>10792</v>
      </c>
      <c r="D2551" s="10" t="str">
        <f>HYPERLINK("https://facebook.com/367089020688300_542649703132230", "367089020688300_542649703132230")</f>
        <v>367089020688300_542649703132230</v>
      </c>
      <c r="E2551" s="11">
        <v>30.0</v>
      </c>
      <c r="F2551" s="11">
        <v>0.0</v>
      </c>
      <c r="G2551" s="11">
        <v>1.0</v>
      </c>
      <c r="H2551" s="9" t="s">
        <v>26</v>
      </c>
      <c r="I2551" s="9" t="s">
        <v>10793</v>
      </c>
      <c r="J2551" s="16" t="s">
        <v>10794</v>
      </c>
      <c r="K2551" s="9"/>
      <c r="L2551" s="9" t="s">
        <v>30</v>
      </c>
      <c r="M2551" s="9" t="s">
        <v>31</v>
      </c>
      <c r="N2551" s="9" t="s">
        <v>32</v>
      </c>
      <c r="O2551" s="12" t="s">
        <v>33</v>
      </c>
      <c r="P2551" s="12" t="s">
        <v>34</v>
      </c>
      <c r="Q2551" s="9"/>
      <c r="R2551" s="18"/>
      <c r="S2551" s="18"/>
      <c r="T2551" s="18"/>
      <c r="U2551" s="18"/>
      <c r="V2551" s="18"/>
      <c r="W2551" s="15"/>
      <c r="X2551" s="15"/>
    </row>
    <row r="2552">
      <c r="A2552" s="7">
        <v>2551.0</v>
      </c>
      <c r="B2552" s="8" t="s">
        <v>10795</v>
      </c>
      <c r="C2552" s="9" t="s">
        <v>10796</v>
      </c>
      <c r="D2552" s="10" t="str">
        <f>HYPERLINK("https://facebook.com/367089020688300_422198158510719", "367089020688300_422198158510719")</f>
        <v>367089020688300_422198158510719</v>
      </c>
      <c r="E2552" s="11">
        <v>931.0</v>
      </c>
      <c r="F2552" s="11">
        <v>13.0</v>
      </c>
      <c r="G2552" s="11">
        <v>634.0</v>
      </c>
      <c r="H2552" s="9" t="s">
        <v>26</v>
      </c>
      <c r="I2552" s="9" t="s">
        <v>10797</v>
      </c>
      <c r="J2552" s="9" t="s">
        <v>10798</v>
      </c>
      <c r="K2552" s="9" t="s">
        <v>10799</v>
      </c>
      <c r="L2552" s="9" t="s">
        <v>30</v>
      </c>
      <c r="M2552" s="9" t="s">
        <v>31</v>
      </c>
      <c r="N2552" s="9" t="s">
        <v>32</v>
      </c>
      <c r="O2552" s="12" t="s">
        <v>33</v>
      </c>
      <c r="P2552" s="12" t="s">
        <v>34</v>
      </c>
      <c r="Q2552" s="9"/>
      <c r="R2552" s="18"/>
      <c r="S2552" s="18"/>
      <c r="T2552" s="18"/>
      <c r="U2552" s="18"/>
      <c r="V2552" s="18"/>
      <c r="W2552" s="15"/>
      <c r="X2552" s="15"/>
    </row>
    <row r="2553">
      <c r="A2553" s="7">
        <v>2552.0</v>
      </c>
      <c r="B2553" s="21" t="s">
        <v>10800</v>
      </c>
      <c r="C2553" s="21" t="s">
        <v>10801</v>
      </c>
      <c r="D2553" s="22" t="str">
        <f>HYPERLINK("https://facebook.com/367089020688300_462394507824417", "367089020688300_462394507824417")</f>
        <v>367089020688300_462394507824417</v>
      </c>
      <c r="E2553" s="23">
        <v>794.0</v>
      </c>
      <c r="F2553" s="23">
        <v>5.0</v>
      </c>
      <c r="G2553" s="23">
        <v>411.0</v>
      </c>
      <c r="H2553" s="21" t="s">
        <v>26</v>
      </c>
      <c r="I2553" s="21" t="s">
        <v>10802</v>
      </c>
      <c r="J2553" s="21" t="s">
        <v>10803</v>
      </c>
      <c r="K2553" s="21" t="s">
        <v>10804</v>
      </c>
      <c r="L2553" s="21" t="s">
        <v>30</v>
      </c>
      <c r="M2553" s="21" t="s">
        <v>31</v>
      </c>
      <c r="N2553" s="21" t="s">
        <v>32</v>
      </c>
      <c r="O2553" s="21" t="s">
        <v>33</v>
      </c>
      <c r="P2553" s="12" t="s">
        <v>34</v>
      </c>
      <c r="Q2553" s="21"/>
      <c r="R2553" s="24"/>
      <c r="S2553" s="24"/>
      <c r="T2553" s="24"/>
      <c r="U2553" s="24"/>
      <c r="V2553" s="24"/>
      <c r="W2553" s="13" t="s">
        <v>242</v>
      </c>
      <c r="X2553" s="24"/>
    </row>
    <row r="2554">
      <c r="A2554" s="7">
        <v>2553.0</v>
      </c>
      <c r="B2554" s="8" t="s">
        <v>10805</v>
      </c>
      <c r="C2554" s="9" t="s">
        <v>10806</v>
      </c>
      <c r="D2554" s="10" t="str">
        <f>HYPERLINK("https://facebook.com/367089020688300_548139245916609", "367089020688300_548139245916609")</f>
        <v>367089020688300_548139245916609</v>
      </c>
      <c r="E2554" s="11">
        <v>7.0</v>
      </c>
      <c r="F2554" s="11">
        <v>0.0</v>
      </c>
      <c r="G2554" s="11">
        <v>4.0</v>
      </c>
      <c r="H2554" s="9" t="s">
        <v>26</v>
      </c>
      <c r="I2554" s="9" t="s">
        <v>10807</v>
      </c>
      <c r="J2554" s="9" t="s">
        <v>10808</v>
      </c>
      <c r="K2554" s="9" t="s">
        <v>10809</v>
      </c>
      <c r="L2554" s="9" t="s">
        <v>30</v>
      </c>
      <c r="M2554" s="9" t="s">
        <v>31</v>
      </c>
      <c r="N2554" s="9" t="s">
        <v>32</v>
      </c>
      <c r="O2554" s="12" t="s">
        <v>33</v>
      </c>
      <c r="P2554" s="12" t="s">
        <v>34</v>
      </c>
      <c r="Q2554" s="9"/>
      <c r="R2554" s="18"/>
      <c r="S2554" s="18"/>
      <c r="T2554" s="18"/>
      <c r="U2554" s="18"/>
      <c r="V2554" s="18"/>
      <c r="W2554" s="15"/>
      <c r="X2554" s="15"/>
    </row>
    <row r="2555">
      <c r="A2555" s="7">
        <v>2554.0</v>
      </c>
      <c r="B2555" s="8" t="s">
        <v>10810</v>
      </c>
      <c r="C2555" s="9" t="s">
        <v>10811</v>
      </c>
      <c r="D2555" s="10" t="str">
        <f>HYPERLINK("https://facebook.com/367089020688300_541372393259961", "367089020688300_541372393259961")</f>
        <v>367089020688300_541372393259961</v>
      </c>
      <c r="E2555" s="11">
        <v>11.0</v>
      </c>
      <c r="F2555" s="11">
        <v>0.0</v>
      </c>
      <c r="G2555" s="11">
        <v>2.0</v>
      </c>
      <c r="H2555" s="9" t="s">
        <v>26</v>
      </c>
      <c r="I2555" s="9" t="s">
        <v>10812</v>
      </c>
      <c r="J2555" s="16" t="s">
        <v>10813</v>
      </c>
      <c r="K2555" s="9"/>
      <c r="L2555" s="9" t="s">
        <v>30</v>
      </c>
      <c r="M2555" s="9" t="s">
        <v>31</v>
      </c>
      <c r="N2555" s="9" t="s">
        <v>32</v>
      </c>
      <c r="O2555" s="12" t="s">
        <v>33</v>
      </c>
      <c r="P2555" s="12" t="s">
        <v>34</v>
      </c>
      <c r="Q2555" s="9"/>
      <c r="R2555" s="18"/>
      <c r="S2555" s="18"/>
      <c r="T2555" s="18"/>
      <c r="U2555" s="18"/>
      <c r="V2555" s="18"/>
      <c r="W2555" s="15"/>
      <c r="X2555" s="15"/>
    </row>
    <row r="2556">
      <c r="A2556" s="7">
        <v>2555.0</v>
      </c>
      <c r="B2556" s="8" t="s">
        <v>10814</v>
      </c>
      <c r="C2556" s="9" t="s">
        <v>10815</v>
      </c>
      <c r="D2556" s="10" t="str">
        <f>HYPERLINK("https://facebook.com/367089020688300_552348418829025", "367089020688300_552348418829025")</f>
        <v>367089020688300_552348418829025</v>
      </c>
      <c r="E2556" s="11">
        <v>156.0</v>
      </c>
      <c r="F2556" s="11">
        <v>2.0</v>
      </c>
      <c r="G2556" s="11">
        <v>359.0</v>
      </c>
      <c r="H2556" s="9" t="s">
        <v>26</v>
      </c>
      <c r="I2556" s="9" t="s">
        <v>10816</v>
      </c>
      <c r="J2556" s="9" t="s">
        <v>10817</v>
      </c>
      <c r="K2556" s="9" t="s">
        <v>10818</v>
      </c>
      <c r="L2556" s="9" t="s">
        <v>30</v>
      </c>
      <c r="M2556" s="9" t="s">
        <v>31</v>
      </c>
      <c r="N2556" s="9" t="s">
        <v>32</v>
      </c>
      <c r="O2556" s="12" t="s">
        <v>33</v>
      </c>
      <c r="P2556" s="12" t="s">
        <v>34</v>
      </c>
      <c r="Q2556" s="9"/>
      <c r="R2556" s="18"/>
      <c r="S2556" s="18"/>
      <c r="T2556" s="18"/>
      <c r="U2556" s="18"/>
      <c r="V2556" s="18"/>
      <c r="W2556" s="15"/>
      <c r="X2556" s="15"/>
    </row>
    <row r="2557">
      <c r="A2557" s="7">
        <v>2556.0</v>
      </c>
      <c r="B2557" s="8" t="s">
        <v>10819</v>
      </c>
      <c r="C2557" s="9" t="s">
        <v>10820</v>
      </c>
      <c r="D2557" s="10" t="str">
        <f>HYPERLINK("https://facebook.com/367089020688300_552506168813250", "367089020688300_552506168813250")</f>
        <v>367089020688300_552506168813250</v>
      </c>
      <c r="E2557" s="11">
        <v>19.0</v>
      </c>
      <c r="F2557" s="11">
        <v>0.0</v>
      </c>
      <c r="G2557" s="11">
        <v>16.0</v>
      </c>
      <c r="H2557" s="9" t="s">
        <v>26</v>
      </c>
      <c r="I2557" s="9" t="s">
        <v>5479</v>
      </c>
      <c r="J2557" s="16" t="s">
        <v>10821</v>
      </c>
      <c r="K2557" s="9"/>
      <c r="L2557" s="9" t="s">
        <v>30</v>
      </c>
      <c r="M2557" s="9" t="s">
        <v>31</v>
      </c>
      <c r="N2557" s="9" t="s">
        <v>32</v>
      </c>
      <c r="O2557" s="12" t="s">
        <v>33</v>
      </c>
      <c r="P2557" s="12" t="s">
        <v>34</v>
      </c>
      <c r="Q2557" s="9"/>
      <c r="R2557" s="18"/>
      <c r="S2557" s="18"/>
      <c r="T2557" s="18"/>
      <c r="U2557" s="18"/>
      <c r="V2557" s="18"/>
      <c r="W2557" s="15"/>
      <c r="X2557" s="15"/>
    </row>
    <row r="2558">
      <c r="A2558" s="7">
        <v>2557.0</v>
      </c>
      <c r="B2558" s="8" t="s">
        <v>10822</v>
      </c>
      <c r="C2558" s="9" t="s">
        <v>10823</v>
      </c>
      <c r="D2558" s="10" t="str">
        <f>HYPERLINK("https://facebook.com/367089020688300_544478462949354", "367089020688300_544478462949354")</f>
        <v>367089020688300_544478462949354</v>
      </c>
      <c r="E2558" s="11">
        <v>162.0</v>
      </c>
      <c r="F2558" s="11">
        <v>2.0</v>
      </c>
      <c r="G2558" s="11">
        <v>137.0</v>
      </c>
      <c r="H2558" s="9" t="s">
        <v>26</v>
      </c>
      <c r="I2558" s="9" t="s">
        <v>10824</v>
      </c>
      <c r="J2558" s="16" t="s">
        <v>10825</v>
      </c>
      <c r="K2558" s="9"/>
      <c r="L2558" s="9" t="s">
        <v>30</v>
      </c>
      <c r="M2558" s="9" t="s">
        <v>31</v>
      </c>
      <c r="N2558" s="9" t="s">
        <v>32</v>
      </c>
      <c r="O2558" s="12" t="s">
        <v>33</v>
      </c>
      <c r="P2558" s="12" t="s">
        <v>34</v>
      </c>
      <c r="Q2558" s="9"/>
      <c r="R2558" s="18"/>
      <c r="S2558" s="18"/>
      <c r="T2558" s="18"/>
      <c r="U2558" s="18"/>
      <c r="V2558" s="18"/>
      <c r="W2558" s="15"/>
      <c r="X2558" s="15"/>
    </row>
    <row r="2559">
      <c r="A2559" s="7">
        <v>2558.0</v>
      </c>
      <c r="B2559" s="8" t="s">
        <v>10826</v>
      </c>
      <c r="C2559" s="9" t="s">
        <v>10827</v>
      </c>
      <c r="D2559" s="10" t="str">
        <f>HYPERLINK("https://facebook.com/367089020688300_514608969269637", "367089020688300_514608969269637")</f>
        <v>367089020688300_514608969269637</v>
      </c>
      <c r="E2559" s="11">
        <v>91.0</v>
      </c>
      <c r="F2559" s="11">
        <v>1.0</v>
      </c>
      <c r="G2559" s="11">
        <v>156.0</v>
      </c>
      <c r="H2559" s="9" t="s">
        <v>26</v>
      </c>
      <c r="I2559" s="9" t="s">
        <v>6755</v>
      </c>
      <c r="J2559" s="9" t="s">
        <v>10828</v>
      </c>
      <c r="K2559" s="9" t="s">
        <v>51</v>
      </c>
      <c r="L2559" s="9" t="s">
        <v>30</v>
      </c>
      <c r="M2559" s="9" t="s">
        <v>31</v>
      </c>
      <c r="N2559" s="9" t="s">
        <v>32</v>
      </c>
      <c r="O2559" s="12" t="s">
        <v>33</v>
      </c>
      <c r="P2559" s="12" t="s">
        <v>34</v>
      </c>
      <c r="Q2559" s="9"/>
      <c r="R2559" s="18"/>
      <c r="S2559" s="18"/>
      <c r="T2559" s="18"/>
      <c r="U2559" s="18"/>
      <c r="V2559" s="18"/>
      <c r="W2559" s="15"/>
      <c r="X2559" s="15"/>
    </row>
    <row r="2560">
      <c r="A2560" s="7">
        <v>2559.0</v>
      </c>
      <c r="B2560" s="8" t="s">
        <v>10829</v>
      </c>
      <c r="C2560" s="9" t="s">
        <v>10830</v>
      </c>
      <c r="D2560" s="10" t="str">
        <f>HYPERLINK("https://facebook.com/367089020688300_535597340504133", "367089020688300_535597340504133")</f>
        <v>367089020688300_535597340504133</v>
      </c>
      <c r="E2560" s="11">
        <v>182.0</v>
      </c>
      <c r="F2560" s="11">
        <v>0.0</v>
      </c>
      <c r="G2560" s="11">
        <v>122.0</v>
      </c>
      <c r="H2560" s="9" t="s">
        <v>26</v>
      </c>
      <c r="I2560" s="9" t="s">
        <v>10831</v>
      </c>
      <c r="J2560" s="16" t="s">
        <v>10832</v>
      </c>
      <c r="K2560" s="9"/>
      <c r="L2560" s="9" t="s">
        <v>30</v>
      </c>
      <c r="M2560" s="9" t="s">
        <v>31</v>
      </c>
      <c r="N2560" s="9" t="s">
        <v>32</v>
      </c>
      <c r="O2560" s="12" t="s">
        <v>33</v>
      </c>
      <c r="P2560" s="12" t="s">
        <v>34</v>
      </c>
      <c r="Q2560" s="9"/>
      <c r="R2560" s="18"/>
      <c r="S2560" s="18"/>
      <c r="T2560" s="18"/>
      <c r="U2560" s="18"/>
      <c r="V2560" s="18"/>
      <c r="W2560" s="15"/>
      <c r="X2560" s="15"/>
    </row>
    <row r="2561">
      <c r="A2561" s="7">
        <v>2560.0</v>
      </c>
      <c r="B2561" s="8" t="s">
        <v>10833</v>
      </c>
      <c r="C2561" s="9" t="s">
        <v>10834</v>
      </c>
      <c r="D2561" s="10" t="str">
        <f>HYPERLINK("https://facebook.com/367089020688300_448561319207736", "367089020688300_448561319207736")</f>
        <v>367089020688300_448561319207736</v>
      </c>
      <c r="E2561" s="11">
        <v>107.0</v>
      </c>
      <c r="F2561" s="11">
        <v>1.0</v>
      </c>
      <c r="G2561" s="11">
        <v>110.0</v>
      </c>
      <c r="H2561" s="9" t="s">
        <v>26</v>
      </c>
      <c r="I2561" s="9" t="s">
        <v>10835</v>
      </c>
      <c r="J2561" s="9" t="s">
        <v>10836</v>
      </c>
      <c r="K2561" s="9" t="s">
        <v>10837</v>
      </c>
      <c r="L2561" s="9" t="s">
        <v>30</v>
      </c>
      <c r="M2561" s="9" t="s">
        <v>31</v>
      </c>
      <c r="N2561" s="9" t="s">
        <v>32</v>
      </c>
      <c r="O2561" s="12" t="s">
        <v>33</v>
      </c>
      <c r="P2561" s="12" t="s">
        <v>34</v>
      </c>
      <c r="Q2561" s="9"/>
      <c r="R2561" s="18"/>
      <c r="S2561" s="18"/>
      <c r="T2561" s="18"/>
      <c r="U2561" s="18"/>
      <c r="V2561" s="18"/>
      <c r="W2561" s="15"/>
      <c r="X2561" s="15"/>
    </row>
    <row r="2562">
      <c r="A2562" s="7">
        <v>2561.0</v>
      </c>
      <c r="B2562" s="8" t="s">
        <v>10838</v>
      </c>
      <c r="C2562" s="9" t="s">
        <v>10839</v>
      </c>
      <c r="D2562" s="10" t="str">
        <f>HYPERLINK("https://facebook.com/367089020688300_537934050270462", "367089020688300_537934050270462")</f>
        <v>367089020688300_537934050270462</v>
      </c>
      <c r="E2562" s="11">
        <v>86.0</v>
      </c>
      <c r="F2562" s="11">
        <v>1.0</v>
      </c>
      <c r="G2562" s="11">
        <v>21.0</v>
      </c>
      <c r="H2562" s="9" t="s">
        <v>26</v>
      </c>
      <c r="I2562" s="9" t="s">
        <v>10840</v>
      </c>
      <c r="J2562" s="16" t="s">
        <v>10841</v>
      </c>
      <c r="K2562" s="9"/>
      <c r="L2562" s="9" t="s">
        <v>30</v>
      </c>
      <c r="M2562" s="9" t="s">
        <v>31</v>
      </c>
      <c r="N2562" s="9" t="s">
        <v>32</v>
      </c>
      <c r="O2562" s="12" t="s">
        <v>33</v>
      </c>
      <c r="P2562" s="12" t="s">
        <v>34</v>
      </c>
      <c r="Q2562" s="9"/>
      <c r="R2562" s="18"/>
      <c r="S2562" s="18"/>
      <c r="T2562" s="18"/>
      <c r="U2562" s="18"/>
      <c r="V2562" s="18"/>
      <c r="W2562" s="15"/>
      <c r="X2562" s="15"/>
    </row>
    <row r="2563">
      <c r="A2563" s="7">
        <v>2562.0</v>
      </c>
      <c r="B2563" s="8" t="s">
        <v>10842</v>
      </c>
      <c r="C2563" s="9" t="s">
        <v>10843</v>
      </c>
      <c r="D2563" s="10" t="str">
        <f>HYPERLINK("https://facebook.com/367089020688300_525076854889515", "367089020688300_525076854889515")</f>
        <v>367089020688300_525076854889515</v>
      </c>
      <c r="E2563" s="11">
        <v>29.0</v>
      </c>
      <c r="F2563" s="11">
        <v>0.0</v>
      </c>
      <c r="G2563" s="11">
        <v>29.0</v>
      </c>
      <c r="H2563" s="9" t="s">
        <v>26</v>
      </c>
      <c r="I2563" s="9" t="s">
        <v>10844</v>
      </c>
      <c r="J2563" s="9" t="s">
        <v>10845</v>
      </c>
      <c r="K2563" s="9" t="s">
        <v>649</v>
      </c>
      <c r="L2563" s="9" t="s">
        <v>30</v>
      </c>
      <c r="M2563" s="9" t="s">
        <v>31</v>
      </c>
      <c r="N2563" s="9" t="s">
        <v>32</v>
      </c>
      <c r="O2563" s="12" t="s">
        <v>33</v>
      </c>
      <c r="P2563" s="12" t="s">
        <v>34</v>
      </c>
      <c r="Q2563" s="9"/>
      <c r="R2563" s="18"/>
      <c r="S2563" s="18"/>
      <c r="T2563" s="18"/>
      <c r="U2563" s="18"/>
      <c r="V2563" s="18"/>
      <c r="W2563" s="15"/>
      <c r="X2563" s="15"/>
    </row>
    <row r="2564">
      <c r="A2564" s="7">
        <v>2563.0</v>
      </c>
      <c r="B2564" s="8" t="s">
        <v>10846</v>
      </c>
      <c r="C2564" s="9" t="s">
        <v>10847</v>
      </c>
      <c r="D2564" s="10" t="str">
        <f>HYPERLINK("https://facebook.com/367089020688300_563403394390194", "367089020688300_563403394390194")</f>
        <v>367089020688300_563403394390194</v>
      </c>
      <c r="E2564" s="11">
        <v>14.0</v>
      </c>
      <c r="F2564" s="11">
        <v>0.0</v>
      </c>
      <c r="G2564" s="11">
        <v>8.0</v>
      </c>
      <c r="H2564" s="9" t="s">
        <v>26</v>
      </c>
      <c r="I2564" s="9" t="s">
        <v>10848</v>
      </c>
      <c r="J2564" s="9" t="s">
        <v>10849</v>
      </c>
      <c r="K2564" s="9" t="s">
        <v>10850</v>
      </c>
      <c r="L2564" s="9" t="s">
        <v>30</v>
      </c>
      <c r="M2564" s="9" t="s">
        <v>31</v>
      </c>
      <c r="N2564" s="9" t="s">
        <v>32</v>
      </c>
      <c r="O2564" s="12" t="s">
        <v>33</v>
      </c>
      <c r="P2564" s="12" t="s">
        <v>34</v>
      </c>
      <c r="Q2564" s="9"/>
      <c r="R2564" s="18"/>
      <c r="S2564" s="18"/>
      <c r="T2564" s="18"/>
      <c r="U2564" s="18"/>
      <c r="V2564" s="18"/>
      <c r="W2564" s="15"/>
      <c r="X2564" s="15"/>
    </row>
    <row r="2565">
      <c r="A2565" s="7">
        <v>2564.0</v>
      </c>
      <c r="B2565" s="8" t="s">
        <v>10851</v>
      </c>
      <c r="C2565" s="9" t="s">
        <v>10852</v>
      </c>
      <c r="D2565" s="10" t="str">
        <f>HYPERLINK("https://facebook.com/367089020688300_460550311342170", "367089020688300_460550311342170")</f>
        <v>367089020688300_460550311342170</v>
      </c>
      <c r="E2565" s="11">
        <v>373.0</v>
      </c>
      <c r="F2565" s="11">
        <v>8.0</v>
      </c>
      <c r="G2565" s="11">
        <v>310.0</v>
      </c>
      <c r="H2565" s="9" t="s">
        <v>26</v>
      </c>
      <c r="I2565" s="9" t="s">
        <v>10853</v>
      </c>
      <c r="J2565" s="9" t="s">
        <v>10854</v>
      </c>
      <c r="K2565" s="9" t="s">
        <v>10855</v>
      </c>
      <c r="L2565" s="9" t="s">
        <v>30</v>
      </c>
      <c r="M2565" s="9" t="s">
        <v>31</v>
      </c>
      <c r="N2565" s="9" t="s">
        <v>32</v>
      </c>
      <c r="O2565" s="12" t="s">
        <v>33</v>
      </c>
      <c r="P2565" s="12" t="s">
        <v>34</v>
      </c>
      <c r="Q2565" s="9"/>
      <c r="R2565" s="18"/>
      <c r="S2565" s="18"/>
      <c r="T2565" s="18"/>
      <c r="U2565" s="18"/>
      <c r="V2565" s="18"/>
      <c r="W2565" s="15"/>
      <c r="X2565" s="15"/>
    </row>
    <row r="2566">
      <c r="A2566" s="7">
        <v>2565.0</v>
      </c>
      <c r="B2566" s="8" t="s">
        <v>10856</v>
      </c>
      <c r="C2566" s="9" t="s">
        <v>10857</v>
      </c>
      <c r="D2566" s="10" t="str">
        <f>HYPERLINK("https://facebook.com/367089020688300_527339791329888", "367089020688300_527339791329888")</f>
        <v>367089020688300_527339791329888</v>
      </c>
      <c r="E2566" s="11">
        <v>57.0</v>
      </c>
      <c r="F2566" s="11">
        <v>0.0</v>
      </c>
      <c r="G2566" s="11">
        <v>29.0</v>
      </c>
      <c r="H2566" s="9" t="s">
        <v>26</v>
      </c>
      <c r="I2566" s="9" t="s">
        <v>10858</v>
      </c>
      <c r="J2566" s="16" t="s">
        <v>10859</v>
      </c>
      <c r="K2566" s="9"/>
      <c r="L2566" s="9" t="s">
        <v>30</v>
      </c>
      <c r="M2566" s="9" t="s">
        <v>31</v>
      </c>
      <c r="N2566" s="9" t="s">
        <v>32</v>
      </c>
      <c r="O2566" s="12" t="s">
        <v>33</v>
      </c>
      <c r="P2566" s="12" t="s">
        <v>34</v>
      </c>
      <c r="Q2566" s="9"/>
      <c r="R2566" s="18"/>
      <c r="S2566" s="18"/>
      <c r="T2566" s="18"/>
      <c r="U2566" s="18"/>
      <c r="V2566" s="18"/>
      <c r="W2566" s="15"/>
      <c r="X2566" s="15"/>
    </row>
    <row r="2567">
      <c r="A2567" s="7">
        <v>2566.0</v>
      </c>
      <c r="B2567" s="8" t="s">
        <v>10860</v>
      </c>
      <c r="C2567" s="9" t="s">
        <v>10861</v>
      </c>
      <c r="D2567" s="10" t="str">
        <f>HYPERLINK("https://facebook.com/367089020688300_462537324476802", "367089020688300_462537324476802")</f>
        <v>367089020688300_462537324476802</v>
      </c>
      <c r="E2567" s="11">
        <v>766.0</v>
      </c>
      <c r="F2567" s="11">
        <v>19.0</v>
      </c>
      <c r="G2567" s="11">
        <v>347.0</v>
      </c>
      <c r="H2567" s="9" t="s">
        <v>26</v>
      </c>
      <c r="I2567" s="9" t="s">
        <v>4497</v>
      </c>
      <c r="J2567" s="9" t="s">
        <v>10862</v>
      </c>
      <c r="K2567" s="9" t="s">
        <v>10863</v>
      </c>
      <c r="L2567" s="9" t="s">
        <v>30</v>
      </c>
      <c r="M2567" s="9" t="s">
        <v>31</v>
      </c>
      <c r="N2567" s="9" t="s">
        <v>32</v>
      </c>
      <c r="O2567" s="12" t="s">
        <v>33</v>
      </c>
      <c r="P2567" s="12" t="s">
        <v>34</v>
      </c>
      <c r="Q2567" s="9"/>
      <c r="R2567" s="18"/>
      <c r="S2567" s="18"/>
      <c r="T2567" s="18"/>
      <c r="U2567" s="18"/>
      <c r="V2567" s="18"/>
      <c r="W2567" s="15"/>
      <c r="X2567" s="15"/>
    </row>
    <row r="2568">
      <c r="A2568" s="7">
        <v>2567.0</v>
      </c>
      <c r="B2568" s="8" t="s">
        <v>10864</v>
      </c>
      <c r="C2568" s="9" t="s">
        <v>10865</v>
      </c>
      <c r="D2568" s="10" t="str">
        <f>HYPERLINK("https://facebook.com/367089020688300_485888072141727", "367089020688300_485888072141727")</f>
        <v>367089020688300_485888072141727</v>
      </c>
      <c r="E2568" s="11">
        <v>671.0</v>
      </c>
      <c r="F2568" s="11">
        <v>13.0</v>
      </c>
      <c r="G2568" s="11">
        <v>549.0</v>
      </c>
      <c r="H2568" s="9" t="s">
        <v>26</v>
      </c>
      <c r="I2568" s="9" t="s">
        <v>10866</v>
      </c>
      <c r="J2568" s="9" t="s">
        <v>10867</v>
      </c>
      <c r="K2568" s="9" t="s">
        <v>10868</v>
      </c>
      <c r="L2568" s="9" t="s">
        <v>30</v>
      </c>
      <c r="M2568" s="9" t="s">
        <v>31</v>
      </c>
      <c r="N2568" s="9" t="s">
        <v>32</v>
      </c>
      <c r="O2568" s="12" t="s">
        <v>33</v>
      </c>
      <c r="P2568" s="12" t="s">
        <v>34</v>
      </c>
      <c r="Q2568" s="9"/>
      <c r="R2568" s="18"/>
      <c r="S2568" s="18"/>
      <c r="T2568" s="18"/>
      <c r="U2568" s="18"/>
      <c r="V2568" s="18"/>
      <c r="W2568" s="15"/>
      <c r="X2568" s="15"/>
    </row>
    <row r="2569">
      <c r="A2569" s="7">
        <v>2568.0</v>
      </c>
      <c r="B2569" s="8" t="s">
        <v>10869</v>
      </c>
      <c r="C2569" s="9" t="s">
        <v>10870</v>
      </c>
      <c r="D2569" s="10" t="str">
        <f>HYPERLINK("https://facebook.com/367089020688300_550452005685333", "367089020688300_550452005685333")</f>
        <v>367089020688300_550452005685333</v>
      </c>
      <c r="E2569" s="11">
        <v>150.0</v>
      </c>
      <c r="F2569" s="11">
        <v>0.0</v>
      </c>
      <c r="G2569" s="11">
        <v>44.0</v>
      </c>
      <c r="H2569" s="9" t="s">
        <v>26</v>
      </c>
      <c r="I2569" s="9" t="s">
        <v>10871</v>
      </c>
      <c r="J2569" s="16" t="s">
        <v>10872</v>
      </c>
      <c r="K2569" s="9"/>
      <c r="L2569" s="9" t="s">
        <v>30</v>
      </c>
      <c r="M2569" s="9" t="s">
        <v>31</v>
      </c>
      <c r="N2569" s="9" t="s">
        <v>32</v>
      </c>
      <c r="O2569" s="12" t="s">
        <v>33</v>
      </c>
      <c r="P2569" s="12" t="s">
        <v>34</v>
      </c>
      <c r="Q2569" s="9"/>
      <c r="R2569" s="18"/>
      <c r="S2569" s="18"/>
      <c r="T2569" s="18"/>
      <c r="U2569" s="18"/>
      <c r="V2569" s="18"/>
      <c r="W2569" s="15"/>
      <c r="X2569" s="15"/>
    </row>
    <row r="2570">
      <c r="A2570" s="7">
        <v>2569.0</v>
      </c>
      <c r="B2570" s="8" t="s">
        <v>10873</v>
      </c>
      <c r="C2570" s="9" t="s">
        <v>10874</v>
      </c>
      <c r="D2570" s="10" t="str">
        <f>HYPERLINK("https://facebook.com/367089020688300_488871478510053", "367089020688300_488871478510053")</f>
        <v>367089020688300_488871478510053</v>
      </c>
      <c r="E2570" s="11">
        <v>242.0</v>
      </c>
      <c r="F2570" s="11">
        <v>10.0</v>
      </c>
      <c r="G2570" s="11">
        <v>426.0</v>
      </c>
      <c r="H2570" s="9" t="s">
        <v>26</v>
      </c>
      <c r="I2570" s="9" t="s">
        <v>10875</v>
      </c>
      <c r="J2570" s="9" t="s">
        <v>10876</v>
      </c>
      <c r="K2570" s="9" t="s">
        <v>10877</v>
      </c>
      <c r="L2570" s="9" t="s">
        <v>30</v>
      </c>
      <c r="M2570" s="9" t="s">
        <v>31</v>
      </c>
      <c r="N2570" s="9" t="s">
        <v>32</v>
      </c>
      <c r="O2570" s="12" t="s">
        <v>33</v>
      </c>
      <c r="P2570" s="12" t="s">
        <v>34</v>
      </c>
      <c r="Q2570" s="9"/>
      <c r="R2570" s="18"/>
      <c r="S2570" s="18"/>
      <c r="T2570" s="18"/>
      <c r="U2570" s="18"/>
      <c r="V2570" s="18"/>
      <c r="W2570" s="15"/>
      <c r="X2570" s="15"/>
    </row>
    <row r="2571">
      <c r="A2571" s="7">
        <v>2570.0</v>
      </c>
      <c r="B2571" s="8" t="s">
        <v>10878</v>
      </c>
      <c r="C2571" s="9" t="s">
        <v>10879</v>
      </c>
      <c r="D2571" s="10" t="str">
        <f>HYPERLINK("https://facebook.com/367089020688300_455715708492297", "367089020688300_455715708492297")</f>
        <v>367089020688300_455715708492297</v>
      </c>
      <c r="E2571" s="11">
        <v>881.0</v>
      </c>
      <c r="F2571" s="11">
        <v>25.0</v>
      </c>
      <c r="G2571" s="11">
        <v>989.0</v>
      </c>
      <c r="H2571" s="9" t="s">
        <v>26</v>
      </c>
      <c r="I2571" s="9" t="s">
        <v>10880</v>
      </c>
      <c r="J2571" s="9" t="s">
        <v>10881</v>
      </c>
      <c r="K2571" s="9" t="s">
        <v>10882</v>
      </c>
      <c r="L2571" s="9" t="s">
        <v>30</v>
      </c>
      <c r="M2571" s="9" t="s">
        <v>31</v>
      </c>
      <c r="N2571" s="9" t="s">
        <v>32</v>
      </c>
      <c r="O2571" s="12" t="s">
        <v>33</v>
      </c>
      <c r="P2571" s="12" t="s">
        <v>34</v>
      </c>
      <c r="Q2571" s="9"/>
      <c r="R2571" s="18"/>
      <c r="S2571" s="18"/>
      <c r="T2571" s="18"/>
      <c r="U2571" s="18"/>
      <c r="V2571" s="18"/>
      <c r="W2571" s="15"/>
      <c r="X2571" s="15"/>
    </row>
    <row r="2572">
      <c r="A2572" s="7">
        <v>2571.0</v>
      </c>
      <c r="B2572" s="8" t="s">
        <v>10883</v>
      </c>
      <c r="C2572" s="9" t="s">
        <v>10884</v>
      </c>
      <c r="D2572" s="10" t="str">
        <f>HYPERLINK("https://facebook.com/367089020688300_468882633842271", "367089020688300_468882633842271")</f>
        <v>367089020688300_468882633842271</v>
      </c>
      <c r="E2572" s="11">
        <v>619.0</v>
      </c>
      <c r="F2572" s="11">
        <v>11.0</v>
      </c>
      <c r="G2572" s="11">
        <v>330.0</v>
      </c>
      <c r="H2572" s="9" t="s">
        <v>26</v>
      </c>
      <c r="I2572" s="9" t="s">
        <v>10885</v>
      </c>
      <c r="J2572" s="16" t="s">
        <v>10886</v>
      </c>
      <c r="K2572" s="9"/>
      <c r="L2572" s="9" t="s">
        <v>30</v>
      </c>
      <c r="M2572" s="9" t="s">
        <v>31</v>
      </c>
      <c r="N2572" s="9" t="s">
        <v>32</v>
      </c>
      <c r="O2572" s="12" t="s">
        <v>33</v>
      </c>
      <c r="P2572" s="12" t="s">
        <v>34</v>
      </c>
      <c r="Q2572" s="9"/>
      <c r="R2572" s="18"/>
      <c r="S2572" s="18"/>
      <c r="T2572" s="18"/>
      <c r="U2572" s="18"/>
      <c r="V2572" s="18"/>
      <c r="W2572" s="15"/>
      <c r="X2572" s="15"/>
    </row>
    <row r="2573">
      <c r="A2573" s="7">
        <v>2572.0</v>
      </c>
      <c r="B2573" s="8" t="s">
        <v>10887</v>
      </c>
      <c r="C2573" s="9" t="s">
        <v>10888</v>
      </c>
      <c r="D2573" s="10" t="str">
        <f>HYPERLINK("https://facebook.com/367089020688300_552053902191810", "367089020688300_552053902191810")</f>
        <v>367089020688300_552053902191810</v>
      </c>
      <c r="E2573" s="11">
        <v>33.0</v>
      </c>
      <c r="F2573" s="11">
        <v>0.0</v>
      </c>
      <c r="G2573" s="11">
        <v>14.0</v>
      </c>
      <c r="H2573" s="9" t="s">
        <v>26</v>
      </c>
      <c r="I2573" s="9" t="s">
        <v>1275</v>
      </c>
      <c r="J2573" s="9" t="s">
        <v>1276</v>
      </c>
      <c r="K2573" s="9" t="s">
        <v>10889</v>
      </c>
      <c r="L2573" s="9" t="s">
        <v>30</v>
      </c>
      <c r="M2573" s="9" t="s">
        <v>31</v>
      </c>
      <c r="N2573" s="9" t="s">
        <v>32</v>
      </c>
      <c r="O2573" s="12" t="s">
        <v>33</v>
      </c>
      <c r="P2573" s="12" t="s">
        <v>34</v>
      </c>
      <c r="Q2573" s="9"/>
      <c r="R2573" s="18"/>
      <c r="S2573" s="18"/>
      <c r="T2573" s="18"/>
      <c r="U2573" s="18"/>
      <c r="V2573" s="18"/>
      <c r="W2573" s="15"/>
      <c r="X2573" s="15"/>
    </row>
    <row r="2574">
      <c r="A2574" s="7">
        <v>2573.0</v>
      </c>
      <c r="B2574" s="8" t="s">
        <v>10890</v>
      </c>
      <c r="C2574" s="9" t="s">
        <v>10891</v>
      </c>
      <c r="D2574" s="10" t="str">
        <f>HYPERLINK("https://facebook.com/367089020688300_542378333159367", "367089020688300_542378333159367")</f>
        <v>367089020688300_542378333159367</v>
      </c>
      <c r="E2574" s="11">
        <v>77.0</v>
      </c>
      <c r="F2574" s="11">
        <v>0.0</v>
      </c>
      <c r="G2574" s="11">
        <v>39.0</v>
      </c>
      <c r="H2574" s="9" t="s">
        <v>26</v>
      </c>
      <c r="I2574" s="9" t="s">
        <v>10892</v>
      </c>
      <c r="J2574" s="9" t="s">
        <v>10893</v>
      </c>
      <c r="K2574" s="9" t="s">
        <v>10894</v>
      </c>
      <c r="L2574" s="9" t="s">
        <v>30</v>
      </c>
      <c r="M2574" s="9" t="s">
        <v>31</v>
      </c>
      <c r="N2574" s="9" t="s">
        <v>32</v>
      </c>
      <c r="O2574" s="12" t="s">
        <v>33</v>
      </c>
      <c r="P2574" s="12" t="s">
        <v>34</v>
      </c>
      <c r="Q2574" s="9"/>
      <c r="R2574" s="18"/>
      <c r="S2574" s="18"/>
      <c r="T2574" s="18"/>
      <c r="U2574" s="18"/>
      <c r="V2574" s="18"/>
      <c r="W2574" s="15"/>
      <c r="X2574" s="15"/>
    </row>
    <row r="2575">
      <c r="A2575" s="7">
        <v>2574.0</v>
      </c>
      <c r="B2575" s="8" t="s">
        <v>10895</v>
      </c>
      <c r="C2575" s="9" t="s">
        <v>10896</v>
      </c>
      <c r="D2575" s="10" t="str">
        <f>HYPERLINK("https://facebook.com/367089020688300_553957652001435", "367089020688300_553957652001435")</f>
        <v>367089020688300_553957652001435</v>
      </c>
      <c r="E2575" s="11">
        <v>1711.0</v>
      </c>
      <c r="F2575" s="11">
        <v>15.0</v>
      </c>
      <c r="G2575" s="11">
        <v>557.0</v>
      </c>
      <c r="H2575" s="9" t="s">
        <v>26</v>
      </c>
      <c r="I2575" s="9" t="s">
        <v>5684</v>
      </c>
      <c r="J2575" s="16" t="s">
        <v>5685</v>
      </c>
      <c r="K2575" s="9"/>
      <c r="L2575" s="9" t="s">
        <v>30</v>
      </c>
      <c r="M2575" s="9" t="s">
        <v>31</v>
      </c>
      <c r="N2575" s="9" t="s">
        <v>32</v>
      </c>
      <c r="O2575" s="12" t="s">
        <v>33</v>
      </c>
      <c r="P2575" s="12" t="s">
        <v>34</v>
      </c>
      <c r="Q2575" s="9"/>
      <c r="R2575" s="18"/>
      <c r="S2575" s="18"/>
      <c r="T2575" s="18"/>
      <c r="U2575" s="18"/>
      <c r="V2575" s="18"/>
      <c r="W2575" s="15"/>
      <c r="X2575" s="15"/>
    </row>
    <row r="2576">
      <c r="A2576" s="7">
        <v>2575.0</v>
      </c>
      <c r="B2576" s="8" t="s">
        <v>10897</v>
      </c>
      <c r="C2576" s="9" t="s">
        <v>10898</v>
      </c>
      <c r="D2576" s="10" t="str">
        <f>HYPERLINK("https://facebook.com/367089020688300_457846948279173", "367089020688300_457846948279173")</f>
        <v>367089020688300_457846948279173</v>
      </c>
      <c r="E2576" s="11">
        <v>459.0</v>
      </c>
      <c r="F2576" s="11">
        <v>7.0</v>
      </c>
      <c r="G2576" s="11">
        <v>492.0</v>
      </c>
      <c r="H2576" s="9" t="s">
        <v>26</v>
      </c>
      <c r="I2576" s="9" t="s">
        <v>10899</v>
      </c>
      <c r="J2576" s="16" t="s">
        <v>10900</v>
      </c>
      <c r="K2576" s="9"/>
      <c r="L2576" s="9" t="s">
        <v>30</v>
      </c>
      <c r="M2576" s="9" t="s">
        <v>31</v>
      </c>
      <c r="N2576" s="9" t="s">
        <v>32</v>
      </c>
      <c r="O2576" s="12" t="s">
        <v>33</v>
      </c>
      <c r="P2576" s="12" t="s">
        <v>34</v>
      </c>
      <c r="Q2576" s="9"/>
      <c r="R2576" s="18"/>
      <c r="S2576" s="18"/>
      <c r="T2576" s="18"/>
      <c r="U2576" s="18"/>
      <c r="V2576" s="18"/>
      <c r="W2576" s="15"/>
      <c r="X2576" s="15"/>
    </row>
    <row r="2577">
      <c r="A2577" s="7">
        <v>2576.0</v>
      </c>
      <c r="B2577" s="8" t="s">
        <v>10901</v>
      </c>
      <c r="C2577" s="9" t="s">
        <v>10902</v>
      </c>
      <c r="D2577" s="10" t="str">
        <f>HYPERLINK("https://facebook.com/367089020688300_396673694396499", "367089020688300_396673694396499")</f>
        <v>367089020688300_396673694396499</v>
      </c>
      <c r="E2577" s="11">
        <v>184.0</v>
      </c>
      <c r="F2577" s="11">
        <v>1.0</v>
      </c>
      <c r="G2577" s="11">
        <v>180.0</v>
      </c>
      <c r="H2577" s="9" t="s">
        <v>26</v>
      </c>
      <c r="I2577" s="9" t="s">
        <v>10903</v>
      </c>
      <c r="J2577" s="16" t="s">
        <v>10904</v>
      </c>
      <c r="K2577" s="9"/>
      <c r="L2577" s="9" t="s">
        <v>30</v>
      </c>
      <c r="M2577" s="9" t="s">
        <v>31</v>
      </c>
      <c r="N2577" s="9" t="s">
        <v>32</v>
      </c>
      <c r="O2577" s="12" t="s">
        <v>33</v>
      </c>
      <c r="P2577" s="12" t="s">
        <v>34</v>
      </c>
      <c r="Q2577" s="9"/>
      <c r="R2577" s="18"/>
      <c r="S2577" s="18"/>
      <c r="T2577" s="18"/>
      <c r="U2577" s="18"/>
      <c r="V2577" s="18"/>
      <c r="W2577" s="15"/>
      <c r="X2577" s="15"/>
    </row>
    <row r="2578">
      <c r="A2578" s="7">
        <v>2577.0</v>
      </c>
      <c r="B2578" s="8" t="s">
        <v>10905</v>
      </c>
      <c r="C2578" s="9" t="s">
        <v>10906</v>
      </c>
      <c r="D2578" s="10" t="str">
        <f>HYPERLINK("https://facebook.com/367089020688300_422149371848931", "367089020688300_422149371848931")</f>
        <v>367089020688300_422149371848931</v>
      </c>
      <c r="E2578" s="11">
        <v>420.0</v>
      </c>
      <c r="F2578" s="11">
        <v>11.0</v>
      </c>
      <c r="G2578" s="11">
        <v>390.0</v>
      </c>
      <c r="H2578" s="9" t="s">
        <v>26</v>
      </c>
      <c r="I2578" s="9" t="s">
        <v>10907</v>
      </c>
      <c r="J2578" s="9" t="s">
        <v>10908</v>
      </c>
      <c r="K2578" s="9" t="s">
        <v>10909</v>
      </c>
      <c r="L2578" s="9" t="s">
        <v>30</v>
      </c>
      <c r="M2578" s="9" t="s">
        <v>31</v>
      </c>
      <c r="N2578" s="9" t="s">
        <v>32</v>
      </c>
      <c r="O2578" s="12" t="s">
        <v>33</v>
      </c>
      <c r="P2578" s="12" t="s">
        <v>34</v>
      </c>
      <c r="Q2578" s="9"/>
      <c r="R2578" s="18"/>
      <c r="S2578" s="18"/>
      <c r="T2578" s="18"/>
      <c r="U2578" s="18"/>
      <c r="V2578" s="18"/>
      <c r="W2578" s="15"/>
      <c r="X2578" s="15"/>
    </row>
    <row r="2579">
      <c r="A2579" s="7">
        <v>2578.0</v>
      </c>
      <c r="B2579" s="8" t="s">
        <v>10910</v>
      </c>
      <c r="C2579" s="9" t="s">
        <v>10911</v>
      </c>
      <c r="D2579" s="10" t="str">
        <f>HYPERLINK("https://facebook.com/367089020688300_460025081394693", "367089020688300_460025081394693")</f>
        <v>367089020688300_460025081394693</v>
      </c>
      <c r="E2579" s="11">
        <v>587.0</v>
      </c>
      <c r="F2579" s="11">
        <v>7.0</v>
      </c>
      <c r="G2579" s="11">
        <v>425.0</v>
      </c>
      <c r="H2579" s="9" t="s">
        <v>26</v>
      </c>
      <c r="I2579" s="9" t="s">
        <v>10912</v>
      </c>
      <c r="J2579" s="9" t="s">
        <v>10913</v>
      </c>
      <c r="K2579" s="9" t="s">
        <v>10914</v>
      </c>
      <c r="L2579" s="9" t="s">
        <v>30</v>
      </c>
      <c r="M2579" s="9" t="s">
        <v>31</v>
      </c>
      <c r="N2579" s="9" t="s">
        <v>32</v>
      </c>
      <c r="O2579" s="12" t="s">
        <v>33</v>
      </c>
      <c r="P2579" s="12" t="s">
        <v>34</v>
      </c>
      <c r="Q2579" s="9"/>
      <c r="R2579" s="18"/>
      <c r="S2579" s="18"/>
      <c r="T2579" s="18"/>
      <c r="U2579" s="18"/>
      <c r="V2579" s="18"/>
      <c r="W2579" s="15"/>
      <c r="X2579" s="15"/>
    </row>
    <row r="2580">
      <c r="A2580" s="7">
        <v>2579.0</v>
      </c>
      <c r="B2580" s="8" t="s">
        <v>10915</v>
      </c>
      <c r="C2580" s="9" t="s">
        <v>10916</v>
      </c>
      <c r="D2580" s="10" t="str">
        <f>HYPERLINK("https://facebook.com/367089020688300_494315484632319", "367089020688300_494315484632319")</f>
        <v>367089020688300_494315484632319</v>
      </c>
      <c r="E2580" s="11">
        <v>654.0</v>
      </c>
      <c r="F2580" s="11">
        <v>49.0</v>
      </c>
      <c r="G2580" s="11">
        <v>450.0</v>
      </c>
      <c r="H2580" s="9" t="s">
        <v>26</v>
      </c>
      <c r="I2580" s="9" t="s">
        <v>9701</v>
      </c>
      <c r="J2580" s="9" t="s">
        <v>9702</v>
      </c>
      <c r="K2580" s="9" t="s">
        <v>6425</v>
      </c>
      <c r="L2580" s="9" t="s">
        <v>30</v>
      </c>
      <c r="M2580" s="9" t="s">
        <v>31</v>
      </c>
      <c r="N2580" s="9" t="s">
        <v>32</v>
      </c>
      <c r="O2580" s="12" t="s">
        <v>33</v>
      </c>
      <c r="P2580" s="12" t="s">
        <v>34</v>
      </c>
      <c r="Q2580" s="9"/>
      <c r="R2580" s="18"/>
      <c r="S2580" s="18"/>
      <c r="T2580" s="18"/>
      <c r="U2580" s="18"/>
      <c r="V2580" s="18"/>
      <c r="W2580" s="15"/>
      <c r="X2580" s="15"/>
    </row>
    <row r="2581">
      <c r="A2581" s="7">
        <v>2580.0</v>
      </c>
      <c r="B2581" s="8" t="s">
        <v>10917</v>
      </c>
      <c r="C2581" s="9" t="s">
        <v>10918</v>
      </c>
      <c r="D2581" s="10" t="str">
        <f>HYPERLINK("https://facebook.com/367089020688300_459472994783235", "367089020688300_459472994783235")</f>
        <v>367089020688300_459472994783235</v>
      </c>
      <c r="E2581" s="11">
        <v>1149.0</v>
      </c>
      <c r="F2581" s="11">
        <v>100.0</v>
      </c>
      <c r="G2581" s="11">
        <v>615.0</v>
      </c>
      <c r="H2581" s="9" t="s">
        <v>26</v>
      </c>
      <c r="I2581" s="9" t="s">
        <v>9978</v>
      </c>
      <c r="J2581" s="9" t="s">
        <v>9979</v>
      </c>
      <c r="K2581" s="9" t="s">
        <v>10919</v>
      </c>
      <c r="L2581" s="9" t="s">
        <v>30</v>
      </c>
      <c r="M2581" s="9" t="s">
        <v>31</v>
      </c>
      <c r="N2581" s="9" t="s">
        <v>32</v>
      </c>
      <c r="O2581" s="12" t="s">
        <v>33</v>
      </c>
      <c r="P2581" s="12" t="s">
        <v>34</v>
      </c>
      <c r="Q2581" s="9"/>
      <c r="R2581" s="18"/>
      <c r="S2581" s="18"/>
      <c r="T2581" s="18"/>
      <c r="U2581" s="18"/>
      <c r="V2581" s="18"/>
      <c r="W2581" s="15"/>
      <c r="X2581" s="15"/>
    </row>
    <row r="2582">
      <c r="A2582" s="7">
        <v>2581.0</v>
      </c>
      <c r="B2582" s="8" t="s">
        <v>10920</v>
      </c>
      <c r="C2582" s="9" t="s">
        <v>10921</v>
      </c>
      <c r="D2582" s="10" t="str">
        <f>HYPERLINK("https://facebook.com/367089020688300_523104958420038", "367089020688300_523104958420038")</f>
        <v>367089020688300_523104958420038</v>
      </c>
      <c r="E2582" s="11">
        <v>264.0</v>
      </c>
      <c r="F2582" s="11">
        <v>1.0</v>
      </c>
      <c r="G2582" s="11">
        <v>375.0</v>
      </c>
      <c r="H2582" s="9" t="s">
        <v>26</v>
      </c>
      <c r="I2582" s="9" t="s">
        <v>10922</v>
      </c>
      <c r="J2582" s="16" t="s">
        <v>10923</v>
      </c>
      <c r="K2582" s="9"/>
      <c r="L2582" s="9" t="s">
        <v>30</v>
      </c>
      <c r="M2582" s="9" t="s">
        <v>31</v>
      </c>
      <c r="N2582" s="9" t="s">
        <v>32</v>
      </c>
      <c r="O2582" s="12" t="s">
        <v>33</v>
      </c>
      <c r="P2582" s="12" t="s">
        <v>34</v>
      </c>
      <c r="Q2582" s="9"/>
      <c r="R2582" s="18"/>
      <c r="S2582" s="18"/>
      <c r="T2582" s="18"/>
      <c r="U2582" s="18"/>
      <c r="V2582" s="18"/>
      <c r="W2582" s="15"/>
      <c r="X2582" s="15"/>
    </row>
    <row r="2583">
      <c r="A2583" s="7">
        <v>2582.0</v>
      </c>
      <c r="B2583" s="8" t="s">
        <v>10924</v>
      </c>
      <c r="C2583" s="9" t="s">
        <v>10925</v>
      </c>
      <c r="D2583" s="10" t="str">
        <f>HYPERLINK("https://facebook.com/367089020688300_396792957717906", "367089020688300_396792957717906")</f>
        <v>367089020688300_396792957717906</v>
      </c>
      <c r="E2583" s="11">
        <v>662.0</v>
      </c>
      <c r="F2583" s="11">
        <v>16.0</v>
      </c>
      <c r="G2583" s="11">
        <v>454.0</v>
      </c>
      <c r="H2583" s="9" t="s">
        <v>26</v>
      </c>
      <c r="I2583" s="9" t="s">
        <v>10926</v>
      </c>
      <c r="J2583" s="16" t="s">
        <v>10927</v>
      </c>
      <c r="K2583" s="9"/>
      <c r="L2583" s="9" t="s">
        <v>30</v>
      </c>
      <c r="M2583" s="9" t="s">
        <v>31</v>
      </c>
      <c r="N2583" s="9" t="s">
        <v>32</v>
      </c>
      <c r="O2583" s="12" t="s">
        <v>33</v>
      </c>
      <c r="P2583" s="12" t="s">
        <v>34</v>
      </c>
      <c r="Q2583" s="9"/>
      <c r="R2583" s="18"/>
      <c r="S2583" s="18"/>
      <c r="T2583" s="18"/>
      <c r="U2583" s="18"/>
      <c r="V2583" s="18"/>
      <c r="W2583" s="15"/>
      <c r="X2583" s="15"/>
    </row>
    <row r="2584">
      <c r="A2584" s="7">
        <v>2583.0</v>
      </c>
      <c r="B2584" s="8" t="s">
        <v>10928</v>
      </c>
      <c r="C2584" s="9" t="s">
        <v>10929</v>
      </c>
      <c r="D2584" s="10" t="str">
        <f>HYPERLINK("https://facebook.com/367089020688300_461395374590997", "367089020688300_461395374590997")</f>
        <v>367089020688300_461395374590997</v>
      </c>
      <c r="E2584" s="11">
        <v>661.0</v>
      </c>
      <c r="F2584" s="11">
        <v>23.0</v>
      </c>
      <c r="G2584" s="11">
        <v>387.0</v>
      </c>
      <c r="H2584" s="9" t="s">
        <v>26</v>
      </c>
      <c r="I2584" s="9" t="s">
        <v>10930</v>
      </c>
      <c r="J2584" s="9" t="s">
        <v>10931</v>
      </c>
      <c r="K2584" s="9" t="s">
        <v>10932</v>
      </c>
      <c r="L2584" s="9" t="s">
        <v>30</v>
      </c>
      <c r="M2584" s="9" t="s">
        <v>31</v>
      </c>
      <c r="N2584" s="9" t="s">
        <v>32</v>
      </c>
      <c r="O2584" s="12" t="s">
        <v>33</v>
      </c>
      <c r="P2584" s="12" t="s">
        <v>34</v>
      </c>
      <c r="Q2584" s="9"/>
      <c r="R2584" s="18"/>
      <c r="S2584" s="18"/>
      <c r="T2584" s="18"/>
      <c r="U2584" s="18"/>
      <c r="V2584" s="18"/>
      <c r="W2584" s="15"/>
      <c r="X2584" s="15"/>
    </row>
    <row r="2585">
      <c r="A2585" s="7">
        <v>2584.0</v>
      </c>
      <c r="B2585" s="8" t="s">
        <v>10933</v>
      </c>
      <c r="C2585" s="9" t="s">
        <v>10934</v>
      </c>
      <c r="D2585" s="10" t="str">
        <f>HYPERLINK("https://facebook.com/367089020688300_505293840201150", "367089020688300_505293840201150")</f>
        <v>367089020688300_505293840201150</v>
      </c>
      <c r="E2585" s="11">
        <v>99.0</v>
      </c>
      <c r="F2585" s="11">
        <v>5.0</v>
      </c>
      <c r="G2585" s="11">
        <v>140.0</v>
      </c>
      <c r="H2585" s="9" t="s">
        <v>26</v>
      </c>
      <c r="I2585" s="9" t="s">
        <v>10935</v>
      </c>
      <c r="J2585" s="9" t="s">
        <v>10936</v>
      </c>
      <c r="K2585" s="9" t="s">
        <v>10937</v>
      </c>
      <c r="L2585" s="9" t="s">
        <v>30</v>
      </c>
      <c r="M2585" s="9" t="s">
        <v>31</v>
      </c>
      <c r="N2585" s="9" t="s">
        <v>32</v>
      </c>
      <c r="O2585" s="12" t="s">
        <v>33</v>
      </c>
      <c r="P2585" s="12" t="s">
        <v>34</v>
      </c>
      <c r="Q2585" s="9"/>
      <c r="R2585" s="18"/>
      <c r="S2585" s="18"/>
      <c r="T2585" s="18"/>
      <c r="U2585" s="18"/>
      <c r="V2585" s="18"/>
      <c r="W2585" s="15"/>
      <c r="X2585" s="15"/>
    </row>
    <row r="2586">
      <c r="A2586" s="7">
        <v>2585.0</v>
      </c>
      <c r="B2586" s="8" t="s">
        <v>10938</v>
      </c>
      <c r="C2586" s="9" t="s">
        <v>10939</v>
      </c>
      <c r="D2586" s="10" t="str">
        <f>HYPERLINK("https://facebook.com/367089020688300_446880082709193", "367089020688300_446880082709193")</f>
        <v>367089020688300_446880082709193</v>
      </c>
      <c r="E2586" s="11">
        <v>803.0</v>
      </c>
      <c r="F2586" s="11">
        <v>32.0</v>
      </c>
      <c r="G2586" s="11">
        <v>665.0</v>
      </c>
      <c r="H2586" s="9" t="s">
        <v>26</v>
      </c>
      <c r="I2586" s="9" t="s">
        <v>10940</v>
      </c>
      <c r="J2586" s="9" t="s">
        <v>10941</v>
      </c>
      <c r="K2586" s="9" t="s">
        <v>663</v>
      </c>
      <c r="L2586" s="9" t="s">
        <v>30</v>
      </c>
      <c r="M2586" s="9" t="s">
        <v>31</v>
      </c>
      <c r="N2586" s="9" t="s">
        <v>32</v>
      </c>
      <c r="O2586" s="12" t="s">
        <v>33</v>
      </c>
      <c r="P2586" s="12" t="s">
        <v>34</v>
      </c>
      <c r="Q2586" s="9"/>
      <c r="R2586" s="18"/>
      <c r="S2586" s="18"/>
      <c r="T2586" s="18"/>
      <c r="U2586" s="18"/>
      <c r="V2586" s="18"/>
      <c r="W2586" s="15"/>
      <c r="X2586" s="15"/>
    </row>
    <row r="2587">
      <c r="A2587" s="7">
        <v>2586.0</v>
      </c>
      <c r="B2587" s="8" t="s">
        <v>10942</v>
      </c>
      <c r="C2587" s="9" t="s">
        <v>10943</v>
      </c>
      <c r="D2587" s="10" t="str">
        <f>HYPERLINK("https://facebook.com/367089020688300_513404836056717", "367089020688300_513404836056717")</f>
        <v>367089020688300_513404836056717</v>
      </c>
      <c r="E2587" s="11">
        <v>664.0</v>
      </c>
      <c r="F2587" s="11">
        <v>31.0</v>
      </c>
      <c r="G2587" s="11">
        <v>385.0</v>
      </c>
      <c r="H2587" s="9" t="s">
        <v>26</v>
      </c>
      <c r="I2587" s="9" t="s">
        <v>10944</v>
      </c>
      <c r="J2587" s="9" t="s">
        <v>10945</v>
      </c>
      <c r="K2587" s="9" t="s">
        <v>10946</v>
      </c>
      <c r="L2587" s="9" t="s">
        <v>30</v>
      </c>
      <c r="M2587" s="9" t="s">
        <v>31</v>
      </c>
      <c r="N2587" s="9" t="s">
        <v>32</v>
      </c>
      <c r="O2587" s="12" t="s">
        <v>33</v>
      </c>
      <c r="P2587" s="12" t="s">
        <v>34</v>
      </c>
      <c r="Q2587" s="9"/>
      <c r="R2587" s="18"/>
      <c r="S2587" s="18"/>
      <c r="T2587" s="18"/>
      <c r="U2587" s="18"/>
      <c r="V2587" s="18"/>
      <c r="W2587" s="15"/>
      <c r="X2587" s="15"/>
    </row>
    <row r="2588">
      <c r="A2588" s="7">
        <v>2587.0</v>
      </c>
      <c r="B2588" s="8" t="s">
        <v>10947</v>
      </c>
      <c r="C2588" s="9" t="s">
        <v>10948</v>
      </c>
      <c r="D2588" s="10" t="str">
        <f>HYPERLINK("https://facebook.com/367089020688300_554452318618635", "367089020688300_554452318618635")</f>
        <v>367089020688300_554452318618635</v>
      </c>
      <c r="E2588" s="11">
        <v>99.0</v>
      </c>
      <c r="F2588" s="11">
        <v>2.0</v>
      </c>
      <c r="G2588" s="11">
        <v>42.0</v>
      </c>
      <c r="H2588" s="9" t="s">
        <v>26</v>
      </c>
      <c r="I2588" s="9" t="s">
        <v>8324</v>
      </c>
      <c r="J2588" s="9" t="s">
        <v>10949</v>
      </c>
      <c r="K2588" s="9" t="s">
        <v>10950</v>
      </c>
      <c r="L2588" s="9" t="s">
        <v>30</v>
      </c>
      <c r="M2588" s="9" t="s">
        <v>31</v>
      </c>
      <c r="N2588" s="9" t="s">
        <v>32</v>
      </c>
      <c r="O2588" s="12" t="s">
        <v>33</v>
      </c>
      <c r="P2588" s="12" t="s">
        <v>34</v>
      </c>
      <c r="Q2588" s="9"/>
      <c r="R2588" s="18"/>
      <c r="S2588" s="18"/>
      <c r="T2588" s="18"/>
      <c r="U2588" s="18"/>
      <c r="V2588" s="18"/>
      <c r="W2588" s="15"/>
      <c r="X2588" s="15"/>
    </row>
    <row r="2589">
      <c r="A2589" s="7">
        <v>2588.0</v>
      </c>
      <c r="B2589" s="8" t="s">
        <v>10951</v>
      </c>
      <c r="C2589" s="9" t="s">
        <v>10952</v>
      </c>
      <c r="D2589" s="10" t="str">
        <f>HYPERLINK("https://facebook.com/367089020688300_556004831796717", "367089020688300_556004831796717")</f>
        <v>367089020688300_556004831796717</v>
      </c>
      <c r="E2589" s="11">
        <v>114.0</v>
      </c>
      <c r="F2589" s="11">
        <v>8.0</v>
      </c>
      <c r="G2589" s="11">
        <v>76.0</v>
      </c>
      <c r="H2589" s="9" t="s">
        <v>26</v>
      </c>
      <c r="I2589" s="9" t="s">
        <v>1284</v>
      </c>
      <c r="J2589" s="9" t="s">
        <v>1285</v>
      </c>
      <c r="K2589" s="9" t="s">
        <v>10953</v>
      </c>
      <c r="L2589" s="9" t="s">
        <v>30</v>
      </c>
      <c r="M2589" s="9" t="s">
        <v>31</v>
      </c>
      <c r="N2589" s="9" t="s">
        <v>32</v>
      </c>
      <c r="O2589" s="12" t="s">
        <v>33</v>
      </c>
      <c r="P2589" s="12" t="s">
        <v>34</v>
      </c>
      <c r="Q2589" s="9"/>
      <c r="R2589" s="18"/>
      <c r="S2589" s="18"/>
      <c r="T2589" s="18"/>
      <c r="U2589" s="18"/>
      <c r="V2589" s="18"/>
      <c r="W2589" s="15"/>
      <c r="X2589" s="15"/>
    </row>
    <row r="2590">
      <c r="A2590" s="7">
        <v>2589.0</v>
      </c>
      <c r="B2590" s="8" t="s">
        <v>10954</v>
      </c>
      <c r="C2590" s="9" t="s">
        <v>10955</v>
      </c>
      <c r="D2590" s="10" t="str">
        <f>HYPERLINK("https://facebook.com/367089020688300_543437266386807", "367089020688300_543437266386807")</f>
        <v>367089020688300_543437266386807</v>
      </c>
      <c r="E2590" s="11">
        <v>381.0</v>
      </c>
      <c r="F2590" s="11">
        <v>71.0</v>
      </c>
      <c r="G2590" s="11">
        <v>173.0</v>
      </c>
      <c r="H2590" s="9" t="s">
        <v>26</v>
      </c>
      <c r="I2590" s="9" t="s">
        <v>10956</v>
      </c>
      <c r="J2590" s="16" t="s">
        <v>10957</v>
      </c>
      <c r="K2590" s="9"/>
      <c r="L2590" s="9" t="s">
        <v>30</v>
      </c>
      <c r="M2590" s="9" t="s">
        <v>31</v>
      </c>
      <c r="N2590" s="9" t="s">
        <v>32</v>
      </c>
      <c r="O2590" s="12" t="s">
        <v>33</v>
      </c>
      <c r="P2590" s="12" t="s">
        <v>34</v>
      </c>
      <c r="Q2590" s="9"/>
      <c r="R2590" s="18"/>
      <c r="S2590" s="18"/>
      <c r="T2590" s="18"/>
      <c r="U2590" s="18"/>
      <c r="V2590" s="18"/>
      <c r="W2590" s="15"/>
      <c r="X2590" s="15"/>
    </row>
    <row r="2591">
      <c r="A2591" s="7">
        <v>2590.0</v>
      </c>
      <c r="B2591" s="8" t="s">
        <v>10958</v>
      </c>
      <c r="C2591" s="9" t="s">
        <v>10959</v>
      </c>
      <c r="D2591" s="10" t="str">
        <f>HYPERLINK("https://facebook.com/367089020688300_511898692873998", "367089020688300_511898692873998")</f>
        <v>367089020688300_511898692873998</v>
      </c>
      <c r="E2591" s="11">
        <v>406.0</v>
      </c>
      <c r="F2591" s="11">
        <v>60.0</v>
      </c>
      <c r="G2591" s="11">
        <v>452.0</v>
      </c>
      <c r="H2591" s="9" t="s">
        <v>26</v>
      </c>
      <c r="I2591" s="9" t="s">
        <v>10765</v>
      </c>
      <c r="J2591" s="16" t="s">
        <v>10766</v>
      </c>
      <c r="K2591" s="9"/>
      <c r="L2591" s="9" t="s">
        <v>30</v>
      </c>
      <c r="M2591" s="9" t="s">
        <v>31</v>
      </c>
      <c r="N2591" s="9" t="s">
        <v>32</v>
      </c>
      <c r="O2591" s="12" t="s">
        <v>33</v>
      </c>
      <c r="P2591" s="12" t="s">
        <v>34</v>
      </c>
      <c r="Q2591" s="9"/>
      <c r="R2591" s="18"/>
      <c r="S2591" s="18"/>
      <c r="T2591" s="18"/>
      <c r="U2591" s="18"/>
      <c r="V2591" s="18"/>
      <c r="W2591" s="15"/>
      <c r="X2591" s="15"/>
    </row>
    <row r="2592">
      <c r="A2592" s="7">
        <v>2591.0</v>
      </c>
      <c r="B2592" s="8" t="s">
        <v>10960</v>
      </c>
      <c r="C2592" s="9" t="s">
        <v>10961</v>
      </c>
      <c r="D2592" s="10" t="str">
        <f>HYPERLINK("https://facebook.com/367089020688300_535725110491356", "367089020688300_535725110491356")</f>
        <v>367089020688300_535725110491356</v>
      </c>
      <c r="E2592" s="11">
        <v>15.0</v>
      </c>
      <c r="F2592" s="11">
        <v>0.0</v>
      </c>
      <c r="G2592" s="11">
        <v>5.0</v>
      </c>
      <c r="H2592" s="9" t="s">
        <v>26</v>
      </c>
      <c r="I2592" s="9" t="s">
        <v>10962</v>
      </c>
      <c r="J2592" s="9" t="s">
        <v>10963</v>
      </c>
      <c r="K2592" s="9" t="s">
        <v>10964</v>
      </c>
      <c r="L2592" s="9" t="s">
        <v>30</v>
      </c>
      <c r="M2592" s="9" t="s">
        <v>31</v>
      </c>
      <c r="N2592" s="9" t="s">
        <v>32</v>
      </c>
      <c r="O2592" s="12" t="s">
        <v>33</v>
      </c>
      <c r="P2592" s="12" t="s">
        <v>34</v>
      </c>
      <c r="Q2592" s="9"/>
      <c r="R2592" s="18"/>
      <c r="S2592" s="18"/>
      <c r="T2592" s="18"/>
      <c r="U2592" s="18"/>
      <c r="V2592" s="18"/>
      <c r="W2592" s="15"/>
      <c r="X2592" s="15"/>
    </row>
    <row r="2593">
      <c r="A2593" s="7">
        <v>2592.0</v>
      </c>
      <c r="B2593" s="8" t="s">
        <v>10965</v>
      </c>
      <c r="C2593" s="9" t="s">
        <v>10966</v>
      </c>
      <c r="D2593" s="10" t="str">
        <f>HYPERLINK("https://facebook.com/367089020688300_537435286987005", "367089020688300_537435286987005")</f>
        <v>367089020688300_537435286987005</v>
      </c>
      <c r="E2593" s="11">
        <v>9.0</v>
      </c>
      <c r="F2593" s="11">
        <v>0.0</v>
      </c>
      <c r="G2593" s="11">
        <v>8.0</v>
      </c>
      <c r="H2593" s="9" t="s">
        <v>26</v>
      </c>
      <c r="I2593" s="9" t="s">
        <v>10967</v>
      </c>
      <c r="J2593" s="16" t="s">
        <v>10968</v>
      </c>
      <c r="K2593" s="9"/>
      <c r="L2593" s="9" t="s">
        <v>30</v>
      </c>
      <c r="M2593" s="9" t="s">
        <v>31</v>
      </c>
      <c r="N2593" s="9" t="s">
        <v>32</v>
      </c>
      <c r="O2593" s="12" t="s">
        <v>33</v>
      </c>
      <c r="P2593" s="12" t="s">
        <v>34</v>
      </c>
      <c r="Q2593" s="9"/>
      <c r="R2593" s="18"/>
      <c r="S2593" s="18"/>
      <c r="T2593" s="18"/>
      <c r="U2593" s="18"/>
      <c r="V2593" s="18"/>
      <c r="W2593" s="15"/>
      <c r="X2593" s="15"/>
    </row>
    <row r="2594">
      <c r="A2594" s="7">
        <v>2593.0</v>
      </c>
      <c r="B2594" s="8" t="s">
        <v>10969</v>
      </c>
      <c r="C2594" s="9" t="s">
        <v>10970</v>
      </c>
      <c r="D2594" s="10" t="str">
        <f>HYPERLINK("https://facebook.com/367089020688300_523801091683758", "367089020688300_523801091683758")</f>
        <v>367089020688300_523801091683758</v>
      </c>
      <c r="E2594" s="11">
        <v>168.0</v>
      </c>
      <c r="F2594" s="11">
        <v>6.0</v>
      </c>
      <c r="G2594" s="11">
        <v>172.0</v>
      </c>
      <c r="H2594" s="9" t="s">
        <v>26</v>
      </c>
      <c r="I2594" s="9" t="s">
        <v>877</v>
      </c>
      <c r="J2594" s="16" t="s">
        <v>878</v>
      </c>
      <c r="K2594" s="9"/>
      <c r="L2594" s="9" t="s">
        <v>30</v>
      </c>
      <c r="M2594" s="9" t="s">
        <v>31</v>
      </c>
      <c r="N2594" s="9" t="s">
        <v>32</v>
      </c>
      <c r="O2594" s="12" t="s">
        <v>33</v>
      </c>
      <c r="P2594" s="12" t="s">
        <v>34</v>
      </c>
      <c r="Q2594" s="9"/>
      <c r="R2594" s="18"/>
      <c r="S2594" s="18"/>
      <c r="T2594" s="18"/>
      <c r="U2594" s="18"/>
      <c r="V2594" s="18"/>
      <c r="W2594" s="15"/>
      <c r="X2594" s="15"/>
    </row>
    <row r="2595">
      <c r="A2595" s="7">
        <v>2594.0</v>
      </c>
      <c r="B2595" s="8" t="s">
        <v>10971</v>
      </c>
      <c r="C2595" s="9" t="s">
        <v>10972</v>
      </c>
      <c r="D2595" s="10" t="str">
        <f>HYPERLINK("https://facebook.com/367089020688300_389094021821133", "367089020688300_389094021821133")</f>
        <v>367089020688300_389094021821133</v>
      </c>
      <c r="E2595" s="11">
        <v>461.0</v>
      </c>
      <c r="F2595" s="11">
        <v>11.0</v>
      </c>
      <c r="G2595" s="11">
        <v>599.0</v>
      </c>
      <c r="H2595" s="9" t="s">
        <v>26</v>
      </c>
      <c r="I2595" s="9" t="s">
        <v>10973</v>
      </c>
      <c r="J2595" s="9" t="s">
        <v>10974</v>
      </c>
      <c r="K2595" s="9" t="s">
        <v>7246</v>
      </c>
      <c r="L2595" s="9" t="s">
        <v>30</v>
      </c>
      <c r="M2595" s="9" t="s">
        <v>31</v>
      </c>
      <c r="N2595" s="9" t="s">
        <v>32</v>
      </c>
      <c r="O2595" s="12" t="s">
        <v>33</v>
      </c>
      <c r="P2595" s="12" t="s">
        <v>34</v>
      </c>
      <c r="Q2595" s="9"/>
      <c r="R2595" s="18"/>
      <c r="S2595" s="18"/>
      <c r="T2595" s="18"/>
      <c r="U2595" s="18"/>
      <c r="V2595" s="18"/>
      <c r="W2595" s="15"/>
      <c r="X2595" s="15"/>
    </row>
    <row r="2596">
      <c r="A2596" s="7">
        <v>2595.0</v>
      </c>
      <c r="B2596" s="8" t="s">
        <v>10975</v>
      </c>
      <c r="C2596" s="9" t="s">
        <v>10976</v>
      </c>
      <c r="D2596" s="10" t="str">
        <f>HYPERLINK("https://facebook.com/367089020688300_450848392312362", "367089020688300_450848392312362")</f>
        <v>367089020688300_450848392312362</v>
      </c>
      <c r="E2596" s="11">
        <v>1257.0</v>
      </c>
      <c r="F2596" s="11">
        <v>32.0</v>
      </c>
      <c r="G2596" s="11">
        <v>1075.0</v>
      </c>
      <c r="H2596" s="9" t="s">
        <v>26</v>
      </c>
      <c r="I2596" s="9" t="s">
        <v>10977</v>
      </c>
      <c r="J2596" s="9" t="s">
        <v>10978</v>
      </c>
      <c r="K2596" s="9" t="s">
        <v>10979</v>
      </c>
      <c r="L2596" s="9" t="s">
        <v>30</v>
      </c>
      <c r="M2596" s="9" t="s">
        <v>31</v>
      </c>
      <c r="N2596" s="9" t="s">
        <v>32</v>
      </c>
      <c r="O2596" s="12" t="s">
        <v>33</v>
      </c>
      <c r="P2596" s="12" t="s">
        <v>34</v>
      </c>
      <c r="Q2596" s="9"/>
      <c r="R2596" s="18"/>
      <c r="S2596" s="18"/>
      <c r="T2596" s="18"/>
      <c r="U2596" s="18"/>
      <c r="V2596" s="18"/>
      <c r="W2596" s="15"/>
      <c r="X2596" s="15"/>
    </row>
    <row r="2597">
      <c r="A2597" s="7">
        <v>2596.0</v>
      </c>
      <c r="B2597" s="8" t="s">
        <v>10980</v>
      </c>
      <c r="C2597" s="9" t="s">
        <v>10981</v>
      </c>
      <c r="D2597" s="10" t="str">
        <f>HYPERLINK("https://facebook.com/367089020688300_542471229816744", "367089020688300_542471229816744")</f>
        <v>367089020688300_542471229816744</v>
      </c>
      <c r="E2597" s="11">
        <v>101.0</v>
      </c>
      <c r="F2597" s="11">
        <v>0.0</v>
      </c>
      <c r="G2597" s="11">
        <v>74.0</v>
      </c>
      <c r="H2597" s="9" t="s">
        <v>26</v>
      </c>
      <c r="I2597" s="9" t="s">
        <v>10982</v>
      </c>
      <c r="J2597" s="9" t="s">
        <v>10983</v>
      </c>
      <c r="K2597" s="9" t="s">
        <v>10984</v>
      </c>
      <c r="L2597" s="9" t="s">
        <v>30</v>
      </c>
      <c r="M2597" s="9" t="s">
        <v>31</v>
      </c>
      <c r="N2597" s="9" t="s">
        <v>32</v>
      </c>
      <c r="O2597" s="12" t="s">
        <v>33</v>
      </c>
      <c r="P2597" s="12" t="s">
        <v>34</v>
      </c>
      <c r="Q2597" s="9"/>
      <c r="R2597" s="18"/>
      <c r="S2597" s="18"/>
      <c r="T2597" s="18"/>
      <c r="U2597" s="18"/>
      <c r="V2597" s="18"/>
      <c r="W2597" s="15"/>
      <c r="X2597" s="15"/>
    </row>
    <row r="2598">
      <c r="A2598" s="7">
        <v>2597.0</v>
      </c>
      <c r="B2598" s="8" t="s">
        <v>10985</v>
      </c>
      <c r="C2598" s="9" t="s">
        <v>10986</v>
      </c>
      <c r="D2598" s="10" t="str">
        <f>HYPERLINK("https://facebook.com/367089020688300_492172041513330", "367089020688300_492172041513330")</f>
        <v>367089020688300_492172041513330</v>
      </c>
      <c r="E2598" s="11">
        <v>19.0</v>
      </c>
      <c r="F2598" s="11">
        <v>1.0</v>
      </c>
      <c r="G2598" s="11">
        <v>57.0</v>
      </c>
      <c r="H2598" s="9" t="s">
        <v>26</v>
      </c>
      <c r="I2598" s="9" t="s">
        <v>10987</v>
      </c>
      <c r="J2598" s="9" t="s">
        <v>10988</v>
      </c>
      <c r="K2598" s="9" t="s">
        <v>2889</v>
      </c>
      <c r="L2598" s="9" t="s">
        <v>30</v>
      </c>
      <c r="M2598" s="9" t="s">
        <v>31</v>
      </c>
      <c r="N2598" s="9" t="s">
        <v>32</v>
      </c>
      <c r="O2598" s="12" t="s">
        <v>33</v>
      </c>
      <c r="P2598" s="12" t="s">
        <v>34</v>
      </c>
      <c r="Q2598" s="9"/>
      <c r="R2598" s="18"/>
      <c r="S2598" s="18"/>
      <c r="T2598" s="18"/>
      <c r="U2598" s="18"/>
      <c r="V2598" s="18"/>
      <c r="W2598" s="15"/>
      <c r="X2598" s="15"/>
    </row>
    <row r="2599">
      <c r="A2599" s="7">
        <v>2598.0</v>
      </c>
      <c r="B2599" s="8" t="s">
        <v>10989</v>
      </c>
      <c r="C2599" s="9" t="s">
        <v>10990</v>
      </c>
      <c r="D2599" s="10" t="str">
        <f>HYPERLINK("https://facebook.com/367089020688300_526788474718353", "367089020688300_526788474718353")</f>
        <v>367089020688300_526788474718353</v>
      </c>
      <c r="E2599" s="11">
        <v>212.0</v>
      </c>
      <c r="F2599" s="11">
        <v>17.0</v>
      </c>
      <c r="G2599" s="11">
        <v>355.0</v>
      </c>
      <c r="H2599" s="9" t="s">
        <v>26</v>
      </c>
      <c r="I2599" s="9" t="s">
        <v>7312</v>
      </c>
      <c r="J2599" s="9" t="s">
        <v>7313</v>
      </c>
      <c r="K2599" s="9" t="s">
        <v>10991</v>
      </c>
      <c r="L2599" s="9" t="s">
        <v>30</v>
      </c>
      <c r="M2599" s="9" t="s">
        <v>31</v>
      </c>
      <c r="N2599" s="9" t="s">
        <v>32</v>
      </c>
      <c r="O2599" s="12" t="s">
        <v>33</v>
      </c>
      <c r="P2599" s="12" t="s">
        <v>34</v>
      </c>
      <c r="Q2599" s="9"/>
      <c r="R2599" s="18"/>
      <c r="S2599" s="18"/>
      <c r="T2599" s="18"/>
      <c r="U2599" s="18"/>
      <c r="V2599" s="18"/>
      <c r="W2599" s="15"/>
      <c r="X2599" s="15"/>
    </row>
    <row r="2600">
      <c r="A2600" s="7">
        <v>2599.0</v>
      </c>
      <c r="B2600" s="8" t="s">
        <v>10992</v>
      </c>
      <c r="C2600" s="9" t="s">
        <v>10993</v>
      </c>
      <c r="D2600" s="10" t="str">
        <f>HYPERLINK("https://facebook.com/367089020688300_449109025819632", "367089020688300_449109025819632")</f>
        <v>367089020688300_449109025819632</v>
      </c>
      <c r="E2600" s="11">
        <v>20.0</v>
      </c>
      <c r="F2600" s="11">
        <v>0.0</v>
      </c>
      <c r="G2600" s="11">
        <v>7.0</v>
      </c>
      <c r="H2600" s="9" t="s">
        <v>26</v>
      </c>
      <c r="I2600" s="9" t="s">
        <v>10994</v>
      </c>
      <c r="J2600" s="9" t="s">
        <v>10995</v>
      </c>
      <c r="K2600" s="9" t="s">
        <v>10996</v>
      </c>
      <c r="L2600" s="9" t="s">
        <v>30</v>
      </c>
      <c r="M2600" s="9" t="s">
        <v>31</v>
      </c>
      <c r="N2600" s="9" t="s">
        <v>32</v>
      </c>
      <c r="O2600" s="12" t="s">
        <v>33</v>
      </c>
      <c r="P2600" s="12" t="s">
        <v>34</v>
      </c>
      <c r="Q2600" s="9"/>
      <c r="R2600" s="18"/>
      <c r="S2600" s="18"/>
      <c r="T2600" s="18"/>
      <c r="U2600" s="18"/>
      <c r="V2600" s="18"/>
      <c r="W2600" s="15"/>
      <c r="X2600" s="15"/>
    </row>
    <row r="2601">
      <c r="A2601" s="7">
        <v>2600.0</v>
      </c>
      <c r="B2601" s="8" t="s">
        <v>10997</v>
      </c>
      <c r="C2601" s="9" t="s">
        <v>10998</v>
      </c>
      <c r="D2601" s="10" t="str">
        <f>HYPERLINK("https://facebook.com/367089020688300_518979902165877", "367089020688300_518979902165877")</f>
        <v>367089020688300_518979902165877</v>
      </c>
      <c r="E2601" s="11">
        <v>1492.0</v>
      </c>
      <c r="F2601" s="11">
        <v>15.0</v>
      </c>
      <c r="G2601" s="11">
        <v>357.0</v>
      </c>
      <c r="H2601" s="9" t="s">
        <v>26</v>
      </c>
      <c r="I2601" s="9" t="s">
        <v>10999</v>
      </c>
      <c r="J2601" s="9" t="s">
        <v>11000</v>
      </c>
      <c r="K2601" s="9" t="s">
        <v>11001</v>
      </c>
      <c r="L2601" s="9" t="s">
        <v>30</v>
      </c>
      <c r="M2601" s="9" t="s">
        <v>31</v>
      </c>
      <c r="N2601" s="9" t="s">
        <v>32</v>
      </c>
      <c r="O2601" s="12" t="s">
        <v>33</v>
      </c>
      <c r="P2601" s="12" t="s">
        <v>34</v>
      </c>
      <c r="Q2601" s="9"/>
      <c r="R2601" s="18"/>
      <c r="S2601" s="18"/>
      <c r="T2601" s="18"/>
      <c r="U2601" s="18"/>
      <c r="V2601" s="18"/>
      <c r="W2601" s="15"/>
      <c r="X2601" s="15"/>
    </row>
    <row r="2602">
      <c r="A2602" s="7">
        <v>2601.0</v>
      </c>
      <c r="B2602" s="8" t="s">
        <v>11002</v>
      </c>
      <c r="C2602" s="9" t="s">
        <v>11003</v>
      </c>
      <c r="D2602" s="10" t="str">
        <f>HYPERLINK("https://facebook.com/367089020688300_540878519976015", "367089020688300_540878519976015")</f>
        <v>367089020688300_540878519976015</v>
      </c>
      <c r="E2602" s="11">
        <v>253.0</v>
      </c>
      <c r="F2602" s="11">
        <v>6.0</v>
      </c>
      <c r="G2602" s="11">
        <v>278.0</v>
      </c>
      <c r="H2602" s="9" t="s">
        <v>26</v>
      </c>
      <c r="I2602" s="9" t="s">
        <v>9002</v>
      </c>
      <c r="J2602" s="9" t="s">
        <v>11004</v>
      </c>
      <c r="K2602" s="9" t="s">
        <v>10937</v>
      </c>
      <c r="L2602" s="9" t="s">
        <v>30</v>
      </c>
      <c r="M2602" s="9" t="s">
        <v>31</v>
      </c>
      <c r="N2602" s="9" t="s">
        <v>32</v>
      </c>
      <c r="O2602" s="12" t="s">
        <v>33</v>
      </c>
      <c r="P2602" s="12" t="s">
        <v>34</v>
      </c>
      <c r="Q2602" s="9"/>
      <c r="R2602" s="18"/>
      <c r="S2602" s="18"/>
      <c r="T2602" s="18"/>
      <c r="U2602" s="18"/>
      <c r="V2602" s="18"/>
      <c r="W2602" s="15"/>
      <c r="X2602" s="15"/>
    </row>
    <row r="2603">
      <c r="A2603" s="7">
        <v>2602.0</v>
      </c>
      <c r="B2603" s="8" t="s">
        <v>11005</v>
      </c>
      <c r="C2603" s="9" t="s">
        <v>11006</v>
      </c>
      <c r="D2603" s="10" t="str">
        <f>HYPERLINK("https://facebook.com/367089020688300_562791744451359", "367089020688300_562791744451359")</f>
        <v>367089020688300_562791744451359</v>
      </c>
      <c r="E2603" s="11">
        <v>10.0</v>
      </c>
      <c r="F2603" s="11">
        <v>0.0</v>
      </c>
      <c r="G2603" s="11">
        <v>3.0</v>
      </c>
      <c r="H2603" s="9" t="s">
        <v>26</v>
      </c>
      <c r="I2603" s="9" t="s">
        <v>11007</v>
      </c>
      <c r="J2603" s="9" t="s">
        <v>11008</v>
      </c>
      <c r="K2603" s="9" t="s">
        <v>11009</v>
      </c>
      <c r="L2603" s="9" t="s">
        <v>30</v>
      </c>
      <c r="M2603" s="9" t="s">
        <v>31</v>
      </c>
      <c r="N2603" s="9" t="s">
        <v>32</v>
      </c>
      <c r="O2603" s="12" t="s">
        <v>33</v>
      </c>
      <c r="P2603" s="12" t="s">
        <v>34</v>
      </c>
      <c r="Q2603" s="9"/>
      <c r="R2603" s="18"/>
      <c r="S2603" s="18"/>
      <c r="T2603" s="18"/>
      <c r="U2603" s="18"/>
      <c r="V2603" s="18"/>
      <c r="W2603" s="15"/>
      <c r="X2603" s="15"/>
    </row>
    <row r="2604">
      <c r="A2604" s="7">
        <v>2603.0</v>
      </c>
      <c r="B2604" s="8" t="s">
        <v>11010</v>
      </c>
      <c r="C2604" s="9" t="s">
        <v>11011</v>
      </c>
      <c r="D2604" s="10" t="str">
        <f>HYPERLINK("https://facebook.com/367089020688300_554908155239718", "367089020688300_554908155239718")</f>
        <v>367089020688300_554908155239718</v>
      </c>
      <c r="E2604" s="11">
        <v>248.0</v>
      </c>
      <c r="F2604" s="11">
        <v>6.0</v>
      </c>
      <c r="G2604" s="11">
        <v>263.0</v>
      </c>
      <c r="H2604" s="9" t="s">
        <v>26</v>
      </c>
      <c r="I2604" s="9" t="s">
        <v>11012</v>
      </c>
      <c r="J2604" s="16" t="s">
        <v>11013</v>
      </c>
      <c r="K2604" s="9"/>
      <c r="L2604" s="9" t="s">
        <v>30</v>
      </c>
      <c r="M2604" s="9" t="s">
        <v>31</v>
      </c>
      <c r="N2604" s="9" t="s">
        <v>32</v>
      </c>
      <c r="O2604" s="12" t="s">
        <v>33</v>
      </c>
      <c r="P2604" s="12" t="s">
        <v>34</v>
      </c>
      <c r="Q2604" s="9"/>
      <c r="R2604" s="18"/>
      <c r="S2604" s="18"/>
      <c r="T2604" s="18"/>
      <c r="U2604" s="18"/>
      <c r="V2604" s="18"/>
      <c r="W2604" s="15"/>
      <c r="X2604" s="15"/>
    </row>
    <row r="2605">
      <c r="A2605" s="7">
        <v>2604.0</v>
      </c>
      <c r="B2605" s="8" t="s">
        <v>11014</v>
      </c>
      <c r="C2605" s="9" t="s">
        <v>11015</v>
      </c>
      <c r="D2605" s="10" t="str">
        <f>HYPERLINK("https://facebook.com/367089020688300_513739769356557", "367089020688300_513739769356557")</f>
        <v>367089020688300_513739769356557</v>
      </c>
      <c r="E2605" s="11">
        <v>271.0</v>
      </c>
      <c r="F2605" s="11">
        <v>26.0</v>
      </c>
      <c r="G2605" s="11">
        <v>451.0</v>
      </c>
      <c r="H2605" s="9" t="s">
        <v>26</v>
      </c>
      <c r="I2605" s="9" t="s">
        <v>6351</v>
      </c>
      <c r="J2605" s="16" t="s">
        <v>6352</v>
      </c>
      <c r="K2605" s="9"/>
      <c r="L2605" s="9" t="s">
        <v>30</v>
      </c>
      <c r="M2605" s="9" t="s">
        <v>31</v>
      </c>
      <c r="N2605" s="9" t="s">
        <v>32</v>
      </c>
      <c r="O2605" s="12" t="s">
        <v>33</v>
      </c>
      <c r="P2605" s="12" t="s">
        <v>34</v>
      </c>
      <c r="Q2605" s="9"/>
      <c r="R2605" s="18"/>
      <c r="S2605" s="18"/>
      <c r="T2605" s="18"/>
      <c r="U2605" s="18"/>
      <c r="V2605" s="18"/>
      <c r="W2605" s="15"/>
      <c r="X2605" s="15"/>
    </row>
    <row r="2606">
      <c r="A2606" s="7">
        <v>2605.0</v>
      </c>
      <c r="B2606" s="8" t="s">
        <v>11016</v>
      </c>
      <c r="C2606" s="9" t="s">
        <v>11017</v>
      </c>
      <c r="D2606" s="10" t="str">
        <f>HYPERLINK("https://facebook.com/367089020688300_516437409086793", "367089020688300_516437409086793")</f>
        <v>367089020688300_516437409086793</v>
      </c>
      <c r="E2606" s="11">
        <v>678.0</v>
      </c>
      <c r="F2606" s="11">
        <v>35.0</v>
      </c>
      <c r="G2606" s="11">
        <v>266.0</v>
      </c>
      <c r="H2606" s="9" t="s">
        <v>26</v>
      </c>
      <c r="I2606" s="9" t="s">
        <v>11018</v>
      </c>
      <c r="J2606" s="9" t="s">
        <v>11019</v>
      </c>
      <c r="K2606" s="9" t="s">
        <v>219</v>
      </c>
      <c r="L2606" s="9" t="s">
        <v>30</v>
      </c>
      <c r="M2606" s="9" t="s">
        <v>31</v>
      </c>
      <c r="N2606" s="9" t="s">
        <v>32</v>
      </c>
      <c r="O2606" s="12" t="s">
        <v>33</v>
      </c>
      <c r="P2606" s="12" t="s">
        <v>34</v>
      </c>
      <c r="Q2606" s="9"/>
      <c r="R2606" s="18"/>
      <c r="S2606" s="18"/>
      <c r="T2606" s="18"/>
      <c r="U2606" s="18"/>
      <c r="V2606" s="18"/>
      <c r="W2606" s="15"/>
      <c r="X2606" s="15"/>
    </row>
    <row r="2607">
      <c r="A2607" s="7">
        <v>2606.0</v>
      </c>
      <c r="B2607" s="8" t="s">
        <v>11020</v>
      </c>
      <c r="C2607" s="9" t="s">
        <v>11021</v>
      </c>
      <c r="D2607" s="10" t="str">
        <f>HYPERLINK("https://facebook.com/367089020688300_559278388136028", "367089020688300_559278388136028")</f>
        <v>367089020688300_559278388136028</v>
      </c>
      <c r="E2607" s="11">
        <v>280.0</v>
      </c>
      <c r="F2607" s="11">
        <v>1.0</v>
      </c>
      <c r="G2607" s="11">
        <v>170.0</v>
      </c>
      <c r="H2607" s="9" t="s">
        <v>26</v>
      </c>
      <c r="I2607" s="9" t="s">
        <v>11022</v>
      </c>
      <c r="J2607" s="16" t="s">
        <v>11023</v>
      </c>
      <c r="K2607" s="9"/>
      <c r="L2607" s="9" t="s">
        <v>30</v>
      </c>
      <c r="M2607" s="9" t="s">
        <v>31</v>
      </c>
      <c r="N2607" s="9" t="s">
        <v>32</v>
      </c>
      <c r="O2607" s="12" t="s">
        <v>33</v>
      </c>
      <c r="P2607" s="12" t="s">
        <v>34</v>
      </c>
      <c r="Q2607" s="9"/>
      <c r="R2607" s="18"/>
      <c r="S2607" s="18"/>
      <c r="T2607" s="18"/>
      <c r="U2607" s="18"/>
      <c r="V2607" s="18"/>
      <c r="W2607" s="15"/>
      <c r="X2607" s="15"/>
    </row>
    <row r="2608">
      <c r="A2608" s="7">
        <v>2607.0</v>
      </c>
      <c r="B2608" s="8" t="s">
        <v>11024</v>
      </c>
      <c r="C2608" s="9" t="s">
        <v>11025</v>
      </c>
      <c r="D2608" s="10" t="str">
        <f>HYPERLINK("https://facebook.com/367089020688300_544651239598743", "367089020688300_544651239598743")</f>
        <v>367089020688300_544651239598743</v>
      </c>
      <c r="E2608" s="11">
        <v>81.0</v>
      </c>
      <c r="F2608" s="11">
        <v>3.0</v>
      </c>
      <c r="G2608" s="11">
        <v>60.0</v>
      </c>
      <c r="H2608" s="9" t="s">
        <v>26</v>
      </c>
      <c r="I2608" s="9" t="s">
        <v>11026</v>
      </c>
      <c r="J2608" s="16" t="s">
        <v>11027</v>
      </c>
      <c r="K2608" s="9"/>
      <c r="L2608" s="9" t="s">
        <v>30</v>
      </c>
      <c r="M2608" s="9" t="s">
        <v>31</v>
      </c>
      <c r="N2608" s="9" t="s">
        <v>32</v>
      </c>
      <c r="O2608" s="12" t="s">
        <v>33</v>
      </c>
      <c r="P2608" s="12" t="s">
        <v>34</v>
      </c>
      <c r="Q2608" s="9"/>
      <c r="R2608" s="18"/>
      <c r="S2608" s="18"/>
      <c r="T2608" s="18"/>
      <c r="U2608" s="18"/>
      <c r="V2608" s="18"/>
      <c r="W2608" s="15"/>
      <c r="X2608" s="15"/>
    </row>
    <row r="2609">
      <c r="A2609" s="7">
        <v>2608.0</v>
      </c>
      <c r="B2609" s="8" t="s">
        <v>11028</v>
      </c>
      <c r="C2609" s="9" t="s">
        <v>11029</v>
      </c>
      <c r="D2609" s="10" t="str">
        <f>HYPERLINK("https://facebook.com/367089020688300_544244039639463", "367089020688300_544244039639463")</f>
        <v>367089020688300_544244039639463</v>
      </c>
      <c r="E2609" s="11">
        <v>44.0</v>
      </c>
      <c r="F2609" s="11">
        <v>0.0</v>
      </c>
      <c r="G2609" s="11">
        <v>21.0</v>
      </c>
      <c r="H2609" s="9" t="s">
        <v>26</v>
      </c>
      <c r="I2609" s="9" t="s">
        <v>11030</v>
      </c>
      <c r="J2609" s="16" t="s">
        <v>11031</v>
      </c>
      <c r="K2609" s="9"/>
      <c r="L2609" s="9" t="s">
        <v>30</v>
      </c>
      <c r="M2609" s="9" t="s">
        <v>31</v>
      </c>
      <c r="N2609" s="9" t="s">
        <v>32</v>
      </c>
      <c r="O2609" s="12" t="s">
        <v>33</v>
      </c>
      <c r="P2609" s="12" t="s">
        <v>34</v>
      </c>
      <c r="Q2609" s="9"/>
      <c r="R2609" s="18"/>
      <c r="S2609" s="18"/>
      <c r="T2609" s="18"/>
      <c r="U2609" s="18"/>
      <c r="V2609" s="18"/>
      <c r="W2609" s="15"/>
      <c r="X2609" s="15"/>
    </row>
    <row r="2610">
      <c r="A2610" s="7">
        <v>2609.0</v>
      </c>
      <c r="B2610" s="8" t="s">
        <v>11032</v>
      </c>
      <c r="C2610" s="9" t="s">
        <v>11033</v>
      </c>
      <c r="D2610" s="10" t="str">
        <f>HYPERLINK("https://facebook.com/367089020688300_450390972358104", "367089020688300_450390972358104")</f>
        <v>367089020688300_450390972358104</v>
      </c>
      <c r="E2610" s="11">
        <v>390.0</v>
      </c>
      <c r="F2610" s="11">
        <v>10.0</v>
      </c>
      <c r="G2610" s="11">
        <v>405.0</v>
      </c>
      <c r="H2610" s="9" t="s">
        <v>26</v>
      </c>
      <c r="I2610" s="9" t="s">
        <v>11034</v>
      </c>
      <c r="J2610" s="9" t="s">
        <v>11035</v>
      </c>
      <c r="K2610" s="9" t="s">
        <v>249</v>
      </c>
      <c r="L2610" s="9" t="s">
        <v>30</v>
      </c>
      <c r="M2610" s="9" t="s">
        <v>31</v>
      </c>
      <c r="N2610" s="9" t="s">
        <v>32</v>
      </c>
      <c r="O2610" s="12" t="s">
        <v>33</v>
      </c>
      <c r="P2610" s="12" t="s">
        <v>34</v>
      </c>
      <c r="Q2610" s="9"/>
      <c r="R2610" s="18"/>
      <c r="S2610" s="18"/>
      <c r="T2610" s="18"/>
      <c r="U2610" s="18"/>
      <c r="V2610" s="18"/>
      <c r="W2610" s="15"/>
      <c r="X2610" s="15"/>
    </row>
    <row r="2611">
      <c r="A2611" s="7">
        <v>2610.0</v>
      </c>
      <c r="B2611" s="8" t="s">
        <v>11036</v>
      </c>
      <c r="C2611" s="9" t="s">
        <v>11037</v>
      </c>
      <c r="D2611" s="10" t="str">
        <f>HYPERLINK("https://facebook.com/367089020688300_515221699208364", "367089020688300_515221699208364")</f>
        <v>367089020688300_515221699208364</v>
      </c>
      <c r="E2611" s="11">
        <v>204.0</v>
      </c>
      <c r="F2611" s="11">
        <v>3.0</v>
      </c>
      <c r="G2611" s="11">
        <v>125.0</v>
      </c>
      <c r="H2611" s="9" t="s">
        <v>26</v>
      </c>
      <c r="I2611" s="9" t="s">
        <v>11038</v>
      </c>
      <c r="J2611" s="9" t="s">
        <v>11039</v>
      </c>
      <c r="K2611" s="9" t="s">
        <v>249</v>
      </c>
      <c r="L2611" s="9" t="s">
        <v>30</v>
      </c>
      <c r="M2611" s="9" t="s">
        <v>31</v>
      </c>
      <c r="N2611" s="9" t="s">
        <v>32</v>
      </c>
      <c r="O2611" s="12" t="s">
        <v>33</v>
      </c>
      <c r="P2611" s="12" t="s">
        <v>34</v>
      </c>
      <c r="Q2611" s="9"/>
      <c r="R2611" s="18"/>
      <c r="S2611" s="18"/>
      <c r="T2611" s="18"/>
      <c r="U2611" s="18"/>
      <c r="V2611" s="18"/>
      <c r="W2611" s="15"/>
      <c r="X2611" s="15"/>
    </row>
    <row r="2612">
      <c r="A2612" s="7">
        <v>2611.0</v>
      </c>
      <c r="B2612" s="8" t="s">
        <v>11040</v>
      </c>
      <c r="C2612" s="9" t="s">
        <v>11041</v>
      </c>
      <c r="D2612" s="10" t="str">
        <f>HYPERLINK("https://facebook.com/367089020688300_558006351596565", "367089020688300_558006351596565")</f>
        <v>367089020688300_558006351596565</v>
      </c>
      <c r="E2612" s="11">
        <v>73.0</v>
      </c>
      <c r="F2612" s="11">
        <v>0.0</v>
      </c>
      <c r="G2612" s="11">
        <v>14.0</v>
      </c>
      <c r="H2612" s="9" t="s">
        <v>26</v>
      </c>
      <c r="I2612" s="9" t="s">
        <v>11042</v>
      </c>
      <c r="J2612" s="16" t="s">
        <v>11043</v>
      </c>
      <c r="K2612" s="9"/>
      <c r="L2612" s="9" t="s">
        <v>30</v>
      </c>
      <c r="M2612" s="9" t="s">
        <v>31</v>
      </c>
      <c r="N2612" s="9" t="s">
        <v>32</v>
      </c>
      <c r="O2612" s="12" t="s">
        <v>33</v>
      </c>
      <c r="P2612" s="12" t="s">
        <v>34</v>
      </c>
      <c r="Q2612" s="9"/>
      <c r="R2612" s="18"/>
      <c r="S2612" s="18"/>
      <c r="T2612" s="18"/>
      <c r="U2612" s="18"/>
      <c r="V2612" s="18"/>
      <c r="W2612" s="15"/>
      <c r="X2612" s="15"/>
    </row>
    <row r="2613">
      <c r="A2613" s="7">
        <v>2612.0</v>
      </c>
      <c r="B2613" s="8" t="s">
        <v>11044</v>
      </c>
      <c r="C2613" s="9" t="s">
        <v>11045</v>
      </c>
      <c r="D2613" s="10" t="str">
        <f>HYPERLINK("https://facebook.com/367089020688300_487330165330851", "367089020688300_487330165330851")</f>
        <v>367089020688300_487330165330851</v>
      </c>
      <c r="E2613" s="11">
        <v>303.0</v>
      </c>
      <c r="F2613" s="11">
        <v>3.0</v>
      </c>
      <c r="G2613" s="11">
        <v>233.0</v>
      </c>
      <c r="H2613" s="9" t="s">
        <v>26</v>
      </c>
      <c r="I2613" s="9" t="s">
        <v>11046</v>
      </c>
      <c r="J2613" s="16" t="s">
        <v>11047</v>
      </c>
      <c r="K2613" s="9"/>
      <c r="L2613" s="9" t="s">
        <v>30</v>
      </c>
      <c r="M2613" s="9" t="s">
        <v>31</v>
      </c>
      <c r="N2613" s="9" t="s">
        <v>32</v>
      </c>
      <c r="O2613" s="12" t="s">
        <v>33</v>
      </c>
      <c r="P2613" s="12" t="s">
        <v>34</v>
      </c>
      <c r="Q2613" s="9"/>
      <c r="R2613" s="18"/>
      <c r="S2613" s="18"/>
      <c r="T2613" s="18"/>
      <c r="U2613" s="18"/>
      <c r="V2613" s="18"/>
      <c r="W2613" s="15"/>
      <c r="X2613" s="15"/>
    </row>
    <row r="2614">
      <c r="A2614" s="7">
        <v>2613.0</v>
      </c>
      <c r="B2614" s="8" t="s">
        <v>11048</v>
      </c>
      <c r="C2614" s="9" t="s">
        <v>11049</v>
      </c>
      <c r="D2614" s="10" t="str">
        <f>HYPERLINK("https://facebook.com/367089020688300_541851229878744", "367089020688300_541851229878744")</f>
        <v>367089020688300_541851229878744</v>
      </c>
      <c r="E2614" s="11">
        <v>115.0</v>
      </c>
      <c r="F2614" s="11">
        <v>0.0</v>
      </c>
      <c r="G2614" s="11">
        <v>45.0</v>
      </c>
      <c r="H2614" s="9" t="s">
        <v>26</v>
      </c>
      <c r="I2614" s="9" t="s">
        <v>11050</v>
      </c>
      <c r="J2614" s="16" t="s">
        <v>11051</v>
      </c>
      <c r="K2614" s="9"/>
      <c r="L2614" s="9" t="s">
        <v>30</v>
      </c>
      <c r="M2614" s="9" t="s">
        <v>31</v>
      </c>
      <c r="N2614" s="9" t="s">
        <v>32</v>
      </c>
      <c r="O2614" s="12" t="s">
        <v>33</v>
      </c>
      <c r="P2614" s="12" t="s">
        <v>34</v>
      </c>
      <c r="Q2614" s="9"/>
      <c r="R2614" s="18"/>
      <c r="S2614" s="18"/>
      <c r="T2614" s="18"/>
      <c r="U2614" s="18"/>
      <c r="V2614" s="18"/>
      <c r="W2614" s="15"/>
      <c r="X2614" s="15"/>
    </row>
    <row r="2615">
      <c r="A2615" s="7">
        <v>2614.0</v>
      </c>
      <c r="B2615" s="8" t="s">
        <v>11052</v>
      </c>
      <c r="C2615" s="9" t="s">
        <v>11053</v>
      </c>
      <c r="D2615" s="10" t="str">
        <f>HYPERLINK("https://facebook.com/367089020688300_552409378822929", "367089020688300_552409378822929")</f>
        <v>367089020688300_552409378822929</v>
      </c>
      <c r="E2615" s="11">
        <v>31.0</v>
      </c>
      <c r="F2615" s="11">
        <v>0.0</v>
      </c>
      <c r="G2615" s="11">
        <v>29.0</v>
      </c>
      <c r="H2615" s="9" t="s">
        <v>26</v>
      </c>
      <c r="I2615" s="9" t="s">
        <v>11054</v>
      </c>
      <c r="J2615" s="16" t="s">
        <v>11055</v>
      </c>
      <c r="K2615" s="9"/>
      <c r="L2615" s="9" t="s">
        <v>30</v>
      </c>
      <c r="M2615" s="9" t="s">
        <v>31</v>
      </c>
      <c r="N2615" s="9" t="s">
        <v>32</v>
      </c>
      <c r="O2615" s="12" t="s">
        <v>33</v>
      </c>
      <c r="P2615" s="12" t="s">
        <v>34</v>
      </c>
      <c r="Q2615" s="9"/>
      <c r="R2615" s="18"/>
      <c r="S2615" s="18"/>
      <c r="T2615" s="18"/>
      <c r="U2615" s="18"/>
      <c r="V2615" s="18"/>
      <c r="W2615" s="15"/>
      <c r="X2615" s="15"/>
    </row>
    <row r="2616">
      <c r="A2616" s="7">
        <v>2615.0</v>
      </c>
      <c r="B2616" s="8" t="s">
        <v>11056</v>
      </c>
      <c r="C2616" s="9" t="s">
        <v>11057</v>
      </c>
      <c r="D2616" s="10" t="str">
        <f>HYPERLINK("https://facebook.com/367089020688300_396920271038508", "367089020688300_396920271038508")</f>
        <v>367089020688300_396920271038508</v>
      </c>
      <c r="E2616" s="11">
        <v>397.0</v>
      </c>
      <c r="F2616" s="11">
        <v>10.0</v>
      </c>
      <c r="G2616" s="11">
        <v>462.0</v>
      </c>
      <c r="H2616" s="9" t="s">
        <v>26</v>
      </c>
      <c r="I2616" s="9" t="s">
        <v>1965</v>
      </c>
      <c r="J2616" s="9" t="s">
        <v>11058</v>
      </c>
      <c r="K2616" s="9" t="s">
        <v>11059</v>
      </c>
      <c r="L2616" s="9" t="s">
        <v>30</v>
      </c>
      <c r="M2616" s="9" t="s">
        <v>31</v>
      </c>
      <c r="N2616" s="9" t="s">
        <v>32</v>
      </c>
      <c r="O2616" s="12" t="s">
        <v>33</v>
      </c>
      <c r="P2616" s="12" t="s">
        <v>34</v>
      </c>
      <c r="Q2616" s="9"/>
      <c r="R2616" s="18"/>
      <c r="S2616" s="18"/>
      <c r="T2616" s="18"/>
      <c r="U2616" s="18"/>
      <c r="V2616" s="18"/>
      <c r="W2616" s="15"/>
      <c r="X2616" s="15"/>
    </row>
    <row r="2617">
      <c r="A2617" s="7">
        <v>2616.0</v>
      </c>
      <c r="B2617" s="8" t="s">
        <v>11060</v>
      </c>
      <c r="C2617" s="9" t="s">
        <v>11061</v>
      </c>
      <c r="D2617" s="10" t="str">
        <f>HYPERLINK("https://facebook.com/367089020688300_548770675853466", "367089020688300_548770675853466")</f>
        <v>367089020688300_548770675853466</v>
      </c>
      <c r="E2617" s="11">
        <v>119.0</v>
      </c>
      <c r="F2617" s="11">
        <v>5.0</v>
      </c>
      <c r="G2617" s="11">
        <v>166.0</v>
      </c>
      <c r="H2617" s="9" t="s">
        <v>26</v>
      </c>
      <c r="I2617" s="9" t="s">
        <v>11062</v>
      </c>
      <c r="J2617" s="16" t="s">
        <v>11063</v>
      </c>
      <c r="K2617" s="9"/>
      <c r="L2617" s="9" t="s">
        <v>30</v>
      </c>
      <c r="M2617" s="9" t="s">
        <v>31</v>
      </c>
      <c r="N2617" s="9" t="s">
        <v>32</v>
      </c>
      <c r="O2617" s="12" t="s">
        <v>33</v>
      </c>
      <c r="P2617" s="12" t="s">
        <v>34</v>
      </c>
      <c r="Q2617" s="9"/>
      <c r="R2617" s="18"/>
      <c r="S2617" s="18"/>
      <c r="T2617" s="18"/>
      <c r="U2617" s="18"/>
      <c r="V2617" s="18"/>
      <c r="W2617" s="15"/>
      <c r="X2617" s="15"/>
    </row>
    <row r="2618">
      <c r="A2618" s="7">
        <v>2617.0</v>
      </c>
      <c r="B2618" s="8" t="s">
        <v>11064</v>
      </c>
      <c r="C2618" s="9" t="s">
        <v>11065</v>
      </c>
      <c r="D2618" s="10" t="str">
        <f>HYPERLINK("https://facebook.com/367089020688300_424747024922499", "367089020688300_424747024922499")</f>
        <v>367089020688300_424747024922499</v>
      </c>
      <c r="E2618" s="11">
        <v>4.0</v>
      </c>
      <c r="F2618" s="11">
        <v>0.0</v>
      </c>
      <c r="G2618" s="11">
        <v>2.0</v>
      </c>
      <c r="H2618" s="9" t="s">
        <v>26</v>
      </c>
      <c r="I2618" s="9" t="s">
        <v>7400</v>
      </c>
      <c r="J2618" s="9" t="s">
        <v>11066</v>
      </c>
      <c r="K2618" s="9" t="s">
        <v>11067</v>
      </c>
      <c r="L2618" s="9" t="s">
        <v>30</v>
      </c>
      <c r="M2618" s="9" t="s">
        <v>31</v>
      </c>
      <c r="N2618" s="9" t="s">
        <v>32</v>
      </c>
      <c r="O2618" s="12" t="s">
        <v>33</v>
      </c>
      <c r="P2618" s="12" t="s">
        <v>34</v>
      </c>
      <c r="Q2618" s="9"/>
      <c r="R2618" s="18"/>
      <c r="S2618" s="18"/>
      <c r="T2618" s="18"/>
      <c r="U2618" s="18"/>
      <c r="V2618" s="18"/>
      <c r="W2618" s="15"/>
      <c r="X2618" s="15"/>
    </row>
    <row r="2619">
      <c r="A2619" s="7">
        <v>2618.0</v>
      </c>
      <c r="B2619" s="8" t="s">
        <v>11068</v>
      </c>
      <c r="C2619" s="9" t="s">
        <v>11069</v>
      </c>
      <c r="D2619" s="10" t="str">
        <f>HYPERLINK("https://facebook.com/367089020688300_536151467115387", "367089020688300_536151467115387")</f>
        <v>367089020688300_536151467115387</v>
      </c>
      <c r="E2619" s="11">
        <v>14.0</v>
      </c>
      <c r="F2619" s="11">
        <v>0.0</v>
      </c>
      <c r="G2619" s="11">
        <v>30.0</v>
      </c>
      <c r="H2619" s="9" t="s">
        <v>26</v>
      </c>
      <c r="I2619" s="9" t="s">
        <v>11070</v>
      </c>
      <c r="J2619" s="9" t="s">
        <v>11071</v>
      </c>
      <c r="K2619" s="9" t="s">
        <v>219</v>
      </c>
      <c r="L2619" s="9" t="s">
        <v>30</v>
      </c>
      <c r="M2619" s="9" t="s">
        <v>31</v>
      </c>
      <c r="N2619" s="9" t="s">
        <v>32</v>
      </c>
      <c r="O2619" s="12" t="s">
        <v>33</v>
      </c>
      <c r="P2619" s="12" t="s">
        <v>34</v>
      </c>
      <c r="Q2619" s="9"/>
      <c r="R2619" s="18"/>
      <c r="S2619" s="18"/>
      <c r="T2619" s="18"/>
      <c r="U2619" s="18"/>
      <c r="V2619" s="18"/>
      <c r="W2619" s="15"/>
      <c r="X2619" s="15"/>
    </row>
    <row r="2620">
      <c r="A2620" s="7">
        <v>2619.0</v>
      </c>
      <c r="B2620" s="8" t="s">
        <v>11072</v>
      </c>
      <c r="C2620" s="9" t="s">
        <v>11073</v>
      </c>
      <c r="D2620" s="10" t="str">
        <f>HYPERLINK("https://facebook.com/367089020688300_533474374049763", "367089020688300_533474374049763")</f>
        <v>367089020688300_533474374049763</v>
      </c>
      <c r="E2620" s="11">
        <v>931.0</v>
      </c>
      <c r="F2620" s="11">
        <v>24.0</v>
      </c>
      <c r="G2620" s="11">
        <v>527.0</v>
      </c>
      <c r="H2620" s="9" t="s">
        <v>26</v>
      </c>
      <c r="I2620" s="9" t="s">
        <v>11074</v>
      </c>
      <c r="J2620" s="16" t="s">
        <v>11075</v>
      </c>
      <c r="K2620" s="9"/>
      <c r="L2620" s="9" t="s">
        <v>30</v>
      </c>
      <c r="M2620" s="9" t="s">
        <v>31</v>
      </c>
      <c r="N2620" s="9" t="s">
        <v>32</v>
      </c>
      <c r="O2620" s="12" t="s">
        <v>33</v>
      </c>
      <c r="P2620" s="12" t="s">
        <v>34</v>
      </c>
      <c r="Q2620" s="9"/>
      <c r="R2620" s="18"/>
      <c r="S2620" s="18"/>
      <c r="T2620" s="18"/>
      <c r="U2620" s="18"/>
      <c r="V2620" s="18"/>
      <c r="W2620" s="15"/>
      <c r="X2620" s="15"/>
    </row>
    <row r="2621">
      <c r="A2621" s="7">
        <v>2620.0</v>
      </c>
      <c r="B2621" s="8" t="s">
        <v>11076</v>
      </c>
      <c r="C2621" s="9" t="s">
        <v>11077</v>
      </c>
      <c r="D2621" s="10" t="str">
        <f>HYPERLINK("https://facebook.com/367089020688300_553931382004062", "367089020688300_553931382004062")</f>
        <v>367089020688300_553931382004062</v>
      </c>
      <c r="E2621" s="11">
        <v>5.0</v>
      </c>
      <c r="F2621" s="11">
        <v>0.0</v>
      </c>
      <c r="G2621" s="11">
        <v>4.0</v>
      </c>
      <c r="H2621" s="9" t="s">
        <v>26</v>
      </c>
      <c r="I2621" s="9" t="s">
        <v>11078</v>
      </c>
      <c r="J2621" s="16" t="s">
        <v>11079</v>
      </c>
      <c r="K2621" s="9"/>
      <c r="L2621" s="9" t="s">
        <v>30</v>
      </c>
      <c r="M2621" s="9" t="s">
        <v>31</v>
      </c>
      <c r="N2621" s="9" t="s">
        <v>32</v>
      </c>
      <c r="O2621" s="12" t="s">
        <v>33</v>
      </c>
      <c r="P2621" s="12" t="s">
        <v>34</v>
      </c>
      <c r="Q2621" s="9"/>
      <c r="R2621" s="18"/>
      <c r="S2621" s="18"/>
      <c r="T2621" s="18"/>
      <c r="U2621" s="18"/>
      <c r="V2621" s="18"/>
      <c r="W2621" s="15"/>
      <c r="X2621" s="15"/>
    </row>
    <row r="2622">
      <c r="A2622" s="7">
        <v>2621.0</v>
      </c>
      <c r="B2622" s="8" t="s">
        <v>11080</v>
      </c>
      <c r="C2622" s="9" t="s">
        <v>11081</v>
      </c>
      <c r="D2622" s="10" t="str">
        <f>HYPERLINK("https://facebook.com/367089020688300_553242788739588", "367089020688300_553242788739588")</f>
        <v>367089020688300_553242788739588</v>
      </c>
      <c r="E2622" s="11">
        <v>115.0</v>
      </c>
      <c r="F2622" s="11">
        <v>3.0</v>
      </c>
      <c r="G2622" s="11">
        <v>372.0</v>
      </c>
      <c r="H2622" s="9" t="s">
        <v>26</v>
      </c>
      <c r="I2622" s="9" t="s">
        <v>11082</v>
      </c>
      <c r="J2622" s="9" t="s">
        <v>11083</v>
      </c>
      <c r="K2622" s="9" t="s">
        <v>249</v>
      </c>
      <c r="L2622" s="9" t="s">
        <v>30</v>
      </c>
      <c r="M2622" s="9" t="s">
        <v>31</v>
      </c>
      <c r="N2622" s="9" t="s">
        <v>32</v>
      </c>
      <c r="O2622" s="12" t="s">
        <v>33</v>
      </c>
      <c r="P2622" s="12" t="s">
        <v>34</v>
      </c>
      <c r="Q2622" s="9"/>
      <c r="R2622" s="18"/>
      <c r="S2622" s="18"/>
      <c r="T2622" s="18"/>
      <c r="U2622" s="18"/>
      <c r="V2622" s="18"/>
      <c r="W2622" s="15"/>
      <c r="X2622" s="15"/>
    </row>
    <row r="2623">
      <c r="A2623" s="7">
        <v>2622.0</v>
      </c>
      <c r="B2623" s="8" t="s">
        <v>11084</v>
      </c>
      <c r="C2623" s="9" t="s">
        <v>11085</v>
      </c>
      <c r="D2623" s="10" t="str">
        <f>HYPERLINK("https://facebook.com/367089020688300_557823708281496", "367089020688300_557823708281496")</f>
        <v>367089020688300_557823708281496</v>
      </c>
      <c r="E2623" s="11">
        <v>17.0</v>
      </c>
      <c r="F2623" s="11">
        <v>0.0</v>
      </c>
      <c r="G2623" s="11">
        <v>15.0</v>
      </c>
      <c r="H2623" s="9" t="s">
        <v>26</v>
      </c>
      <c r="I2623" s="9" t="s">
        <v>11086</v>
      </c>
      <c r="J2623" s="9" t="s">
        <v>11087</v>
      </c>
      <c r="K2623" s="9" t="s">
        <v>663</v>
      </c>
      <c r="L2623" s="9" t="s">
        <v>30</v>
      </c>
      <c r="M2623" s="9" t="s">
        <v>31</v>
      </c>
      <c r="N2623" s="9" t="s">
        <v>32</v>
      </c>
      <c r="O2623" s="12" t="s">
        <v>33</v>
      </c>
      <c r="P2623" s="12" t="s">
        <v>34</v>
      </c>
      <c r="Q2623" s="9"/>
      <c r="R2623" s="18"/>
      <c r="S2623" s="18"/>
      <c r="T2623" s="18"/>
      <c r="U2623" s="18"/>
      <c r="V2623" s="18"/>
      <c r="W2623" s="15"/>
      <c r="X2623" s="15"/>
    </row>
    <row r="2624">
      <c r="A2624" s="7">
        <v>2623.0</v>
      </c>
      <c r="B2624" s="8" t="s">
        <v>11088</v>
      </c>
      <c r="C2624" s="9" t="s">
        <v>11089</v>
      </c>
      <c r="D2624" s="10" t="str">
        <f>HYPERLINK("https://facebook.com/367089020688300_407888919941643", "367089020688300_407888919941643")</f>
        <v>367089020688300_407888919941643</v>
      </c>
      <c r="E2624" s="11">
        <v>38.0</v>
      </c>
      <c r="F2624" s="11">
        <v>3.0</v>
      </c>
      <c r="G2624" s="11">
        <v>75.0</v>
      </c>
      <c r="H2624" s="9" t="s">
        <v>26</v>
      </c>
      <c r="I2624" s="9" t="s">
        <v>3325</v>
      </c>
      <c r="J2624" s="9" t="s">
        <v>11090</v>
      </c>
      <c r="K2624" s="9" t="s">
        <v>11091</v>
      </c>
      <c r="L2624" s="9" t="s">
        <v>30</v>
      </c>
      <c r="M2624" s="9" t="s">
        <v>31</v>
      </c>
      <c r="N2624" s="9" t="s">
        <v>32</v>
      </c>
      <c r="O2624" s="12" t="s">
        <v>33</v>
      </c>
      <c r="P2624" s="12" t="s">
        <v>34</v>
      </c>
      <c r="Q2624" s="9"/>
      <c r="R2624" s="18"/>
      <c r="S2624" s="18"/>
      <c r="T2624" s="18"/>
      <c r="U2624" s="18"/>
      <c r="V2624" s="18"/>
      <c r="W2624" s="15"/>
      <c r="X2624" s="15"/>
    </row>
    <row r="2625">
      <c r="A2625" s="7">
        <v>2624.0</v>
      </c>
      <c r="B2625" s="8" t="s">
        <v>11092</v>
      </c>
      <c r="C2625" s="9" t="s">
        <v>11093</v>
      </c>
      <c r="D2625" s="10" t="str">
        <f>HYPERLINK("https://facebook.com/367089020688300_544130016317532", "367089020688300_544130016317532")</f>
        <v>367089020688300_544130016317532</v>
      </c>
      <c r="E2625" s="11">
        <v>247.0</v>
      </c>
      <c r="F2625" s="11">
        <v>5.0</v>
      </c>
      <c r="G2625" s="11">
        <v>103.0</v>
      </c>
      <c r="H2625" s="9" t="s">
        <v>26</v>
      </c>
      <c r="I2625" s="9" t="s">
        <v>284</v>
      </c>
      <c r="J2625" s="16" t="s">
        <v>285</v>
      </c>
      <c r="K2625" s="9"/>
      <c r="L2625" s="9" t="s">
        <v>30</v>
      </c>
      <c r="M2625" s="9" t="s">
        <v>31</v>
      </c>
      <c r="N2625" s="9" t="s">
        <v>32</v>
      </c>
      <c r="O2625" s="12" t="s">
        <v>33</v>
      </c>
      <c r="P2625" s="12" t="s">
        <v>34</v>
      </c>
      <c r="Q2625" s="9"/>
      <c r="R2625" s="18"/>
      <c r="S2625" s="18"/>
      <c r="T2625" s="18"/>
      <c r="U2625" s="18"/>
      <c r="V2625" s="18"/>
      <c r="W2625" s="15"/>
      <c r="X2625" s="15"/>
    </row>
    <row r="2626">
      <c r="A2626" s="7">
        <v>2625.0</v>
      </c>
      <c r="B2626" s="8" t="s">
        <v>11094</v>
      </c>
      <c r="C2626" s="9" t="s">
        <v>11095</v>
      </c>
      <c r="D2626" s="10" t="str">
        <f>HYPERLINK("https://facebook.com/367089020688300_411516189578916", "367089020688300_411516189578916")</f>
        <v>367089020688300_411516189578916</v>
      </c>
      <c r="E2626" s="11">
        <v>808.0</v>
      </c>
      <c r="F2626" s="11">
        <v>46.0</v>
      </c>
      <c r="G2626" s="11">
        <v>414.0</v>
      </c>
      <c r="H2626" s="9" t="s">
        <v>26</v>
      </c>
      <c r="I2626" s="9" t="s">
        <v>11096</v>
      </c>
      <c r="J2626" s="9" t="s">
        <v>11097</v>
      </c>
      <c r="K2626" s="9" t="s">
        <v>11098</v>
      </c>
      <c r="L2626" s="9" t="s">
        <v>30</v>
      </c>
      <c r="M2626" s="9" t="s">
        <v>31</v>
      </c>
      <c r="N2626" s="9" t="s">
        <v>32</v>
      </c>
      <c r="O2626" s="12" t="s">
        <v>33</v>
      </c>
      <c r="P2626" s="12" t="s">
        <v>34</v>
      </c>
      <c r="Q2626" s="9"/>
      <c r="R2626" s="18"/>
      <c r="S2626" s="18"/>
      <c r="T2626" s="18"/>
      <c r="U2626" s="18"/>
      <c r="V2626" s="18"/>
      <c r="W2626" s="15"/>
      <c r="X2626" s="15"/>
    </row>
    <row r="2627">
      <c r="A2627" s="7">
        <v>2626.0</v>
      </c>
      <c r="B2627" s="8" t="s">
        <v>11099</v>
      </c>
      <c r="C2627" s="9" t="s">
        <v>11100</v>
      </c>
      <c r="D2627" s="10" t="str">
        <f>HYPERLINK("https://facebook.com/367089020688300_543378829725984", "367089020688300_543378829725984")</f>
        <v>367089020688300_543378829725984</v>
      </c>
      <c r="E2627" s="11">
        <v>197.0</v>
      </c>
      <c r="F2627" s="11">
        <v>3.0</v>
      </c>
      <c r="G2627" s="11">
        <v>442.0</v>
      </c>
      <c r="H2627" s="9" t="s">
        <v>26</v>
      </c>
      <c r="I2627" s="9" t="s">
        <v>11101</v>
      </c>
      <c r="J2627" s="9" t="s">
        <v>11102</v>
      </c>
      <c r="K2627" s="9" t="s">
        <v>11103</v>
      </c>
      <c r="L2627" s="9" t="s">
        <v>30</v>
      </c>
      <c r="M2627" s="9" t="s">
        <v>31</v>
      </c>
      <c r="N2627" s="9" t="s">
        <v>32</v>
      </c>
      <c r="O2627" s="12" t="s">
        <v>33</v>
      </c>
      <c r="P2627" s="12" t="s">
        <v>34</v>
      </c>
      <c r="Q2627" s="9"/>
      <c r="R2627" s="18"/>
      <c r="S2627" s="18"/>
      <c r="T2627" s="18"/>
      <c r="U2627" s="18"/>
      <c r="V2627" s="18"/>
      <c r="W2627" s="15"/>
      <c r="X2627" s="15"/>
    </row>
    <row r="2628">
      <c r="A2628" s="7">
        <v>2627.0</v>
      </c>
      <c r="B2628" s="8" t="s">
        <v>11104</v>
      </c>
      <c r="C2628" s="9" t="s">
        <v>11105</v>
      </c>
      <c r="D2628" s="10" t="str">
        <f>HYPERLINK("https://facebook.com/367089020688300_511523749578159", "367089020688300_511523749578159")</f>
        <v>367089020688300_511523749578159</v>
      </c>
      <c r="E2628" s="11">
        <v>472.0</v>
      </c>
      <c r="F2628" s="11">
        <v>8.0</v>
      </c>
      <c r="G2628" s="11">
        <v>330.0</v>
      </c>
      <c r="H2628" s="9" t="s">
        <v>26</v>
      </c>
      <c r="I2628" s="9" t="s">
        <v>11106</v>
      </c>
      <c r="J2628" s="9" t="s">
        <v>11107</v>
      </c>
      <c r="K2628" s="9" t="s">
        <v>11108</v>
      </c>
      <c r="L2628" s="9" t="s">
        <v>30</v>
      </c>
      <c r="M2628" s="9" t="s">
        <v>31</v>
      </c>
      <c r="N2628" s="9" t="s">
        <v>32</v>
      </c>
      <c r="O2628" s="12" t="s">
        <v>33</v>
      </c>
      <c r="P2628" s="12" t="s">
        <v>34</v>
      </c>
      <c r="Q2628" s="9"/>
      <c r="R2628" s="18"/>
      <c r="S2628" s="18"/>
      <c r="T2628" s="18"/>
      <c r="U2628" s="18"/>
      <c r="V2628" s="18"/>
      <c r="W2628" s="15"/>
      <c r="X2628" s="15"/>
    </row>
    <row r="2629">
      <c r="A2629" s="7">
        <v>2628.0</v>
      </c>
      <c r="B2629" s="8" t="s">
        <v>11109</v>
      </c>
      <c r="C2629" s="9" t="s">
        <v>11110</v>
      </c>
      <c r="D2629" s="10" t="str">
        <f>HYPERLINK("https://facebook.com/367089020688300_521240291939838", "367089020688300_521240291939838")</f>
        <v>367089020688300_521240291939838</v>
      </c>
      <c r="E2629" s="11">
        <v>60.0</v>
      </c>
      <c r="F2629" s="11">
        <v>2.0</v>
      </c>
      <c r="G2629" s="11">
        <v>96.0</v>
      </c>
      <c r="H2629" s="9" t="s">
        <v>26</v>
      </c>
      <c r="I2629" s="9" t="s">
        <v>11111</v>
      </c>
      <c r="J2629" s="9" t="s">
        <v>11112</v>
      </c>
      <c r="K2629" s="9" t="s">
        <v>11113</v>
      </c>
      <c r="L2629" s="9" t="s">
        <v>30</v>
      </c>
      <c r="M2629" s="9" t="s">
        <v>31</v>
      </c>
      <c r="N2629" s="9" t="s">
        <v>32</v>
      </c>
      <c r="O2629" s="12" t="s">
        <v>33</v>
      </c>
      <c r="P2629" s="12" t="s">
        <v>34</v>
      </c>
      <c r="Q2629" s="9"/>
      <c r="R2629" s="18"/>
      <c r="S2629" s="18"/>
      <c r="T2629" s="18"/>
      <c r="U2629" s="18"/>
      <c r="V2629" s="18"/>
      <c r="W2629" s="15"/>
      <c r="X2629" s="15"/>
    </row>
    <row r="2630">
      <c r="A2630" s="7">
        <v>2629.0</v>
      </c>
      <c r="B2630" s="8" t="s">
        <v>11114</v>
      </c>
      <c r="C2630" s="9" t="s">
        <v>11115</v>
      </c>
      <c r="D2630" s="10" t="str">
        <f>HYPERLINK("https://facebook.com/367089020688300_480584586005409", "367089020688300_480584586005409")</f>
        <v>367089020688300_480584586005409</v>
      </c>
      <c r="E2630" s="11">
        <v>344.0</v>
      </c>
      <c r="F2630" s="11">
        <v>6.0</v>
      </c>
      <c r="G2630" s="11">
        <v>253.0</v>
      </c>
      <c r="H2630" s="9" t="s">
        <v>26</v>
      </c>
      <c r="I2630" s="9" t="s">
        <v>11116</v>
      </c>
      <c r="J2630" s="9" t="s">
        <v>11117</v>
      </c>
      <c r="K2630" s="9" t="s">
        <v>11118</v>
      </c>
      <c r="L2630" s="9" t="s">
        <v>30</v>
      </c>
      <c r="M2630" s="9" t="s">
        <v>31</v>
      </c>
      <c r="N2630" s="9" t="s">
        <v>32</v>
      </c>
      <c r="O2630" s="12" t="s">
        <v>33</v>
      </c>
      <c r="P2630" s="12" t="s">
        <v>34</v>
      </c>
      <c r="Q2630" s="9"/>
      <c r="R2630" s="18"/>
      <c r="S2630" s="18"/>
      <c r="T2630" s="18"/>
      <c r="U2630" s="18"/>
      <c r="V2630" s="18"/>
      <c r="W2630" s="15"/>
      <c r="X2630" s="15"/>
    </row>
    <row r="2631">
      <c r="A2631" s="7">
        <v>2630.0</v>
      </c>
      <c r="B2631" s="8" t="s">
        <v>11119</v>
      </c>
      <c r="C2631" s="9" t="s">
        <v>11120</v>
      </c>
      <c r="D2631" s="10" t="str">
        <f>HYPERLINK("https://facebook.com/367089020688300_560331894697344", "367089020688300_560331894697344")</f>
        <v>367089020688300_560331894697344</v>
      </c>
      <c r="E2631" s="11">
        <v>78.0</v>
      </c>
      <c r="F2631" s="11">
        <v>1.0</v>
      </c>
      <c r="G2631" s="11">
        <v>78.0</v>
      </c>
      <c r="H2631" s="9" t="s">
        <v>26</v>
      </c>
      <c r="I2631" s="9" t="s">
        <v>7173</v>
      </c>
      <c r="J2631" s="9" t="s">
        <v>11121</v>
      </c>
      <c r="K2631" s="9" t="s">
        <v>51</v>
      </c>
      <c r="L2631" s="9" t="s">
        <v>30</v>
      </c>
      <c r="M2631" s="9" t="s">
        <v>31</v>
      </c>
      <c r="N2631" s="9" t="s">
        <v>32</v>
      </c>
      <c r="O2631" s="12" t="s">
        <v>33</v>
      </c>
      <c r="P2631" s="12" t="s">
        <v>34</v>
      </c>
      <c r="Q2631" s="9"/>
      <c r="R2631" s="18"/>
      <c r="S2631" s="18"/>
      <c r="T2631" s="18"/>
      <c r="U2631" s="18"/>
      <c r="V2631" s="18"/>
      <c r="W2631" s="15"/>
      <c r="X2631" s="15"/>
    </row>
    <row r="2632">
      <c r="A2632" s="7">
        <v>2631.0</v>
      </c>
      <c r="B2632" s="8" t="s">
        <v>11122</v>
      </c>
      <c r="C2632" s="9" t="s">
        <v>11123</v>
      </c>
      <c r="D2632" s="10" t="str">
        <f>HYPERLINK("https://facebook.com/367089020688300_536626073734593", "367089020688300_536626073734593")</f>
        <v>367089020688300_536626073734593</v>
      </c>
      <c r="E2632" s="11">
        <v>1112.0</v>
      </c>
      <c r="F2632" s="11">
        <v>14.0</v>
      </c>
      <c r="G2632" s="11">
        <v>493.0</v>
      </c>
      <c r="H2632" s="9" t="s">
        <v>26</v>
      </c>
      <c r="I2632" s="9" t="s">
        <v>11124</v>
      </c>
      <c r="J2632" s="16" t="s">
        <v>11125</v>
      </c>
      <c r="K2632" s="9"/>
      <c r="L2632" s="9" t="s">
        <v>30</v>
      </c>
      <c r="M2632" s="9" t="s">
        <v>31</v>
      </c>
      <c r="N2632" s="9" t="s">
        <v>32</v>
      </c>
      <c r="O2632" s="12" t="s">
        <v>33</v>
      </c>
      <c r="P2632" s="12" t="s">
        <v>34</v>
      </c>
      <c r="Q2632" s="9"/>
      <c r="R2632" s="18"/>
      <c r="S2632" s="18"/>
      <c r="T2632" s="18"/>
      <c r="U2632" s="18"/>
      <c r="V2632" s="18"/>
      <c r="W2632" s="15"/>
      <c r="X2632" s="15"/>
    </row>
    <row r="2633">
      <c r="A2633" s="7">
        <v>2632.0</v>
      </c>
      <c r="B2633" s="8" t="s">
        <v>11126</v>
      </c>
      <c r="C2633" s="9" t="s">
        <v>11127</v>
      </c>
      <c r="D2633" s="10" t="str">
        <f>HYPERLINK("https://facebook.com/367089020688300_518391528891381", "367089020688300_518391528891381")</f>
        <v>367089020688300_518391528891381</v>
      </c>
      <c r="E2633" s="11">
        <v>160.0</v>
      </c>
      <c r="F2633" s="11">
        <v>6.0</v>
      </c>
      <c r="G2633" s="11">
        <v>176.0</v>
      </c>
      <c r="H2633" s="9" t="s">
        <v>26</v>
      </c>
      <c r="I2633" s="9" t="s">
        <v>11128</v>
      </c>
      <c r="J2633" s="9" t="s">
        <v>11129</v>
      </c>
      <c r="K2633" s="9" t="s">
        <v>11130</v>
      </c>
      <c r="L2633" s="9" t="s">
        <v>30</v>
      </c>
      <c r="M2633" s="9" t="s">
        <v>31</v>
      </c>
      <c r="N2633" s="9" t="s">
        <v>32</v>
      </c>
      <c r="O2633" s="12" t="s">
        <v>33</v>
      </c>
      <c r="P2633" s="12" t="s">
        <v>34</v>
      </c>
      <c r="Q2633" s="9"/>
      <c r="R2633" s="18"/>
      <c r="S2633" s="18"/>
      <c r="T2633" s="18"/>
      <c r="U2633" s="18"/>
      <c r="V2633" s="18"/>
      <c r="W2633" s="15"/>
      <c r="X2633" s="15"/>
    </row>
    <row r="2634">
      <c r="A2634" s="7">
        <v>2633.0</v>
      </c>
      <c r="B2634" s="8" t="s">
        <v>11131</v>
      </c>
      <c r="C2634" s="9" t="s">
        <v>11132</v>
      </c>
      <c r="D2634" s="10" t="str">
        <f>HYPERLINK("https://facebook.com/367089020688300_517455958984938", "367089020688300_517455958984938")</f>
        <v>367089020688300_517455958984938</v>
      </c>
      <c r="E2634" s="11">
        <v>223.0</v>
      </c>
      <c r="F2634" s="11">
        <v>20.0</v>
      </c>
      <c r="G2634" s="11">
        <v>240.0</v>
      </c>
      <c r="H2634" s="9" t="s">
        <v>26</v>
      </c>
      <c r="I2634" s="9" t="s">
        <v>11133</v>
      </c>
      <c r="J2634" s="9" t="s">
        <v>11134</v>
      </c>
      <c r="K2634" s="9" t="s">
        <v>10937</v>
      </c>
      <c r="L2634" s="9" t="s">
        <v>30</v>
      </c>
      <c r="M2634" s="9" t="s">
        <v>31</v>
      </c>
      <c r="N2634" s="9" t="s">
        <v>32</v>
      </c>
      <c r="O2634" s="12" t="s">
        <v>33</v>
      </c>
      <c r="P2634" s="12" t="s">
        <v>34</v>
      </c>
      <c r="Q2634" s="9"/>
      <c r="R2634" s="18"/>
      <c r="S2634" s="18"/>
      <c r="T2634" s="18"/>
      <c r="U2634" s="18"/>
      <c r="V2634" s="18"/>
      <c r="W2634" s="15"/>
      <c r="X2634" s="15"/>
    </row>
    <row r="2635">
      <c r="A2635" s="7">
        <v>2634.0</v>
      </c>
      <c r="B2635" s="8" t="s">
        <v>11135</v>
      </c>
      <c r="C2635" s="9" t="s">
        <v>11136</v>
      </c>
      <c r="D2635" s="10" t="str">
        <f>HYPERLINK("https://facebook.com/367089020688300_553651998698667", "367089020688300_553651998698667")</f>
        <v>367089020688300_553651998698667</v>
      </c>
      <c r="E2635" s="11">
        <v>264.0</v>
      </c>
      <c r="F2635" s="11">
        <v>13.0</v>
      </c>
      <c r="G2635" s="11">
        <v>319.0</v>
      </c>
      <c r="H2635" s="9" t="s">
        <v>26</v>
      </c>
      <c r="I2635" s="9" t="s">
        <v>11137</v>
      </c>
      <c r="J2635" s="16" t="s">
        <v>11138</v>
      </c>
      <c r="K2635" s="9"/>
      <c r="L2635" s="9" t="s">
        <v>30</v>
      </c>
      <c r="M2635" s="9" t="s">
        <v>31</v>
      </c>
      <c r="N2635" s="9" t="s">
        <v>32</v>
      </c>
      <c r="O2635" s="12" t="s">
        <v>33</v>
      </c>
      <c r="P2635" s="12" t="s">
        <v>34</v>
      </c>
      <c r="Q2635" s="9"/>
      <c r="R2635" s="18"/>
      <c r="S2635" s="18"/>
      <c r="T2635" s="18"/>
      <c r="U2635" s="18"/>
      <c r="V2635" s="18"/>
      <c r="W2635" s="15"/>
      <c r="X2635" s="15"/>
    </row>
    <row r="2636">
      <c r="A2636" s="7">
        <v>2635.0</v>
      </c>
      <c r="B2636" s="8" t="s">
        <v>11139</v>
      </c>
      <c r="C2636" s="9" t="s">
        <v>11140</v>
      </c>
      <c r="D2636" s="10" t="str">
        <f>HYPERLINK("https://facebook.com/367089020688300_460006931396508", "367089020688300_460006931396508")</f>
        <v>367089020688300_460006931396508</v>
      </c>
      <c r="E2636" s="11">
        <v>223.0</v>
      </c>
      <c r="F2636" s="11">
        <v>11.0</v>
      </c>
      <c r="G2636" s="11">
        <v>339.0</v>
      </c>
      <c r="H2636" s="9" t="s">
        <v>26</v>
      </c>
      <c r="I2636" s="9" t="s">
        <v>11141</v>
      </c>
      <c r="J2636" s="9" t="s">
        <v>11142</v>
      </c>
      <c r="K2636" s="9" t="s">
        <v>11143</v>
      </c>
      <c r="L2636" s="9" t="s">
        <v>30</v>
      </c>
      <c r="M2636" s="9" t="s">
        <v>31</v>
      </c>
      <c r="N2636" s="9" t="s">
        <v>32</v>
      </c>
      <c r="O2636" s="12" t="s">
        <v>33</v>
      </c>
      <c r="P2636" s="12" t="s">
        <v>34</v>
      </c>
      <c r="Q2636" s="9"/>
      <c r="R2636" s="18"/>
      <c r="S2636" s="18"/>
      <c r="T2636" s="18"/>
      <c r="U2636" s="18"/>
      <c r="V2636" s="18"/>
      <c r="W2636" s="15"/>
      <c r="X2636" s="15"/>
    </row>
    <row r="2637">
      <c r="A2637" s="7">
        <v>2636.0</v>
      </c>
      <c r="B2637" s="8" t="s">
        <v>11144</v>
      </c>
      <c r="C2637" s="9" t="s">
        <v>11145</v>
      </c>
      <c r="D2637" s="10" t="str">
        <f>HYPERLINK("https://facebook.com/367089020688300_528319801231887", "367089020688300_528319801231887")</f>
        <v>367089020688300_528319801231887</v>
      </c>
      <c r="E2637" s="11">
        <v>20.0</v>
      </c>
      <c r="F2637" s="11">
        <v>0.0</v>
      </c>
      <c r="G2637" s="11">
        <v>12.0</v>
      </c>
      <c r="H2637" s="9" t="s">
        <v>26</v>
      </c>
      <c r="I2637" s="9" t="s">
        <v>11146</v>
      </c>
      <c r="J2637" s="9" t="s">
        <v>11147</v>
      </c>
      <c r="K2637" s="9" t="s">
        <v>11148</v>
      </c>
      <c r="L2637" s="9" t="s">
        <v>30</v>
      </c>
      <c r="M2637" s="9" t="s">
        <v>31</v>
      </c>
      <c r="N2637" s="9" t="s">
        <v>32</v>
      </c>
      <c r="O2637" s="12" t="s">
        <v>33</v>
      </c>
      <c r="P2637" s="12" t="s">
        <v>34</v>
      </c>
      <c r="Q2637" s="9"/>
      <c r="R2637" s="18"/>
      <c r="S2637" s="18"/>
      <c r="T2637" s="18"/>
      <c r="U2637" s="18"/>
      <c r="V2637" s="18"/>
      <c r="W2637" s="15"/>
      <c r="X2637" s="15"/>
    </row>
    <row r="2638">
      <c r="A2638" s="7">
        <v>2637.0</v>
      </c>
      <c r="B2638" s="8" t="s">
        <v>11149</v>
      </c>
      <c r="C2638" s="9" t="s">
        <v>11150</v>
      </c>
      <c r="D2638" s="10" t="str">
        <f>HYPERLINK("https://facebook.com/367089020688300_542490329814834", "367089020688300_542490329814834")</f>
        <v>367089020688300_542490329814834</v>
      </c>
      <c r="E2638" s="11">
        <v>106.0</v>
      </c>
      <c r="F2638" s="11">
        <v>37.0</v>
      </c>
      <c r="G2638" s="11">
        <v>94.0</v>
      </c>
      <c r="H2638" s="9" t="s">
        <v>26</v>
      </c>
      <c r="I2638" s="9" t="s">
        <v>1394</v>
      </c>
      <c r="J2638" s="16" t="s">
        <v>1395</v>
      </c>
      <c r="K2638" s="9"/>
      <c r="L2638" s="9" t="s">
        <v>30</v>
      </c>
      <c r="M2638" s="9" t="s">
        <v>31</v>
      </c>
      <c r="N2638" s="9" t="s">
        <v>32</v>
      </c>
      <c r="O2638" s="12" t="s">
        <v>33</v>
      </c>
      <c r="P2638" s="12" t="s">
        <v>34</v>
      </c>
      <c r="Q2638" s="9"/>
      <c r="R2638" s="18"/>
      <c r="S2638" s="18"/>
      <c r="T2638" s="18"/>
      <c r="U2638" s="18"/>
      <c r="V2638" s="18"/>
      <c r="W2638" s="15"/>
      <c r="X2638" s="15"/>
    </row>
    <row r="2639">
      <c r="A2639" s="7">
        <v>2638.0</v>
      </c>
      <c r="B2639" s="8" t="s">
        <v>11151</v>
      </c>
      <c r="C2639" s="9" t="s">
        <v>11152</v>
      </c>
      <c r="D2639" s="10" t="str">
        <f>HYPERLINK("https://facebook.com/367089020688300_548574759206391", "367089020688300_548574759206391")</f>
        <v>367089020688300_548574759206391</v>
      </c>
      <c r="E2639" s="11">
        <v>775.0</v>
      </c>
      <c r="F2639" s="11">
        <v>21.0</v>
      </c>
      <c r="G2639" s="11">
        <v>471.0</v>
      </c>
      <c r="H2639" s="9" t="s">
        <v>26</v>
      </c>
      <c r="I2639" s="9" t="s">
        <v>11153</v>
      </c>
      <c r="J2639" s="9" t="s">
        <v>11154</v>
      </c>
      <c r="K2639" s="9" t="s">
        <v>1264</v>
      </c>
      <c r="L2639" s="9" t="s">
        <v>30</v>
      </c>
      <c r="M2639" s="9" t="s">
        <v>31</v>
      </c>
      <c r="N2639" s="9" t="s">
        <v>32</v>
      </c>
      <c r="O2639" s="12" t="s">
        <v>33</v>
      </c>
      <c r="P2639" s="12" t="s">
        <v>34</v>
      </c>
      <c r="Q2639" s="9"/>
      <c r="R2639" s="18"/>
      <c r="S2639" s="18"/>
      <c r="T2639" s="18"/>
      <c r="U2639" s="18"/>
      <c r="V2639" s="18"/>
      <c r="W2639" s="15"/>
      <c r="X2639" s="15"/>
    </row>
    <row r="2640">
      <c r="A2640" s="7">
        <v>2639.0</v>
      </c>
      <c r="B2640" s="8" t="s">
        <v>11155</v>
      </c>
      <c r="C2640" s="9" t="s">
        <v>11156</v>
      </c>
      <c r="D2640" s="10" t="str">
        <f>HYPERLINK("https://facebook.com/367089020688300_561026224627911", "367089020688300_561026224627911")</f>
        <v>367089020688300_561026224627911</v>
      </c>
      <c r="E2640" s="11">
        <v>1373.0</v>
      </c>
      <c r="F2640" s="11">
        <v>19.0</v>
      </c>
      <c r="G2640" s="11">
        <v>704.0</v>
      </c>
      <c r="H2640" s="9" t="s">
        <v>26</v>
      </c>
      <c r="I2640" s="9" t="s">
        <v>11157</v>
      </c>
      <c r="J2640" s="16" t="s">
        <v>11158</v>
      </c>
      <c r="K2640" s="9"/>
      <c r="L2640" s="9" t="s">
        <v>30</v>
      </c>
      <c r="M2640" s="9" t="s">
        <v>31</v>
      </c>
      <c r="N2640" s="9" t="s">
        <v>32</v>
      </c>
      <c r="O2640" s="12" t="s">
        <v>33</v>
      </c>
      <c r="P2640" s="12" t="s">
        <v>34</v>
      </c>
      <c r="Q2640" s="9"/>
      <c r="R2640" s="18"/>
      <c r="S2640" s="18"/>
      <c r="T2640" s="18"/>
      <c r="U2640" s="18"/>
      <c r="V2640" s="18"/>
      <c r="W2640" s="15"/>
      <c r="X2640" s="15"/>
    </row>
    <row r="2641">
      <c r="A2641" s="7">
        <v>2640.0</v>
      </c>
      <c r="B2641" s="8" t="s">
        <v>11159</v>
      </c>
      <c r="C2641" s="9" t="s">
        <v>11160</v>
      </c>
      <c r="D2641" s="10" t="str">
        <f>HYPERLINK("https://facebook.com/367089020688300_545476546182879", "367089020688300_545476546182879")</f>
        <v>367089020688300_545476546182879</v>
      </c>
      <c r="E2641" s="11">
        <v>77.0</v>
      </c>
      <c r="F2641" s="11">
        <v>17.0</v>
      </c>
      <c r="G2641" s="11">
        <v>13.0</v>
      </c>
      <c r="H2641" s="9" t="s">
        <v>26</v>
      </c>
      <c r="I2641" s="9" t="s">
        <v>993</v>
      </c>
      <c r="J2641" s="16" t="s">
        <v>994</v>
      </c>
      <c r="K2641" s="9"/>
      <c r="L2641" s="9" t="s">
        <v>30</v>
      </c>
      <c r="M2641" s="9" t="s">
        <v>31</v>
      </c>
      <c r="N2641" s="9" t="s">
        <v>32</v>
      </c>
      <c r="O2641" s="12" t="s">
        <v>33</v>
      </c>
      <c r="P2641" s="12" t="s">
        <v>34</v>
      </c>
      <c r="Q2641" s="9"/>
      <c r="R2641" s="18"/>
      <c r="S2641" s="18"/>
      <c r="T2641" s="18"/>
      <c r="U2641" s="18"/>
      <c r="V2641" s="18"/>
      <c r="W2641" s="15"/>
      <c r="X2641" s="15"/>
    </row>
    <row r="2642">
      <c r="A2642" s="7">
        <v>2641.0</v>
      </c>
      <c r="B2642" s="8" t="s">
        <v>11161</v>
      </c>
      <c r="C2642" s="9" t="s">
        <v>11162</v>
      </c>
      <c r="D2642" s="10" t="str">
        <f>HYPERLINK("https://facebook.com/367089020688300_557983078265559", "367089020688300_557983078265559")</f>
        <v>367089020688300_557983078265559</v>
      </c>
      <c r="E2642" s="11">
        <v>111.0</v>
      </c>
      <c r="F2642" s="11">
        <v>11.0</v>
      </c>
      <c r="G2642" s="11">
        <v>135.0</v>
      </c>
      <c r="H2642" s="9" t="s">
        <v>26</v>
      </c>
      <c r="I2642" s="9" t="s">
        <v>11163</v>
      </c>
      <c r="J2642" s="16" t="s">
        <v>11164</v>
      </c>
      <c r="K2642" s="9"/>
      <c r="L2642" s="9" t="s">
        <v>30</v>
      </c>
      <c r="M2642" s="9" t="s">
        <v>31</v>
      </c>
      <c r="N2642" s="9" t="s">
        <v>32</v>
      </c>
      <c r="O2642" s="12" t="s">
        <v>33</v>
      </c>
      <c r="P2642" s="12" t="s">
        <v>34</v>
      </c>
      <c r="Q2642" s="9"/>
      <c r="R2642" s="18"/>
      <c r="S2642" s="18"/>
      <c r="T2642" s="18"/>
      <c r="U2642" s="18"/>
      <c r="V2642" s="18"/>
      <c r="W2642" s="15"/>
      <c r="X2642" s="15"/>
    </row>
    <row r="2643">
      <c r="A2643" s="7">
        <v>2642.0</v>
      </c>
      <c r="B2643" s="8" t="s">
        <v>11165</v>
      </c>
      <c r="C2643" s="9" t="s">
        <v>11166</v>
      </c>
      <c r="D2643" s="10" t="str">
        <f>HYPERLINK("https://facebook.com/367089020688300_537938646936669", "367089020688300_537938646936669")</f>
        <v>367089020688300_537938646936669</v>
      </c>
      <c r="E2643" s="11">
        <v>60.0</v>
      </c>
      <c r="F2643" s="11">
        <v>0.0</v>
      </c>
      <c r="G2643" s="11">
        <v>74.0</v>
      </c>
      <c r="H2643" s="9" t="s">
        <v>26</v>
      </c>
      <c r="I2643" s="9" t="s">
        <v>1244</v>
      </c>
      <c r="J2643" s="16" t="s">
        <v>1245</v>
      </c>
      <c r="K2643" s="9"/>
      <c r="L2643" s="9" t="s">
        <v>30</v>
      </c>
      <c r="M2643" s="9" t="s">
        <v>31</v>
      </c>
      <c r="N2643" s="9" t="s">
        <v>32</v>
      </c>
      <c r="O2643" s="12" t="s">
        <v>33</v>
      </c>
      <c r="P2643" s="12" t="s">
        <v>34</v>
      </c>
      <c r="Q2643" s="9"/>
      <c r="R2643" s="18"/>
      <c r="S2643" s="18"/>
      <c r="T2643" s="18"/>
      <c r="U2643" s="18"/>
      <c r="V2643" s="18"/>
      <c r="W2643" s="15"/>
      <c r="X2643" s="15"/>
    </row>
    <row r="2644">
      <c r="A2644" s="7">
        <v>2643.0</v>
      </c>
      <c r="B2644" s="8" t="s">
        <v>11167</v>
      </c>
      <c r="C2644" s="9" t="s">
        <v>11168</v>
      </c>
      <c r="D2644" s="10" t="str">
        <f>HYPERLINK("https://facebook.com/367089020688300_396288411101694", "367089020688300_396288411101694")</f>
        <v>367089020688300_396288411101694</v>
      </c>
      <c r="E2644" s="11">
        <v>107.0</v>
      </c>
      <c r="F2644" s="11">
        <v>0.0</v>
      </c>
      <c r="G2644" s="11">
        <v>111.0</v>
      </c>
      <c r="H2644" s="9" t="s">
        <v>26</v>
      </c>
      <c r="I2644" s="9" t="s">
        <v>11169</v>
      </c>
      <c r="J2644" s="9" t="s">
        <v>11170</v>
      </c>
      <c r="K2644" s="9" t="s">
        <v>11171</v>
      </c>
      <c r="L2644" s="9" t="s">
        <v>30</v>
      </c>
      <c r="M2644" s="9" t="s">
        <v>31</v>
      </c>
      <c r="N2644" s="9" t="s">
        <v>32</v>
      </c>
      <c r="O2644" s="12" t="s">
        <v>33</v>
      </c>
      <c r="P2644" s="12" t="s">
        <v>34</v>
      </c>
      <c r="Q2644" s="9"/>
      <c r="R2644" s="18"/>
      <c r="S2644" s="18"/>
      <c r="T2644" s="18"/>
      <c r="U2644" s="18"/>
      <c r="V2644" s="18"/>
      <c r="W2644" s="15"/>
      <c r="X2644" s="15"/>
    </row>
    <row r="2645">
      <c r="A2645" s="7">
        <v>2644.0</v>
      </c>
      <c r="B2645" s="8" t="s">
        <v>11172</v>
      </c>
      <c r="C2645" s="9" t="s">
        <v>11173</v>
      </c>
      <c r="D2645" s="10" t="str">
        <f>HYPERLINK("https://facebook.com/367089020688300_558699914860542", "367089020688300_558699914860542")</f>
        <v>367089020688300_558699914860542</v>
      </c>
      <c r="E2645" s="11">
        <v>99.0</v>
      </c>
      <c r="F2645" s="11">
        <v>0.0</v>
      </c>
      <c r="G2645" s="11">
        <v>113.0</v>
      </c>
      <c r="H2645" s="9" t="s">
        <v>26</v>
      </c>
      <c r="I2645" s="9" t="s">
        <v>1587</v>
      </c>
      <c r="J2645" s="16" t="s">
        <v>1588</v>
      </c>
      <c r="K2645" s="9"/>
      <c r="L2645" s="9" t="s">
        <v>30</v>
      </c>
      <c r="M2645" s="9" t="s">
        <v>31</v>
      </c>
      <c r="N2645" s="9" t="s">
        <v>32</v>
      </c>
      <c r="O2645" s="12" t="s">
        <v>33</v>
      </c>
      <c r="P2645" s="12" t="s">
        <v>34</v>
      </c>
      <c r="Q2645" s="9"/>
      <c r="R2645" s="18"/>
      <c r="S2645" s="18"/>
      <c r="T2645" s="18"/>
      <c r="U2645" s="18"/>
      <c r="V2645" s="18"/>
      <c r="W2645" s="15"/>
      <c r="X2645" s="15"/>
    </row>
    <row r="2646">
      <c r="A2646" s="7">
        <v>2645.0</v>
      </c>
      <c r="B2646" s="8" t="s">
        <v>11174</v>
      </c>
      <c r="C2646" s="9" t="s">
        <v>11175</v>
      </c>
      <c r="D2646" s="10" t="str">
        <f>HYPERLINK("https://facebook.com/367089020688300_460936551303546", "367089020688300_460936551303546")</f>
        <v>367089020688300_460936551303546</v>
      </c>
      <c r="E2646" s="11">
        <v>134.0</v>
      </c>
      <c r="F2646" s="11">
        <v>2.0</v>
      </c>
      <c r="G2646" s="11">
        <v>125.0</v>
      </c>
      <c r="H2646" s="9" t="s">
        <v>26</v>
      </c>
      <c r="I2646" s="9" t="s">
        <v>11176</v>
      </c>
      <c r="J2646" s="9" t="s">
        <v>11177</v>
      </c>
      <c r="K2646" s="9" t="s">
        <v>11178</v>
      </c>
      <c r="L2646" s="9" t="s">
        <v>30</v>
      </c>
      <c r="M2646" s="9" t="s">
        <v>31</v>
      </c>
      <c r="N2646" s="9" t="s">
        <v>32</v>
      </c>
      <c r="O2646" s="12" t="s">
        <v>33</v>
      </c>
      <c r="P2646" s="12" t="s">
        <v>34</v>
      </c>
      <c r="Q2646" s="9"/>
      <c r="R2646" s="18"/>
      <c r="S2646" s="18"/>
      <c r="T2646" s="18"/>
      <c r="U2646" s="18"/>
      <c r="V2646" s="18"/>
      <c r="W2646" s="15"/>
      <c r="X2646" s="15"/>
    </row>
    <row r="2647">
      <c r="A2647" s="7">
        <v>2646.0</v>
      </c>
      <c r="B2647" s="8" t="s">
        <v>11179</v>
      </c>
      <c r="C2647" s="9" t="s">
        <v>11180</v>
      </c>
      <c r="D2647" s="10" t="str">
        <f>HYPERLINK("https://facebook.com/367089020688300_369372267126642", "367089020688300_369372267126642")</f>
        <v>367089020688300_369372267126642</v>
      </c>
      <c r="E2647" s="11">
        <v>816.0</v>
      </c>
      <c r="F2647" s="11">
        <v>151.0</v>
      </c>
      <c r="G2647" s="11">
        <v>116.0</v>
      </c>
      <c r="H2647" s="9" t="s">
        <v>26</v>
      </c>
      <c r="I2647" s="9" t="s">
        <v>8058</v>
      </c>
      <c r="J2647" s="9" t="s">
        <v>11181</v>
      </c>
      <c r="K2647" s="9" t="s">
        <v>11182</v>
      </c>
      <c r="L2647" s="9" t="s">
        <v>30</v>
      </c>
      <c r="M2647" s="9" t="s">
        <v>31</v>
      </c>
      <c r="N2647" s="9" t="s">
        <v>32</v>
      </c>
      <c r="O2647" s="12" t="s">
        <v>33</v>
      </c>
      <c r="P2647" s="12" t="s">
        <v>34</v>
      </c>
      <c r="Q2647" s="9"/>
      <c r="R2647" s="18"/>
      <c r="S2647" s="18"/>
      <c r="T2647" s="18"/>
      <c r="U2647" s="18"/>
      <c r="V2647" s="18"/>
      <c r="W2647" s="15"/>
      <c r="X2647" s="15"/>
    </row>
    <row r="2648">
      <c r="A2648" s="7">
        <v>2647.0</v>
      </c>
      <c r="B2648" s="8" t="s">
        <v>11183</v>
      </c>
      <c r="C2648" s="9" t="s">
        <v>11184</v>
      </c>
      <c r="D2648" s="10" t="str">
        <f>HYPERLINK("https://facebook.com/367089020688300_557688388295028", "367089020688300_557688388295028")</f>
        <v>367089020688300_557688388295028</v>
      </c>
      <c r="E2648" s="11">
        <v>11.0</v>
      </c>
      <c r="F2648" s="11">
        <v>0.0</v>
      </c>
      <c r="G2648" s="11">
        <v>2.0</v>
      </c>
      <c r="H2648" s="9" t="s">
        <v>26</v>
      </c>
      <c r="I2648" s="9" t="s">
        <v>11185</v>
      </c>
      <c r="J2648" s="9" t="s">
        <v>11186</v>
      </c>
      <c r="K2648" s="9" t="s">
        <v>11187</v>
      </c>
      <c r="L2648" s="9" t="s">
        <v>30</v>
      </c>
      <c r="M2648" s="9" t="s">
        <v>31</v>
      </c>
      <c r="N2648" s="9" t="s">
        <v>32</v>
      </c>
      <c r="O2648" s="12" t="s">
        <v>33</v>
      </c>
      <c r="P2648" s="12" t="s">
        <v>34</v>
      </c>
      <c r="Q2648" s="9"/>
      <c r="R2648" s="18"/>
      <c r="S2648" s="18"/>
      <c r="T2648" s="18"/>
      <c r="U2648" s="18"/>
      <c r="V2648" s="18"/>
      <c r="W2648" s="15"/>
      <c r="X2648" s="15"/>
    </row>
    <row r="2649">
      <c r="A2649" s="7">
        <v>2648.0</v>
      </c>
      <c r="B2649" s="8" t="s">
        <v>11188</v>
      </c>
      <c r="C2649" s="9" t="s">
        <v>11189</v>
      </c>
      <c r="D2649" s="10" t="str">
        <f>HYPERLINK("https://facebook.com/367089020688300_562747987789068", "367089020688300_562747987789068")</f>
        <v>367089020688300_562747987789068</v>
      </c>
      <c r="E2649" s="11">
        <v>122.0</v>
      </c>
      <c r="F2649" s="11">
        <v>0.0</v>
      </c>
      <c r="G2649" s="11">
        <v>42.0</v>
      </c>
      <c r="H2649" s="9" t="s">
        <v>26</v>
      </c>
      <c r="I2649" s="9" t="s">
        <v>1436</v>
      </c>
      <c r="J2649" s="9" t="s">
        <v>11190</v>
      </c>
      <c r="K2649" s="9" t="s">
        <v>11191</v>
      </c>
      <c r="L2649" s="9" t="s">
        <v>30</v>
      </c>
      <c r="M2649" s="9" t="s">
        <v>31</v>
      </c>
      <c r="N2649" s="9" t="s">
        <v>32</v>
      </c>
      <c r="O2649" s="12" t="s">
        <v>33</v>
      </c>
      <c r="P2649" s="12" t="s">
        <v>34</v>
      </c>
      <c r="Q2649" s="9"/>
      <c r="R2649" s="18"/>
      <c r="S2649" s="18"/>
      <c r="T2649" s="18"/>
      <c r="U2649" s="18"/>
      <c r="V2649" s="18"/>
      <c r="W2649" s="15"/>
      <c r="X2649" s="15"/>
    </row>
    <row r="2650">
      <c r="A2650" s="7">
        <v>2649.0</v>
      </c>
      <c r="B2650" s="8" t="s">
        <v>11192</v>
      </c>
      <c r="C2650" s="9" t="s">
        <v>11193</v>
      </c>
      <c r="D2650" s="10" t="str">
        <f>HYPERLINK("https://facebook.com/367089020688300_544584169605450", "367089020688300_544584169605450")</f>
        <v>367089020688300_544584169605450</v>
      </c>
      <c r="E2650" s="11">
        <v>281.0</v>
      </c>
      <c r="F2650" s="11">
        <v>5.0</v>
      </c>
      <c r="G2650" s="11">
        <v>246.0</v>
      </c>
      <c r="H2650" s="9" t="s">
        <v>26</v>
      </c>
      <c r="I2650" s="9" t="s">
        <v>11194</v>
      </c>
      <c r="J2650" s="16" t="s">
        <v>11195</v>
      </c>
      <c r="K2650" s="9"/>
      <c r="L2650" s="9" t="s">
        <v>30</v>
      </c>
      <c r="M2650" s="9" t="s">
        <v>31</v>
      </c>
      <c r="N2650" s="9" t="s">
        <v>32</v>
      </c>
      <c r="O2650" s="12" t="s">
        <v>33</v>
      </c>
      <c r="P2650" s="12" t="s">
        <v>34</v>
      </c>
      <c r="Q2650" s="9"/>
      <c r="R2650" s="18"/>
      <c r="S2650" s="18"/>
      <c r="T2650" s="18"/>
      <c r="U2650" s="18"/>
      <c r="V2650" s="18"/>
      <c r="W2650" s="15"/>
      <c r="X2650" s="15"/>
    </row>
    <row r="2651">
      <c r="A2651" s="7">
        <v>2650.0</v>
      </c>
      <c r="B2651" s="8" t="s">
        <v>11196</v>
      </c>
      <c r="C2651" s="9" t="s">
        <v>11197</v>
      </c>
      <c r="D2651" s="10" t="str">
        <f>HYPERLINK("https://facebook.com/367089020688300_551781195552414", "367089020688300_551781195552414")</f>
        <v>367089020688300_551781195552414</v>
      </c>
      <c r="E2651" s="11">
        <v>62.0</v>
      </c>
      <c r="F2651" s="11">
        <v>0.0</v>
      </c>
      <c r="G2651" s="11">
        <v>21.0</v>
      </c>
      <c r="H2651" s="9" t="s">
        <v>26</v>
      </c>
      <c r="I2651" s="9" t="s">
        <v>11198</v>
      </c>
      <c r="J2651" s="16" t="s">
        <v>11199</v>
      </c>
      <c r="K2651" s="9"/>
      <c r="L2651" s="9" t="s">
        <v>30</v>
      </c>
      <c r="M2651" s="9" t="s">
        <v>31</v>
      </c>
      <c r="N2651" s="9" t="s">
        <v>32</v>
      </c>
      <c r="O2651" s="12" t="s">
        <v>33</v>
      </c>
      <c r="P2651" s="12" t="s">
        <v>34</v>
      </c>
      <c r="Q2651" s="9"/>
      <c r="R2651" s="18"/>
      <c r="S2651" s="18"/>
      <c r="T2651" s="18"/>
      <c r="U2651" s="18"/>
      <c r="V2651" s="18"/>
      <c r="W2651" s="15"/>
      <c r="X2651" s="15"/>
    </row>
    <row r="2652">
      <c r="A2652" s="7">
        <v>2651.0</v>
      </c>
      <c r="B2652" s="8" t="s">
        <v>11200</v>
      </c>
      <c r="C2652" s="9" t="s">
        <v>11201</v>
      </c>
      <c r="D2652" s="10" t="str">
        <f>HYPERLINK("https://facebook.com/367089020688300_539623113434889", "367089020688300_539623113434889")</f>
        <v>367089020688300_539623113434889</v>
      </c>
      <c r="E2652" s="11">
        <v>10.0</v>
      </c>
      <c r="F2652" s="11">
        <v>0.0</v>
      </c>
      <c r="G2652" s="11">
        <v>6.0</v>
      </c>
      <c r="H2652" s="9" t="s">
        <v>26</v>
      </c>
      <c r="I2652" s="9" t="s">
        <v>11202</v>
      </c>
      <c r="J2652" s="9" t="s">
        <v>11203</v>
      </c>
      <c r="K2652" s="9" t="s">
        <v>476</v>
      </c>
      <c r="L2652" s="9" t="s">
        <v>30</v>
      </c>
      <c r="M2652" s="9" t="s">
        <v>31</v>
      </c>
      <c r="N2652" s="9" t="s">
        <v>32</v>
      </c>
      <c r="O2652" s="12" t="s">
        <v>33</v>
      </c>
      <c r="P2652" s="12" t="s">
        <v>34</v>
      </c>
      <c r="Q2652" s="9"/>
      <c r="R2652" s="18"/>
      <c r="S2652" s="18"/>
      <c r="T2652" s="18"/>
      <c r="U2652" s="18"/>
      <c r="V2652" s="18"/>
      <c r="W2652" s="15"/>
      <c r="X2652" s="15"/>
    </row>
    <row r="2653">
      <c r="A2653" s="7">
        <v>2652.0</v>
      </c>
      <c r="B2653" s="8" t="s">
        <v>11204</v>
      </c>
      <c r="C2653" s="9" t="s">
        <v>11205</v>
      </c>
      <c r="D2653" s="10" t="str">
        <f>HYPERLINK("https://facebook.com/367089020688300_480748625989005", "367089020688300_480748625989005")</f>
        <v>367089020688300_480748625989005</v>
      </c>
      <c r="E2653" s="11">
        <v>264.0</v>
      </c>
      <c r="F2653" s="11">
        <v>7.0</v>
      </c>
      <c r="G2653" s="11">
        <v>422.0</v>
      </c>
      <c r="H2653" s="9" t="s">
        <v>26</v>
      </c>
      <c r="I2653" s="9" t="s">
        <v>7799</v>
      </c>
      <c r="J2653" s="9" t="s">
        <v>11206</v>
      </c>
      <c r="K2653" s="9" t="s">
        <v>11207</v>
      </c>
      <c r="L2653" s="9" t="s">
        <v>30</v>
      </c>
      <c r="M2653" s="9" t="s">
        <v>31</v>
      </c>
      <c r="N2653" s="9" t="s">
        <v>32</v>
      </c>
      <c r="O2653" s="12" t="s">
        <v>33</v>
      </c>
      <c r="P2653" s="12" t="s">
        <v>34</v>
      </c>
      <c r="Q2653" s="9"/>
      <c r="R2653" s="18"/>
      <c r="S2653" s="18"/>
      <c r="T2653" s="18"/>
      <c r="U2653" s="18"/>
      <c r="V2653" s="18"/>
      <c r="W2653" s="15"/>
      <c r="X2653" s="15"/>
    </row>
    <row r="2654">
      <c r="A2654" s="7">
        <v>2653.0</v>
      </c>
      <c r="B2654" s="8" t="s">
        <v>11208</v>
      </c>
      <c r="C2654" s="9" t="s">
        <v>11209</v>
      </c>
      <c r="D2654" s="10" t="str">
        <f>HYPERLINK("https://facebook.com/367089020688300_520961388634395", "367089020688300_520961388634395")</f>
        <v>367089020688300_520961388634395</v>
      </c>
      <c r="E2654" s="11">
        <v>598.0</v>
      </c>
      <c r="F2654" s="11">
        <v>39.0</v>
      </c>
      <c r="G2654" s="11">
        <v>455.0</v>
      </c>
      <c r="H2654" s="9" t="s">
        <v>26</v>
      </c>
      <c r="I2654" s="9" t="s">
        <v>5787</v>
      </c>
      <c r="J2654" s="9" t="s">
        <v>11210</v>
      </c>
      <c r="K2654" s="9" t="s">
        <v>11211</v>
      </c>
      <c r="L2654" s="9" t="s">
        <v>30</v>
      </c>
      <c r="M2654" s="9" t="s">
        <v>31</v>
      </c>
      <c r="N2654" s="9" t="s">
        <v>32</v>
      </c>
      <c r="O2654" s="12" t="s">
        <v>33</v>
      </c>
      <c r="P2654" s="12" t="s">
        <v>34</v>
      </c>
      <c r="Q2654" s="9"/>
      <c r="R2654" s="18"/>
      <c r="S2654" s="18"/>
      <c r="T2654" s="18"/>
      <c r="U2654" s="18"/>
      <c r="V2654" s="18"/>
      <c r="W2654" s="15"/>
      <c r="X2654" s="15"/>
    </row>
    <row r="2655">
      <c r="A2655" s="7">
        <v>2654.0</v>
      </c>
      <c r="B2655" s="8" t="s">
        <v>11212</v>
      </c>
      <c r="C2655" s="9" t="s">
        <v>11213</v>
      </c>
      <c r="D2655" s="10" t="str">
        <f>HYPERLINK("https://facebook.com/367089020688300_367750587288810", "367089020688300_367750587288810")</f>
        <v>367089020688300_367750587288810</v>
      </c>
      <c r="E2655" s="11">
        <v>2199.0</v>
      </c>
      <c r="F2655" s="11">
        <v>403.0</v>
      </c>
      <c r="G2655" s="11">
        <v>1772.0</v>
      </c>
      <c r="H2655" s="9" t="s">
        <v>26</v>
      </c>
      <c r="I2655" s="9" t="s">
        <v>11214</v>
      </c>
      <c r="J2655" s="9" t="s">
        <v>11215</v>
      </c>
      <c r="K2655" s="9" t="s">
        <v>11216</v>
      </c>
      <c r="L2655" s="9" t="s">
        <v>30</v>
      </c>
      <c r="M2655" s="9" t="s">
        <v>31</v>
      </c>
      <c r="N2655" s="9" t="s">
        <v>32</v>
      </c>
      <c r="O2655" s="12" t="s">
        <v>33</v>
      </c>
      <c r="P2655" s="12" t="s">
        <v>34</v>
      </c>
      <c r="Q2655" s="9"/>
      <c r="R2655" s="18"/>
      <c r="S2655" s="18"/>
      <c r="T2655" s="18"/>
      <c r="U2655" s="18"/>
      <c r="V2655" s="18"/>
      <c r="W2655" s="15"/>
      <c r="X2655" s="15"/>
    </row>
    <row r="2656">
      <c r="A2656" s="7">
        <v>2655.0</v>
      </c>
      <c r="B2656" s="8" t="s">
        <v>11217</v>
      </c>
      <c r="C2656" s="9" t="s">
        <v>11218</v>
      </c>
      <c r="D2656" s="10" t="str">
        <f>HYPERLINK("https://facebook.com/367089020688300_419943008736234", "367089020688300_419943008736234")</f>
        <v>367089020688300_419943008736234</v>
      </c>
      <c r="E2656" s="11">
        <v>931.0</v>
      </c>
      <c r="F2656" s="11">
        <v>43.0</v>
      </c>
      <c r="G2656" s="11">
        <v>947.0</v>
      </c>
      <c r="H2656" s="9" t="s">
        <v>26</v>
      </c>
      <c r="I2656" s="9" t="s">
        <v>11219</v>
      </c>
      <c r="J2656" s="9" t="s">
        <v>11220</v>
      </c>
      <c r="K2656" s="9" t="s">
        <v>11221</v>
      </c>
      <c r="L2656" s="9" t="s">
        <v>30</v>
      </c>
      <c r="M2656" s="9" t="s">
        <v>31</v>
      </c>
      <c r="N2656" s="9" t="s">
        <v>32</v>
      </c>
      <c r="O2656" s="12" t="s">
        <v>33</v>
      </c>
      <c r="P2656" s="12" t="s">
        <v>34</v>
      </c>
      <c r="Q2656" s="9"/>
      <c r="R2656" s="18"/>
      <c r="S2656" s="18"/>
      <c r="T2656" s="18"/>
      <c r="U2656" s="18"/>
      <c r="V2656" s="18"/>
      <c r="W2656" s="15"/>
      <c r="X2656" s="15"/>
    </row>
    <row r="2657">
      <c r="A2657" s="7">
        <v>2656.0</v>
      </c>
      <c r="B2657" s="8" t="s">
        <v>11222</v>
      </c>
      <c r="C2657" s="9" t="s">
        <v>11223</v>
      </c>
      <c r="D2657" s="10" t="str">
        <f>HYPERLINK("https://facebook.com/367089020688300_544381029625764", "367089020688300_544381029625764")</f>
        <v>367089020688300_544381029625764</v>
      </c>
      <c r="E2657" s="11">
        <v>196.0</v>
      </c>
      <c r="F2657" s="11">
        <v>3.0</v>
      </c>
      <c r="G2657" s="11">
        <v>44.0</v>
      </c>
      <c r="H2657" s="9" t="s">
        <v>26</v>
      </c>
      <c r="I2657" s="9" t="s">
        <v>7249</v>
      </c>
      <c r="J2657" s="16" t="s">
        <v>7250</v>
      </c>
      <c r="K2657" s="9"/>
      <c r="L2657" s="9" t="s">
        <v>30</v>
      </c>
      <c r="M2657" s="9" t="s">
        <v>31</v>
      </c>
      <c r="N2657" s="9" t="s">
        <v>32</v>
      </c>
      <c r="O2657" s="12" t="s">
        <v>33</v>
      </c>
      <c r="P2657" s="12" t="s">
        <v>34</v>
      </c>
      <c r="Q2657" s="9"/>
      <c r="R2657" s="18"/>
      <c r="S2657" s="18"/>
      <c r="T2657" s="18"/>
      <c r="U2657" s="18"/>
      <c r="V2657" s="18"/>
      <c r="W2657" s="15"/>
      <c r="X2657" s="15"/>
    </row>
    <row r="2658">
      <c r="A2658" s="7">
        <v>2657.0</v>
      </c>
      <c r="B2658" s="8" t="s">
        <v>11224</v>
      </c>
      <c r="C2658" s="9" t="s">
        <v>11225</v>
      </c>
      <c r="D2658" s="10" t="str">
        <f>HYPERLINK("https://facebook.com/367089020688300_555695381827662", "367089020688300_555695381827662")</f>
        <v>367089020688300_555695381827662</v>
      </c>
      <c r="E2658" s="11">
        <v>19.0</v>
      </c>
      <c r="F2658" s="11">
        <v>0.0</v>
      </c>
      <c r="G2658" s="11">
        <v>40.0</v>
      </c>
      <c r="H2658" s="9" t="s">
        <v>26</v>
      </c>
      <c r="I2658" s="9" t="s">
        <v>11226</v>
      </c>
      <c r="J2658" s="9" t="s">
        <v>11227</v>
      </c>
      <c r="K2658" s="9" t="s">
        <v>11228</v>
      </c>
      <c r="L2658" s="9" t="s">
        <v>30</v>
      </c>
      <c r="M2658" s="9" t="s">
        <v>31</v>
      </c>
      <c r="N2658" s="9" t="s">
        <v>32</v>
      </c>
      <c r="O2658" s="12" t="s">
        <v>33</v>
      </c>
      <c r="P2658" s="12" t="s">
        <v>34</v>
      </c>
      <c r="Q2658" s="9"/>
      <c r="R2658" s="18"/>
      <c r="S2658" s="18"/>
      <c r="T2658" s="18"/>
      <c r="U2658" s="18"/>
      <c r="V2658" s="18"/>
      <c r="W2658" s="15"/>
      <c r="X2658" s="15"/>
    </row>
    <row r="2659">
      <c r="A2659" s="7">
        <v>2658.0</v>
      </c>
      <c r="B2659" s="8" t="s">
        <v>11229</v>
      </c>
      <c r="C2659" s="9" t="s">
        <v>11230</v>
      </c>
      <c r="D2659" s="10" t="str">
        <f>HYPERLINK("https://facebook.com/367089020688300_560165398047327", "367089020688300_560165398047327")</f>
        <v>367089020688300_560165398047327</v>
      </c>
      <c r="E2659" s="11">
        <v>78.0</v>
      </c>
      <c r="F2659" s="11">
        <v>0.0</v>
      </c>
      <c r="G2659" s="11">
        <v>7.0</v>
      </c>
      <c r="H2659" s="9" t="s">
        <v>26</v>
      </c>
      <c r="I2659" s="9" t="s">
        <v>11231</v>
      </c>
      <c r="J2659" s="16" t="s">
        <v>11232</v>
      </c>
      <c r="K2659" s="9"/>
      <c r="L2659" s="9" t="s">
        <v>30</v>
      </c>
      <c r="M2659" s="9" t="s">
        <v>31</v>
      </c>
      <c r="N2659" s="9" t="s">
        <v>32</v>
      </c>
      <c r="O2659" s="12" t="s">
        <v>33</v>
      </c>
      <c r="P2659" s="12" t="s">
        <v>34</v>
      </c>
      <c r="Q2659" s="9"/>
      <c r="R2659" s="18"/>
      <c r="S2659" s="18"/>
      <c r="T2659" s="18"/>
      <c r="U2659" s="18"/>
      <c r="V2659" s="18"/>
      <c r="W2659" s="15"/>
      <c r="X2659" s="15"/>
    </row>
    <row r="2660">
      <c r="A2660" s="7">
        <v>2659.0</v>
      </c>
      <c r="B2660" s="8" t="s">
        <v>11233</v>
      </c>
      <c r="C2660" s="9" t="s">
        <v>11234</v>
      </c>
      <c r="D2660" s="10" t="str">
        <f>HYPERLINK("https://facebook.com/367089020688300_517006325696568", "367089020688300_517006325696568")</f>
        <v>367089020688300_517006325696568</v>
      </c>
      <c r="E2660" s="11">
        <v>294.0</v>
      </c>
      <c r="F2660" s="11">
        <v>2.0</v>
      </c>
      <c r="G2660" s="11">
        <v>126.0</v>
      </c>
      <c r="H2660" s="9" t="s">
        <v>26</v>
      </c>
      <c r="I2660" s="9" t="s">
        <v>11235</v>
      </c>
      <c r="J2660" s="16" t="s">
        <v>11236</v>
      </c>
      <c r="K2660" s="9"/>
      <c r="L2660" s="9" t="s">
        <v>30</v>
      </c>
      <c r="M2660" s="9" t="s">
        <v>31</v>
      </c>
      <c r="N2660" s="9" t="s">
        <v>32</v>
      </c>
      <c r="O2660" s="12" t="s">
        <v>33</v>
      </c>
      <c r="P2660" s="12" t="s">
        <v>34</v>
      </c>
      <c r="Q2660" s="9"/>
      <c r="R2660" s="18"/>
      <c r="S2660" s="18"/>
      <c r="T2660" s="18"/>
      <c r="U2660" s="18"/>
      <c r="V2660" s="18"/>
      <c r="W2660" s="15"/>
      <c r="X2660" s="15"/>
    </row>
    <row r="2661">
      <c r="A2661" s="7">
        <v>2660.0</v>
      </c>
      <c r="B2661" s="8" t="s">
        <v>11237</v>
      </c>
      <c r="C2661" s="9" t="s">
        <v>11238</v>
      </c>
      <c r="D2661" s="10" t="str">
        <f>HYPERLINK("https://facebook.com/367089020688300_543377749726092", "367089020688300_543377749726092")</f>
        <v>367089020688300_543377749726092</v>
      </c>
      <c r="E2661" s="11">
        <v>85.0</v>
      </c>
      <c r="F2661" s="11">
        <v>0.0</v>
      </c>
      <c r="G2661" s="11">
        <v>72.0</v>
      </c>
      <c r="H2661" s="9" t="s">
        <v>26</v>
      </c>
      <c r="I2661" s="9" t="s">
        <v>11239</v>
      </c>
      <c r="J2661" s="9" t="s">
        <v>11240</v>
      </c>
      <c r="K2661" s="9" t="s">
        <v>11241</v>
      </c>
      <c r="L2661" s="9" t="s">
        <v>30</v>
      </c>
      <c r="M2661" s="9" t="s">
        <v>31</v>
      </c>
      <c r="N2661" s="9" t="s">
        <v>32</v>
      </c>
      <c r="O2661" s="12" t="s">
        <v>33</v>
      </c>
      <c r="P2661" s="12" t="s">
        <v>34</v>
      </c>
      <c r="Q2661" s="9"/>
      <c r="R2661" s="18"/>
      <c r="S2661" s="18"/>
      <c r="T2661" s="18"/>
      <c r="U2661" s="18"/>
      <c r="V2661" s="18"/>
      <c r="W2661" s="15"/>
      <c r="X2661" s="15"/>
    </row>
    <row r="2662">
      <c r="A2662" s="7">
        <v>2661.0</v>
      </c>
      <c r="B2662" s="8" t="s">
        <v>11242</v>
      </c>
      <c r="C2662" s="9" t="s">
        <v>11243</v>
      </c>
      <c r="D2662" s="10" t="str">
        <f>HYPERLINK("https://facebook.com/367089020688300_486075305456337", "367089020688300_486075305456337")</f>
        <v>367089020688300_486075305456337</v>
      </c>
      <c r="E2662" s="11">
        <v>1256.0</v>
      </c>
      <c r="F2662" s="11">
        <v>37.0</v>
      </c>
      <c r="G2662" s="11">
        <v>839.0</v>
      </c>
      <c r="H2662" s="9" t="s">
        <v>26</v>
      </c>
      <c r="I2662" s="9" t="s">
        <v>11244</v>
      </c>
      <c r="J2662" s="16" t="s">
        <v>11245</v>
      </c>
      <c r="K2662" s="9"/>
      <c r="L2662" s="9" t="s">
        <v>30</v>
      </c>
      <c r="M2662" s="9" t="s">
        <v>31</v>
      </c>
      <c r="N2662" s="9" t="s">
        <v>32</v>
      </c>
      <c r="O2662" s="12" t="s">
        <v>33</v>
      </c>
      <c r="P2662" s="12" t="s">
        <v>34</v>
      </c>
      <c r="Q2662" s="9"/>
      <c r="R2662" s="18"/>
      <c r="S2662" s="18"/>
      <c r="T2662" s="18"/>
      <c r="U2662" s="18"/>
      <c r="V2662" s="18"/>
      <c r="W2662" s="15"/>
      <c r="X2662" s="15"/>
    </row>
    <row r="2663">
      <c r="A2663" s="7">
        <v>2662.0</v>
      </c>
      <c r="B2663" s="8" t="s">
        <v>11246</v>
      </c>
      <c r="C2663" s="9" t="s">
        <v>11247</v>
      </c>
      <c r="D2663" s="10" t="str">
        <f>HYPERLINK("https://facebook.com/367089020688300_562232664507267", "367089020688300_562232664507267")</f>
        <v>367089020688300_562232664507267</v>
      </c>
      <c r="E2663" s="11">
        <v>17.0</v>
      </c>
      <c r="F2663" s="11">
        <v>0.0</v>
      </c>
      <c r="G2663" s="11">
        <v>2.0</v>
      </c>
      <c r="H2663" s="9" t="s">
        <v>26</v>
      </c>
      <c r="I2663" s="9" t="s">
        <v>11248</v>
      </c>
      <c r="J2663" s="9" t="s">
        <v>11249</v>
      </c>
      <c r="K2663" s="9" t="s">
        <v>3866</v>
      </c>
      <c r="L2663" s="9" t="s">
        <v>30</v>
      </c>
      <c r="M2663" s="9" t="s">
        <v>31</v>
      </c>
      <c r="N2663" s="9" t="s">
        <v>32</v>
      </c>
      <c r="O2663" s="12" t="s">
        <v>33</v>
      </c>
      <c r="P2663" s="12" t="s">
        <v>34</v>
      </c>
      <c r="Q2663" s="9"/>
      <c r="R2663" s="18"/>
      <c r="S2663" s="18"/>
      <c r="T2663" s="18"/>
      <c r="U2663" s="18"/>
      <c r="V2663" s="18"/>
      <c r="W2663" s="15"/>
      <c r="X2663" s="15"/>
    </row>
    <row r="2664">
      <c r="A2664" s="7">
        <v>2663.0</v>
      </c>
      <c r="B2664" s="8" t="s">
        <v>11250</v>
      </c>
      <c r="C2664" s="9" t="s">
        <v>11251</v>
      </c>
      <c r="D2664" s="10" t="str">
        <f>HYPERLINK("https://facebook.com/367089020688300_523983014998899", "367089020688300_523983014998899")</f>
        <v>367089020688300_523983014998899</v>
      </c>
      <c r="E2664" s="11">
        <v>108.0</v>
      </c>
      <c r="F2664" s="11">
        <v>2.0</v>
      </c>
      <c r="G2664" s="11">
        <v>43.0</v>
      </c>
      <c r="H2664" s="9" t="s">
        <v>26</v>
      </c>
      <c r="I2664" s="9" t="s">
        <v>11252</v>
      </c>
      <c r="J2664" s="16" t="s">
        <v>11253</v>
      </c>
      <c r="K2664" s="9"/>
      <c r="L2664" s="9" t="s">
        <v>30</v>
      </c>
      <c r="M2664" s="9" t="s">
        <v>31</v>
      </c>
      <c r="N2664" s="9" t="s">
        <v>32</v>
      </c>
      <c r="O2664" s="12" t="s">
        <v>33</v>
      </c>
      <c r="P2664" s="12" t="s">
        <v>34</v>
      </c>
      <c r="Q2664" s="9"/>
      <c r="R2664" s="18"/>
      <c r="S2664" s="18"/>
      <c r="T2664" s="18"/>
      <c r="U2664" s="18"/>
      <c r="V2664" s="18"/>
      <c r="W2664" s="15"/>
      <c r="X2664" s="15"/>
    </row>
    <row r="2665">
      <c r="A2665" s="7">
        <v>2664.0</v>
      </c>
      <c r="B2665" s="8" t="s">
        <v>11254</v>
      </c>
      <c r="C2665" s="9" t="s">
        <v>11255</v>
      </c>
      <c r="D2665" s="10" t="str">
        <f>HYPERLINK("https://facebook.com/367089020688300_478923482838186", "367089020688300_478923482838186")</f>
        <v>367089020688300_478923482838186</v>
      </c>
      <c r="E2665" s="11">
        <v>525.0</v>
      </c>
      <c r="F2665" s="11">
        <v>16.0</v>
      </c>
      <c r="G2665" s="11">
        <v>545.0</v>
      </c>
      <c r="H2665" s="9" t="s">
        <v>26</v>
      </c>
      <c r="I2665" s="9" t="s">
        <v>11256</v>
      </c>
      <c r="J2665" s="16" t="s">
        <v>11257</v>
      </c>
      <c r="K2665" s="9"/>
      <c r="L2665" s="9" t="s">
        <v>30</v>
      </c>
      <c r="M2665" s="9" t="s">
        <v>31</v>
      </c>
      <c r="N2665" s="9" t="s">
        <v>32</v>
      </c>
      <c r="O2665" s="12" t="s">
        <v>33</v>
      </c>
      <c r="P2665" s="12" t="s">
        <v>34</v>
      </c>
      <c r="Q2665" s="9"/>
      <c r="R2665" s="18"/>
      <c r="S2665" s="18"/>
      <c r="T2665" s="18"/>
      <c r="U2665" s="18"/>
      <c r="V2665" s="18"/>
      <c r="W2665" s="15"/>
      <c r="X2665" s="15"/>
    </row>
    <row r="2666">
      <c r="A2666" s="7">
        <v>2665.0</v>
      </c>
      <c r="B2666" s="8" t="s">
        <v>11258</v>
      </c>
      <c r="C2666" s="9" t="s">
        <v>11259</v>
      </c>
      <c r="D2666" s="10" t="str">
        <f>HYPERLINK("https://facebook.com/367089020688300_518810112182856", "367089020688300_518810112182856")</f>
        <v>367089020688300_518810112182856</v>
      </c>
      <c r="E2666" s="11">
        <v>367.0</v>
      </c>
      <c r="F2666" s="11">
        <v>7.0</v>
      </c>
      <c r="G2666" s="11">
        <v>202.0</v>
      </c>
      <c r="H2666" s="9" t="s">
        <v>26</v>
      </c>
      <c r="I2666" s="9" t="s">
        <v>11260</v>
      </c>
      <c r="J2666" s="9" t="s">
        <v>11261</v>
      </c>
      <c r="K2666" s="9" t="s">
        <v>11262</v>
      </c>
      <c r="L2666" s="9" t="s">
        <v>30</v>
      </c>
      <c r="M2666" s="9" t="s">
        <v>31</v>
      </c>
      <c r="N2666" s="9" t="s">
        <v>32</v>
      </c>
      <c r="O2666" s="12" t="s">
        <v>33</v>
      </c>
      <c r="P2666" s="12" t="s">
        <v>34</v>
      </c>
      <c r="Q2666" s="9"/>
      <c r="R2666" s="18"/>
      <c r="S2666" s="18"/>
      <c r="T2666" s="18"/>
      <c r="U2666" s="18"/>
      <c r="V2666" s="18"/>
      <c r="W2666" s="15"/>
      <c r="X2666" s="15"/>
    </row>
    <row r="2667">
      <c r="A2667" s="7">
        <v>2666.0</v>
      </c>
      <c r="B2667" s="8" t="s">
        <v>11263</v>
      </c>
      <c r="C2667" s="9" t="s">
        <v>11264</v>
      </c>
      <c r="D2667" s="10" t="str">
        <f>HYPERLINK("https://facebook.com/367089020688300_511778646219336", "367089020688300_511778646219336")</f>
        <v>367089020688300_511778646219336</v>
      </c>
      <c r="E2667" s="11">
        <v>436.0</v>
      </c>
      <c r="F2667" s="11">
        <v>0.0</v>
      </c>
      <c r="G2667" s="11">
        <v>244.0</v>
      </c>
      <c r="H2667" s="9" t="s">
        <v>26</v>
      </c>
      <c r="I2667" s="9" t="s">
        <v>11265</v>
      </c>
      <c r="J2667" s="16" t="s">
        <v>11266</v>
      </c>
      <c r="K2667" s="9"/>
      <c r="L2667" s="9" t="s">
        <v>30</v>
      </c>
      <c r="M2667" s="9" t="s">
        <v>31</v>
      </c>
      <c r="N2667" s="9" t="s">
        <v>32</v>
      </c>
      <c r="O2667" s="12" t="s">
        <v>33</v>
      </c>
      <c r="P2667" s="12" t="s">
        <v>34</v>
      </c>
      <c r="Q2667" s="9"/>
      <c r="R2667" s="18"/>
      <c r="S2667" s="18"/>
      <c r="T2667" s="18"/>
      <c r="U2667" s="18"/>
      <c r="V2667" s="18"/>
      <c r="W2667" s="15"/>
      <c r="X2667" s="15"/>
    </row>
    <row r="2668">
      <c r="A2668" s="7">
        <v>2667.0</v>
      </c>
      <c r="B2668" s="8" t="s">
        <v>11267</v>
      </c>
      <c r="C2668" s="9" t="s">
        <v>11268</v>
      </c>
      <c r="D2668" s="10" t="str">
        <f>HYPERLINK("https://facebook.com/367089020688300_552183305512203", "367089020688300_552183305512203")</f>
        <v>367089020688300_552183305512203</v>
      </c>
      <c r="E2668" s="11">
        <v>279.0</v>
      </c>
      <c r="F2668" s="11">
        <v>2.0</v>
      </c>
      <c r="G2668" s="11">
        <v>287.0</v>
      </c>
      <c r="H2668" s="9" t="s">
        <v>26</v>
      </c>
      <c r="I2668" s="9" t="s">
        <v>910</v>
      </c>
      <c r="J2668" s="9" t="s">
        <v>911</v>
      </c>
      <c r="K2668" s="9" t="s">
        <v>2367</v>
      </c>
      <c r="L2668" s="9" t="s">
        <v>30</v>
      </c>
      <c r="M2668" s="9" t="s">
        <v>31</v>
      </c>
      <c r="N2668" s="9" t="s">
        <v>32</v>
      </c>
      <c r="O2668" s="12" t="s">
        <v>33</v>
      </c>
      <c r="P2668" s="12" t="s">
        <v>34</v>
      </c>
      <c r="Q2668" s="9"/>
      <c r="R2668" s="18"/>
      <c r="S2668" s="18"/>
      <c r="T2668" s="18"/>
      <c r="U2668" s="18"/>
      <c r="V2668" s="18"/>
      <c r="W2668" s="15"/>
      <c r="X2668" s="15"/>
    </row>
    <row r="2669">
      <c r="A2669" s="7">
        <v>2668.0</v>
      </c>
      <c r="B2669" s="8" t="s">
        <v>11269</v>
      </c>
      <c r="C2669" s="9" t="s">
        <v>11270</v>
      </c>
      <c r="D2669" s="10" t="str">
        <f>HYPERLINK("https://facebook.com/367089020688300_539124986818035", "367089020688300_539124986818035")</f>
        <v>367089020688300_539124986818035</v>
      </c>
      <c r="E2669" s="11">
        <v>5.0</v>
      </c>
      <c r="F2669" s="11">
        <v>0.0</v>
      </c>
      <c r="G2669" s="11">
        <v>6.0</v>
      </c>
      <c r="H2669" s="9" t="s">
        <v>26</v>
      </c>
      <c r="I2669" s="9" t="s">
        <v>5189</v>
      </c>
      <c r="J2669" s="16" t="s">
        <v>5190</v>
      </c>
      <c r="K2669" s="9"/>
      <c r="L2669" s="9" t="s">
        <v>30</v>
      </c>
      <c r="M2669" s="9" t="s">
        <v>31</v>
      </c>
      <c r="N2669" s="9" t="s">
        <v>32</v>
      </c>
      <c r="O2669" s="12" t="s">
        <v>33</v>
      </c>
      <c r="P2669" s="12" t="s">
        <v>34</v>
      </c>
      <c r="Q2669" s="9"/>
      <c r="R2669" s="18"/>
      <c r="S2669" s="18"/>
      <c r="T2669" s="18"/>
      <c r="U2669" s="18"/>
      <c r="V2669" s="18"/>
      <c r="W2669" s="15"/>
      <c r="X2669" s="15"/>
    </row>
    <row r="2670">
      <c r="A2670" s="7">
        <v>2669.0</v>
      </c>
      <c r="B2670" s="8" t="s">
        <v>11271</v>
      </c>
      <c r="C2670" s="9" t="s">
        <v>11272</v>
      </c>
      <c r="D2670" s="10" t="str">
        <f>HYPERLINK("https://facebook.com/367089020688300_556083761788824", "367089020688300_556083761788824")</f>
        <v>367089020688300_556083761788824</v>
      </c>
      <c r="E2670" s="11">
        <v>836.0</v>
      </c>
      <c r="F2670" s="11">
        <v>15.0</v>
      </c>
      <c r="G2670" s="11">
        <v>759.0</v>
      </c>
      <c r="H2670" s="9" t="s">
        <v>26</v>
      </c>
      <c r="I2670" s="9" t="s">
        <v>10844</v>
      </c>
      <c r="J2670" s="16" t="s">
        <v>11273</v>
      </c>
      <c r="K2670" s="9"/>
      <c r="L2670" s="9" t="s">
        <v>30</v>
      </c>
      <c r="M2670" s="9" t="s">
        <v>31</v>
      </c>
      <c r="N2670" s="9" t="s">
        <v>32</v>
      </c>
      <c r="O2670" s="12" t="s">
        <v>33</v>
      </c>
      <c r="P2670" s="12" t="s">
        <v>34</v>
      </c>
      <c r="Q2670" s="9"/>
      <c r="R2670" s="18"/>
      <c r="S2670" s="18"/>
      <c r="T2670" s="18"/>
      <c r="U2670" s="18"/>
      <c r="V2670" s="18"/>
      <c r="W2670" s="15"/>
      <c r="X2670" s="15"/>
    </row>
    <row r="2671">
      <c r="A2671" s="7">
        <v>2670.0</v>
      </c>
      <c r="B2671" s="8" t="s">
        <v>11274</v>
      </c>
      <c r="C2671" s="9" t="s">
        <v>11275</v>
      </c>
      <c r="D2671" s="10" t="str">
        <f>HYPERLINK("https://facebook.com/367089020688300_548014732595727", "367089020688300_548014732595727")</f>
        <v>367089020688300_548014732595727</v>
      </c>
      <c r="E2671" s="11">
        <v>979.0</v>
      </c>
      <c r="F2671" s="11">
        <v>7.0</v>
      </c>
      <c r="G2671" s="11">
        <v>725.0</v>
      </c>
      <c r="H2671" s="9" t="s">
        <v>26</v>
      </c>
      <c r="I2671" s="9" t="s">
        <v>11276</v>
      </c>
      <c r="J2671" s="9" t="s">
        <v>11277</v>
      </c>
      <c r="K2671" s="9" t="s">
        <v>11278</v>
      </c>
      <c r="L2671" s="9" t="s">
        <v>30</v>
      </c>
      <c r="M2671" s="9" t="s">
        <v>31</v>
      </c>
      <c r="N2671" s="9" t="s">
        <v>32</v>
      </c>
      <c r="O2671" s="12" t="s">
        <v>33</v>
      </c>
      <c r="P2671" s="12" t="s">
        <v>34</v>
      </c>
      <c r="Q2671" s="9"/>
      <c r="R2671" s="18"/>
      <c r="S2671" s="18"/>
      <c r="T2671" s="18"/>
      <c r="U2671" s="18"/>
      <c r="V2671" s="18"/>
      <c r="W2671" s="15"/>
      <c r="X2671" s="15"/>
    </row>
    <row r="2672">
      <c r="A2672" s="7">
        <v>2671.0</v>
      </c>
      <c r="B2672" s="8" t="s">
        <v>11279</v>
      </c>
      <c r="C2672" s="9" t="s">
        <v>11280</v>
      </c>
      <c r="D2672" s="10" t="str">
        <f>HYPERLINK("https://facebook.com/367089020688300_547151886015345", "367089020688300_547151886015345")</f>
        <v>367089020688300_547151886015345</v>
      </c>
      <c r="E2672" s="11">
        <v>188.0</v>
      </c>
      <c r="F2672" s="11">
        <v>6.0</v>
      </c>
      <c r="G2672" s="11">
        <v>279.0</v>
      </c>
      <c r="H2672" s="9" t="s">
        <v>26</v>
      </c>
      <c r="I2672" s="9" t="s">
        <v>9713</v>
      </c>
      <c r="J2672" s="16" t="s">
        <v>9714</v>
      </c>
      <c r="K2672" s="9"/>
      <c r="L2672" s="9" t="s">
        <v>30</v>
      </c>
      <c r="M2672" s="9" t="s">
        <v>31</v>
      </c>
      <c r="N2672" s="9" t="s">
        <v>32</v>
      </c>
      <c r="O2672" s="12" t="s">
        <v>33</v>
      </c>
      <c r="P2672" s="12" t="s">
        <v>34</v>
      </c>
      <c r="Q2672" s="9"/>
      <c r="R2672" s="18"/>
      <c r="S2672" s="18"/>
      <c r="T2672" s="18"/>
      <c r="U2672" s="18"/>
      <c r="V2672" s="18"/>
      <c r="W2672" s="15"/>
      <c r="X2672" s="15"/>
    </row>
    <row r="2673">
      <c r="A2673" s="7">
        <v>2672.0</v>
      </c>
      <c r="B2673" s="8" t="s">
        <v>11281</v>
      </c>
      <c r="C2673" s="9" t="s">
        <v>11282</v>
      </c>
      <c r="D2673" s="10" t="str">
        <f>HYPERLINK("https://facebook.com/367089020688300_534501467280387", "367089020688300_534501467280387")</f>
        <v>367089020688300_534501467280387</v>
      </c>
      <c r="E2673" s="11">
        <v>792.0</v>
      </c>
      <c r="F2673" s="11">
        <v>10.0</v>
      </c>
      <c r="G2673" s="11">
        <v>408.0</v>
      </c>
      <c r="H2673" s="9" t="s">
        <v>26</v>
      </c>
      <c r="I2673" s="9" t="s">
        <v>11283</v>
      </c>
      <c r="J2673" s="16" t="s">
        <v>11284</v>
      </c>
      <c r="K2673" s="9"/>
      <c r="L2673" s="9" t="s">
        <v>30</v>
      </c>
      <c r="M2673" s="9" t="s">
        <v>31</v>
      </c>
      <c r="N2673" s="9" t="s">
        <v>32</v>
      </c>
      <c r="O2673" s="12" t="s">
        <v>33</v>
      </c>
      <c r="P2673" s="12" t="s">
        <v>34</v>
      </c>
      <c r="Q2673" s="9"/>
      <c r="R2673" s="18"/>
      <c r="S2673" s="18"/>
      <c r="T2673" s="18"/>
      <c r="U2673" s="18"/>
      <c r="V2673" s="18"/>
      <c r="W2673" s="15"/>
      <c r="X2673" s="15"/>
    </row>
    <row r="2674">
      <c r="A2674" s="7">
        <v>2673.0</v>
      </c>
      <c r="B2674" s="8" t="s">
        <v>11285</v>
      </c>
      <c r="C2674" s="9" t="s">
        <v>11286</v>
      </c>
      <c r="D2674" s="10" t="str">
        <f>HYPERLINK("https://facebook.com/367089020688300_552523385478195", "367089020688300_552523385478195")</f>
        <v>367089020688300_552523385478195</v>
      </c>
      <c r="E2674" s="11">
        <v>26.0</v>
      </c>
      <c r="F2674" s="11">
        <v>2.0</v>
      </c>
      <c r="G2674" s="11">
        <v>67.0</v>
      </c>
      <c r="H2674" s="9" t="s">
        <v>26</v>
      </c>
      <c r="I2674" s="9" t="s">
        <v>11287</v>
      </c>
      <c r="J2674" s="16" t="s">
        <v>11288</v>
      </c>
      <c r="K2674" s="9"/>
      <c r="L2674" s="9" t="s">
        <v>30</v>
      </c>
      <c r="M2674" s="9" t="s">
        <v>31</v>
      </c>
      <c r="N2674" s="9" t="s">
        <v>32</v>
      </c>
      <c r="O2674" s="12" t="s">
        <v>33</v>
      </c>
      <c r="P2674" s="12" t="s">
        <v>34</v>
      </c>
      <c r="Q2674" s="9"/>
      <c r="R2674" s="18"/>
      <c r="S2674" s="18"/>
      <c r="T2674" s="18"/>
      <c r="U2674" s="18"/>
      <c r="V2674" s="18"/>
      <c r="W2674" s="15"/>
      <c r="X2674" s="15"/>
    </row>
    <row r="2675">
      <c r="A2675" s="7">
        <v>2674.0</v>
      </c>
      <c r="B2675" s="8" t="s">
        <v>11289</v>
      </c>
      <c r="C2675" s="9" t="s">
        <v>11290</v>
      </c>
      <c r="D2675" s="10" t="str">
        <f>HYPERLINK("https://facebook.com/367089020688300_497879720942562", "367089020688300_497879720942562")</f>
        <v>367089020688300_497879720942562</v>
      </c>
      <c r="E2675" s="11">
        <v>1101.0</v>
      </c>
      <c r="F2675" s="11">
        <v>848.0</v>
      </c>
      <c r="G2675" s="11">
        <v>330.0</v>
      </c>
      <c r="H2675" s="9" t="s">
        <v>26</v>
      </c>
      <c r="I2675" s="9" t="s">
        <v>11291</v>
      </c>
      <c r="J2675" s="16" t="s">
        <v>11292</v>
      </c>
      <c r="K2675" s="9"/>
      <c r="L2675" s="9" t="s">
        <v>30</v>
      </c>
      <c r="M2675" s="9" t="s">
        <v>31</v>
      </c>
      <c r="N2675" s="9" t="s">
        <v>32</v>
      </c>
      <c r="O2675" s="12" t="s">
        <v>33</v>
      </c>
      <c r="P2675" s="12" t="s">
        <v>34</v>
      </c>
      <c r="Q2675" s="9"/>
      <c r="R2675" s="18"/>
      <c r="S2675" s="18"/>
      <c r="T2675" s="18"/>
      <c r="U2675" s="18"/>
      <c r="V2675" s="18"/>
      <c r="W2675" s="15"/>
      <c r="X2675" s="15"/>
    </row>
    <row r="2676">
      <c r="A2676" s="7">
        <v>2675.0</v>
      </c>
      <c r="B2676" s="8" t="s">
        <v>11293</v>
      </c>
      <c r="C2676" s="9" t="s">
        <v>11294</v>
      </c>
      <c r="D2676" s="10" t="str">
        <f>HYPERLINK("https://facebook.com/367089020688300_545308106199723", "367089020688300_545308106199723")</f>
        <v>367089020688300_545308106199723</v>
      </c>
      <c r="E2676" s="11">
        <v>304.0</v>
      </c>
      <c r="F2676" s="11">
        <v>3.0</v>
      </c>
      <c r="G2676" s="11">
        <v>209.0</v>
      </c>
      <c r="H2676" s="9" t="s">
        <v>26</v>
      </c>
      <c r="I2676" s="9" t="s">
        <v>751</v>
      </c>
      <c r="J2676" s="9" t="s">
        <v>11295</v>
      </c>
      <c r="K2676" s="9" t="s">
        <v>11296</v>
      </c>
      <c r="L2676" s="9" t="s">
        <v>30</v>
      </c>
      <c r="M2676" s="9" t="s">
        <v>31</v>
      </c>
      <c r="N2676" s="9" t="s">
        <v>32</v>
      </c>
      <c r="O2676" s="12" t="s">
        <v>33</v>
      </c>
      <c r="P2676" s="12" t="s">
        <v>34</v>
      </c>
      <c r="Q2676" s="9"/>
      <c r="R2676" s="18"/>
      <c r="S2676" s="18"/>
      <c r="T2676" s="18"/>
      <c r="U2676" s="18"/>
      <c r="V2676" s="18"/>
      <c r="W2676" s="15"/>
      <c r="X2676" s="15"/>
    </row>
    <row r="2677">
      <c r="A2677" s="7">
        <v>2676.0</v>
      </c>
      <c r="B2677" s="8" t="s">
        <v>11297</v>
      </c>
      <c r="C2677" s="9" t="s">
        <v>11298</v>
      </c>
      <c r="D2677" s="10" t="str">
        <f>HYPERLINK("https://facebook.com/367089020688300_540030740060793", "367089020688300_540030740060793")</f>
        <v>367089020688300_540030740060793</v>
      </c>
      <c r="E2677" s="11">
        <v>302.0</v>
      </c>
      <c r="F2677" s="11">
        <v>2.0</v>
      </c>
      <c r="G2677" s="11">
        <v>242.0</v>
      </c>
      <c r="H2677" s="9" t="s">
        <v>26</v>
      </c>
      <c r="I2677" s="9" t="s">
        <v>11299</v>
      </c>
      <c r="J2677" s="9" t="s">
        <v>11300</v>
      </c>
      <c r="K2677" s="9" t="s">
        <v>9681</v>
      </c>
      <c r="L2677" s="9" t="s">
        <v>30</v>
      </c>
      <c r="M2677" s="9" t="s">
        <v>31</v>
      </c>
      <c r="N2677" s="9" t="s">
        <v>32</v>
      </c>
      <c r="O2677" s="12" t="s">
        <v>33</v>
      </c>
      <c r="P2677" s="12" t="s">
        <v>34</v>
      </c>
      <c r="Q2677" s="9"/>
      <c r="R2677" s="18"/>
      <c r="S2677" s="18"/>
      <c r="T2677" s="18"/>
      <c r="U2677" s="18"/>
      <c r="V2677" s="18"/>
      <c r="W2677" s="15"/>
      <c r="X2677" s="15"/>
    </row>
    <row r="2678">
      <c r="A2678" s="7">
        <v>2677.0</v>
      </c>
      <c r="B2678" s="8" t="s">
        <v>11301</v>
      </c>
      <c r="C2678" s="9" t="s">
        <v>11302</v>
      </c>
      <c r="D2678" s="10" t="str">
        <f>HYPERLINK("https://facebook.com/367089020688300_506054910125043", "367089020688300_506054910125043")</f>
        <v>367089020688300_506054910125043</v>
      </c>
      <c r="E2678" s="11">
        <v>834.0</v>
      </c>
      <c r="F2678" s="11">
        <v>20.0</v>
      </c>
      <c r="G2678" s="11">
        <v>661.0</v>
      </c>
      <c r="H2678" s="9" t="s">
        <v>26</v>
      </c>
      <c r="I2678" s="9" t="s">
        <v>11303</v>
      </c>
      <c r="J2678" s="9" t="s">
        <v>11304</v>
      </c>
      <c r="K2678" s="9" t="s">
        <v>341</v>
      </c>
      <c r="L2678" s="9" t="s">
        <v>30</v>
      </c>
      <c r="M2678" s="9" t="s">
        <v>31</v>
      </c>
      <c r="N2678" s="9" t="s">
        <v>32</v>
      </c>
      <c r="O2678" s="12" t="s">
        <v>33</v>
      </c>
      <c r="P2678" s="12" t="s">
        <v>34</v>
      </c>
      <c r="Q2678" s="9"/>
      <c r="R2678" s="18"/>
      <c r="S2678" s="18"/>
      <c r="T2678" s="18"/>
      <c r="U2678" s="18"/>
      <c r="V2678" s="18"/>
      <c r="W2678" s="15"/>
      <c r="X2678" s="15"/>
    </row>
    <row r="2679">
      <c r="A2679" s="7">
        <v>2678.0</v>
      </c>
      <c r="B2679" s="8" t="s">
        <v>11305</v>
      </c>
      <c r="C2679" s="9" t="s">
        <v>11306</v>
      </c>
      <c r="D2679" s="10" t="str">
        <f>HYPERLINK("https://facebook.com/367089020688300_518406588889875", "367089020688300_518406588889875")</f>
        <v>367089020688300_518406588889875</v>
      </c>
      <c r="E2679" s="11">
        <v>461.0</v>
      </c>
      <c r="F2679" s="11">
        <v>17.0</v>
      </c>
      <c r="G2679" s="11">
        <v>366.0</v>
      </c>
      <c r="H2679" s="9" t="s">
        <v>26</v>
      </c>
      <c r="I2679" s="9" t="s">
        <v>7278</v>
      </c>
      <c r="J2679" s="16" t="s">
        <v>11307</v>
      </c>
      <c r="K2679" s="9"/>
      <c r="L2679" s="9" t="s">
        <v>30</v>
      </c>
      <c r="M2679" s="9" t="s">
        <v>31</v>
      </c>
      <c r="N2679" s="9" t="s">
        <v>32</v>
      </c>
      <c r="O2679" s="12" t="s">
        <v>33</v>
      </c>
      <c r="P2679" s="12" t="s">
        <v>34</v>
      </c>
      <c r="Q2679" s="9"/>
      <c r="R2679" s="18"/>
      <c r="S2679" s="18"/>
      <c r="T2679" s="18"/>
      <c r="U2679" s="18"/>
      <c r="V2679" s="18"/>
      <c r="W2679" s="15"/>
      <c r="X2679" s="15"/>
    </row>
    <row r="2680">
      <c r="A2680" s="7">
        <v>2679.0</v>
      </c>
      <c r="B2680" s="8" t="s">
        <v>11308</v>
      </c>
      <c r="C2680" s="9" t="s">
        <v>11309</v>
      </c>
      <c r="D2680" s="10" t="str">
        <f>HYPERLINK("https://facebook.com/367089020688300_465187570878444", "367089020688300_465187570878444")</f>
        <v>367089020688300_465187570878444</v>
      </c>
      <c r="E2680" s="11">
        <v>140.0</v>
      </c>
      <c r="F2680" s="11">
        <v>3.0</v>
      </c>
      <c r="G2680" s="11">
        <v>221.0</v>
      </c>
      <c r="H2680" s="9" t="s">
        <v>26</v>
      </c>
      <c r="I2680" s="9" t="s">
        <v>11310</v>
      </c>
      <c r="J2680" s="9" t="s">
        <v>11311</v>
      </c>
      <c r="K2680" s="9" t="s">
        <v>11312</v>
      </c>
      <c r="L2680" s="9" t="s">
        <v>30</v>
      </c>
      <c r="M2680" s="9" t="s">
        <v>31</v>
      </c>
      <c r="N2680" s="9" t="s">
        <v>32</v>
      </c>
      <c r="O2680" s="12" t="s">
        <v>33</v>
      </c>
      <c r="P2680" s="12" t="s">
        <v>34</v>
      </c>
      <c r="Q2680" s="9"/>
      <c r="R2680" s="18"/>
      <c r="S2680" s="18"/>
      <c r="T2680" s="18"/>
      <c r="U2680" s="18"/>
      <c r="V2680" s="18"/>
      <c r="W2680" s="15"/>
      <c r="X2680" s="15"/>
    </row>
    <row r="2681">
      <c r="A2681" s="7">
        <v>2680.0</v>
      </c>
      <c r="B2681" s="8" t="s">
        <v>11313</v>
      </c>
      <c r="C2681" s="9" t="s">
        <v>11314</v>
      </c>
      <c r="D2681" s="10" t="str">
        <f>HYPERLINK("https://facebook.com/367089020688300_555273455203188", "367089020688300_555273455203188")</f>
        <v>367089020688300_555273455203188</v>
      </c>
      <c r="E2681" s="11">
        <v>11.0</v>
      </c>
      <c r="F2681" s="11">
        <v>0.0</v>
      </c>
      <c r="G2681" s="11">
        <v>10.0</v>
      </c>
      <c r="H2681" s="9" t="s">
        <v>26</v>
      </c>
      <c r="I2681" s="9" t="s">
        <v>11315</v>
      </c>
      <c r="J2681" s="16" t="s">
        <v>11316</v>
      </c>
      <c r="K2681" s="9"/>
      <c r="L2681" s="9" t="s">
        <v>30</v>
      </c>
      <c r="M2681" s="9" t="s">
        <v>31</v>
      </c>
      <c r="N2681" s="9" t="s">
        <v>32</v>
      </c>
      <c r="O2681" s="12" t="s">
        <v>33</v>
      </c>
      <c r="P2681" s="12" t="s">
        <v>34</v>
      </c>
      <c r="Q2681" s="9"/>
      <c r="R2681" s="18"/>
      <c r="S2681" s="18"/>
      <c r="T2681" s="18"/>
      <c r="U2681" s="18"/>
      <c r="V2681" s="18"/>
      <c r="W2681" s="15"/>
      <c r="X2681" s="15"/>
    </row>
    <row r="2682">
      <c r="A2682" s="7">
        <v>2681.0</v>
      </c>
      <c r="B2682" s="8" t="s">
        <v>11317</v>
      </c>
      <c r="C2682" s="9" t="s">
        <v>11318</v>
      </c>
      <c r="D2682" s="10" t="str">
        <f>HYPERLINK("https://facebook.com/367089020688300_521655798564954", "367089020688300_521655798564954")</f>
        <v>367089020688300_521655798564954</v>
      </c>
      <c r="E2682" s="11">
        <v>105.0</v>
      </c>
      <c r="F2682" s="11">
        <v>6.0</v>
      </c>
      <c r="G2682" s="11">
        <v>204.0</v>
      </c>
      <c r="H2682" s="9" t="s">
        <v>26</v>
      </c>
      <c r="I2682" s="9" t="s">
        <v>11319</v>
      </c>
      <c r="J2682" s="9" t="s">
        <v>11320</v>
      </c>
      <c r="K2682" s="9" t="s">
        <v>11321</v>
      </c>
      <c r="L2682" s="9" t="s">
        <v>30</v>
      </c>
      <c r="M2682" s="9" t="s">
        <v>31</v>
      </c>
      <c r="N2682" s="9" t="s">
        <v>32</v>
      </c>
      <c r="O2682" s="12" t="s">
        <v>33</v>
      </c>
      <c r="P2682" s="12" t="s">
        <v>34</v>
      </c>
      <c r="Q2682" s="9"/>
      <c r="R2682" s="18"/>
      <c r="S2682" s="18"/>
      <c r="T2682" s="18"/>
      <c r="U2682" s="18"/>
      <c r="V2682" s="18"/>
      <c r="W2682" s="15"/>
      <c r="X2682" s="15"/>
    </row>
    <row r="2683">
      <c r="A2683" s="7">
        <v>2682.0</v>
      </c>
      <c r="B2683" s="8" t="s">
        <v>11322</v>
      </c>
      <c r="C2683" s="9" t="s">
        <v>11323</v>
      </c>
      <c r="D2683" s="10" t="str">
        <f>HYPERLINK("https://facebook.com/367089020688300_540436660020201", "367089020688300_540436660020201")</f>
        <v>367089020688300_540436660020201</v>
      </c>
      <c r="E2683" s="11">
        <v>35.0</v>
      </c>
      <c r="F2683" s="11">
        <v>0.0</v>
      </c>
      <c r="G2683" s="11">
        <v>31.0</v>
      </c>
      <c r="H2683" s="9" t="s">
        <v>26</v>
      </c>
      <c r="I2683" s="9" t="s">
        <v>11324</v>
      </c>
      <c r="J2683" s="9" t="s">
        <v>11325</v>
      </c>
      <c r="K2683" s="9" t="s">
        <v>11326</v>
      </c>
      <c r="L2683" s="9" t="s">
        <v>30</v>
      </c>
      <c r="M2683" s="9" t="s">
        <v>31</v>
      </c>
      <c r="N2683" s="9" t="s">
        <v>32</v>
      </c>
      <c r="O2683" s="12" t="s">
        <v>33</v>
      </c>
      <c r="P2683" s="12" t="s">
        <v>34</v>
      </c>
      <c r="Q2683" s="9"/>
      <c r="R2683" s="18"/>
      <c r="S2683" s="18"/>
      <c r="T2683" s="18"/>
      <c r="U2683" s="18"/>
      <c r="V2683" s="18"/>
      <c r="W2683" s="15"/>
      <c r="X2683" s="15"/>
    </row>
    <row r="2684">
      <c r="A2684" s="7">
        <v>2683.0</v>
      </c>
      <c r="B2684" s="8" t="s">
        <v>11327</v>
      </c>
      <c r="C2684" s="9" t="s">
        <v>11328</v>
      </c>
      <c r="D2684" s="10" t="str">
        <f>HYPERLINK("https://facebook.com/367089020688300_479619166101951", "367089020688300_479619166101951")</f>
        <v>367089020688300_479619166101951</v>
      </c>
      <c r="E2684" s="11">
        <v>97.0</v>
      </c>
      <c r="F2684" s="11">
        <v>3.0</v>
      </c>
      <c r="G2684" s="11">
        <v>91.0</v>
      </c>
      <c r="H2684" s="9" t="s">
        <v>26</v>
      </c>
      <c r="I2684" s="9" t="s">
        <v>11329</v>
      </c>
      <c r="J2684" s="9" t="s">
        <v>11330</v>
      </c>
      <c r="K2684" s="9" t="s">
        <v>11331</v>
      </c>
      <c r="L2684" s="9" t="s">
        <v>30</v>
      </c>
      <c r="M2684" s="9" t="s">
        <v>31</v>
      </c>
      <c r="N2684" s="9" t="s">
        <v>32</v>
      </c>
      <c r="O2684" s="12" t="s">
        <v>33</v>
      </c>
      <c r="P2684" s="12" t="s">
        <v>34</v>
      </c>
      <c r="Q2684" s="9"/>
      <c r="R2684" s="18"/>
      <c r="S2684" s="18"/>
      <c r="T2684" s="18"/>
      <c r="U2684" s="18"/>
      <c r="V2684" s="18"/>
      <c r="W2684" s="15"/>
      <c r="X2684" s="15"/>
    </row>
    <row r="2685">
      <c r="A2685" s="7">
        <v>2684.0</v>
      </c>
      <c r="B2685" s="8" t="s">
        <v>11332</v>
      </c>
      <c r="C2685" s="9" t="s">
        <v>11333</v>
      </c>
      <c r="D2685" s="10" t="str">
        <f>HYPERLINK("https://facebook.com/367089020688300_561504764580057", "367089020688300_561504764580057")</f>
        <v>367089020688300_561504764580057</v>
      </c>
      <c r="E2685" s="11">
        <v>26.0</v>
      </c>
      <c r="F2685" s="11">
        <v>0.0</v>
      </c>
      <c r="G2685" s="11">
        <v>25.0</v>
      </c>
      <c r="H2685" s="9" t="s">
        <v>26</v>
      </c>
      <c r="I2685" s="9" t="s">
        <v>1917</v>
      </c>
      <c r="J2685" s="9" t="s">
        <v>11334</v>
      </c>
      <c r="K2685" s="9" t="s">
        <v>11335</v>
      </c>
      <c r="L2685" s="9" t="s">
        <v>30</v>
      </c>
      <c r="M2685" s="9" t="s">
        <v>31</v>
      </c>
      <c r="N2685" s="9" t="s">
        <v>32</v>
      </c>
      <c r="O2685" s="12" t="s">
        <v>33</v>
      </c>
      <c r="P2685" s="12" t="s">
        <v>34</v>
      </c>
      <c r="Q2685" s="9"/>
      <c r="R2685" s="18"/>
      <c r="S2685" s="18"/>
      <c r="T2685" s="18"/>
      <c r="U2685" s="18"/>
      <c r="V2685" s="18"/>
      <c r="W2685" s="15"/>
      <c r="X2685" s="15"/>
    </row>
    <row r="2686">
      <c r="A2686" s="7">
        <v>2685.0</v>
      </c>
      <c r="B2686" s="8" t="s">
        <v>11336</v>
      </c>
      <c r="C2686" s="9" t="s">
        <v>11337</v>
      </c>
      <c r="D2686" s="10" t="str">
        <f>HYPERLINK("https://facebook.com/367089020688300_482239469173254", "367089020688300_482239469173254")</f>
        <v>367089020688300_482239469173254</v>
      </c>
      <c r="E2686" s="11">
        <v>757.0</v>
      </c>
      <c r="F2686" s="11">
        <v>13.0</v>
      </c>
      <c r="G2686" s="11">
        <v>461.0</v>
      </c>
      <c r="H2686" s="9" t="s">
        <v>26</v>
      </c>
      <c r="I2686" s="9" t="s">
        <v>11338</v>
      </c>
      <c r="J2686" s="9" t="s">
        <v>11339</v>
      </c>
      <c r="K2686" s="9" t="s">
        <v>11340</v>
      </c>
      <c r="L2686" s="9" t="s">
        <v>30</v>
      </c>
      <c r="M2686" s="9" t="s">
        <v>31</v>
      </c>
      <c r="N2686" s="9" t="s">
        <v>32</v>
      </c>
      <c r="O2686" s="12" t="s">
        <v>33</v>
      </c>
      <c r="P2686" s="12" t="s">
        <v>34</v>
      </c>
      <c r="Q2686" s="9"/>
      <c r="R2686" s="18"/>
      <c r="S2686" s="18"/>
      <c r="T2686" s="18"/>
      <c r="U2686" s="18"/>
      <c r="V2686" s="18"/>
      <c r="W2686" s="15"/>
      <c r="X2686" s="15"/>
    </row>
    <row r="2687">
      <c r="A2687" s="7">
        <v>2686.0</v>
      </c>
      <c r="B2687" s="8" t="s">
        <v>11341</v>
      </c>
      <c r="C2687" s="9" t="s">
        <v>11342</v>
      </c>
      <c r="D2687" s="10" t="str">
        <f>HYPERLINK("https://facebook.com/367089020688300_516261279104406", "367089020688300_516261279104406")</f>
        <v>367089020688300_516261279104406</v>
      </c>
      <c r="E2687" s="11">
        <v>33.0</v>
      </c>
      <c r="F2687" s="11">
        <v>2.0</v>
      </c>
      <c r="G2687" s="11">
        <v>46.0</v>
      </c>
      <c r="H2687" s="9" t="s">
        <v>26</v>
      </c>
      <c r="I2687" s="9" t="s">
        <v>5821</v>
      </c>
      <c r="J2687" s="16" t="s">
        <v>11343</v>
      </c>
      <c r="K2687" s="9"/>
      <c r="L2687" s="9" t="s">
        <v>30</v>
      </c>
      <c r="M2687" s="9" t="s">
        <v>31</v>
      </c>
      <c r="N2687" s="9" t="s">
        <v>32</v>
      </c>
      <c r="O2687" s="12" t="s">
        <v>33</v>
      </c>
      <c r="P2687" s="12" t="s">
        <v>34</v>
      </c>
      <c r="Q2687" s="9"/>
      <c r="R2687" s="18"/>
      <c r="S2687" s="18"/>
      <c r="T2687" s="18"/>
      <c r="U2687" s="18"/>
      <c r="V2687" s="18"/>
      <c r="W2687" s="15"/>
      <c r="X2687" s="15"/>
    </row>
    <row r="2688">
      <c r="A2688" s="7">
        <v>2687.0</v>
      </c>
      <c r="B2688" s="8" t="s">
        <v>11344</v>
      </c>
      <c r="C2688" s="9" t="s">
        <v>11345</v>
      </c>
      <c r="D2688" s="10" t="str">
        <f>HYPERLINK("https://facebook.com/367089020688300_540940103303190", "367089020688300_540940103303190")</f>
        <v>367089020688300_540940103303190</v>
      </c>
      <c r="E2688" s="11">
        <v>3.0</v>
      </c>
      <c r="F2688" s="11">
        <v>0.0</v>
      </c>
      <c r="G2688" s="11">
        <v>20.0</v>
      </c>
      <c r="H2688" s="9" t="s">
        <v>26</v>
      </c>
      <c r="I2688" s="9" t="s">
        <v>11346</v>
      </c>
      <c r="J2688" s="9" t="s">
        <v>11347</v>
      </c>
      <c r="K2688" s="9" t="s">
        <v>476</v>
      </c>
      <c r="L2688" s="9" t="s">
        <v>30</v>
      </c>
      <c r="M2688" s="9" t="s">
        <v>31</v>
      </c>
      <c r="N2688" s="9" t="s">
        <v>32</v>
      </c>
      <c r="O2688" s="12" t="s">
        <v>33</v>
      </c>
      <c r="P2688" s="12" t="s">
        <v>34</v>
      </c>
      <c r="Q2688" s="9"/>
      <c r="R2688" s="18"/>
      <c r="S2688" s="18"/>
      <c r="T2688" s="18"/>
      <c r="U2688" s="18"/>
      <c r="V2688" s="18"/>
      <c r="W2688" s="15"/>
      <c r="X2688" s="15"/>
    </row>
    <row r="2689">
      <c r="A2689" s="7">
        <v>2688.0</v>
      </c>
      <c r="B2689" s="8" t="s">
        <v>11348</v>
      </c>
      <c r="C2689" s="9" t="s">
        <v>11349</v>
      </c>
      <c r="D2689" s="10" t="str">
        <f>HYPERLINK("https://facebook.com/367089020688300_521316731932194", "367089020688300_521316731932194")</f>
        <v>367089020688300_521316731932194</v>
      </c>
      <c r="E2689" s="11">
        <v>14.0</v>
      </c>
      <c r="F2689" s="11">
        <v>1.0</v>
      </c>
      <c r="G2689" s="11">
        <v>8.0</v>
      </c>
      <c r="H2689" s="9" t="s">
        <v>26</v>
      </c>
      <c r="I2689" s="9" t="s">
        <v>4331</v>
      </c>
      <c r="J2689" s="9" t="s">
        <v>4332</v>
      </c>
      <c r="K2689" s="9" t="s">
        <v>11350</v>
      </c>
      <c r="L2689" s="9" t="s">
        <v>30</v>
      </c>
      <c r="M2689" s="9" t="s">
        <v>31</v>
      </c>
      <c r="N2689" s="9" t="s">
        <v>32</v>
      </c>
      <c r="O2689" s="12" t="s">
        <v>33</v>
      </c>
      <c r="P2689" s="12" t="s">
        <v>34</v>
      </c>
      <c r="Q2689" s="9"/>
      <c r="R2689" s="18"/>
      <c r="S2689" s="18"/>
      <c r="T2689" s="18"/>
      <c r="U2689" s="18"/>
      <c r="V2689" s="18"/>
      <c r="W2689" s="15"/>
      <c r="X2689" s="15"/>
    </row>
    <row r="2690">
      <c r="A2690" s="7">
        <v>2689.0</v>
      </c>
      <c r="B2690" s="8" t="s">
        <v>11351</v>
      </c>
      <c r="C2690" s="9" t="s">
        <v>11352</v>
      </c>
      <c r="D2690" s="10" t="str">
        <f>HYPERLINK("https://facebook.com/367089020688300_539742600089607", "367089020688300_539742600089607")</f>
        <v>367089020688300_539742600089607</v>
      </c>
      <c r="E2690" s="11">
        <v>150.0</v>
      </c>
      <c r="F2690" s="11">
        <v>7.0</v>
      </c>
      <c r="G2690" s="11">
        <v>120.0</v>
      </c>
      <c r="H2690" s="9" t="s">
        <v>26</v>
      </c>
      <c r="I2690" s="9" t="s">
        <v>11353</v>
      </c>
      <c r="J2690" s="9" t="s">
        <v>11354</v>
      </c>
      <c r="K2690" s="9" t="s">
        <v>11355</v>
      </c>
      <c r="L2690" s="9" t="s">
        <v>30</v>
      </c>
      <c r="M2690" s="9" t="s">
        <v>31</v>
      </c>
      <c r="N2690" s="9" t="s">
        <v>32</v>
      </c>
      <c r="O2690" s="12" t="s">
        <v>33</v>
      </c>
      <c r="P2690" s="12" t="s">
        <v>34</v>
      </c>
      <c r="Q2690" s="9"/>
      <c r="R2690" s="18"/>
      <c r="S2690" s="18"/>
      <c r="T2690" s="18"/>
      <c r="U2690" s="18"/>
      <c r="V2690" s="18"/>
      <c r="W2690" s="15"/>
      <c r="X2690" s="15"/>
    </row>
    <row r="2691">
      <c r="A2691" s="7">
        <v>2690.0</v>
      </c>
      <c r="B2691" s="8" t="s">
        <v>11356</v>
      </c>
      <c r="C2691" s="9" t="s">
        <v>11357</v>
      </c>
      <c r="D2691" s="10" t="str">
        <f>HYPERLINK("https://facebook.com/367089020688300_537958370268030", "367089020688300_537958370268030")</f>
        <v>367089020688300_537958370268030</v>
      </c>
      <c r="E2691" s="11">
        <v>7.0</v>
      </c>
      <c r="F2691" s="11">
        <v>0.0</v>
      </c>
      <c r="G2691" s="11">
        <v>6.0</v>
      </c>
      <c r="H2691" s="9" t="s">
        <v>26</v>
      </c>
      <c r="I2691" s="9" t="s">
        <v>11358</v>
      </c>
      <c r="J2691" s="16" t="s">
        <v>11359</v>
      </c>
      <c r="K2691" s="9"/>
      <c r="L2691" s="9" t="s">
        <v>30</v>
      </c>
      <c r="M2691" s="9" t="s">
        <v>31</v>
      </c>
      <c r="N2691" s="9" t="s">
        <v>32</v>
      </c>
      <c r="O2691" s="12" t="s">
        <v>33</v>
      </c>
      <c r="P2691" s="12" t="s">
        <v>34</v>
      </c>
      <c r="Q2691" s="9"/>
      <c r="R2691" s="18"/>
      <c r="S2691" s="18"/>
      <c r="T2691" s="18"/>
      <c r="U2691" s="18"/>
      <c r="V2691" s="18"/>
      <c r="W2691" s="15"/>
      <c r="X2691" s="15"/>
    </row>
    <row r="2692">
      <c r="A2692" s="7">
        <v>2691.0</v>
      </c>
      <c r="B2692" s="8" t="s">
        <v>11360</v>
      </c>
      <c r="C2692" s="9" t="s">
        <v>11361</v>
      </c>
      <c r="D2692" s="10" t="str">
        <f>HYPERLINK("https://facebook.com/367089020688300_543393136391220", "367089020688300_543393136391220")</f>
        <v>367089020688300_543393136391220</v>
      </c>
      <c r="E2692" s="11">
        <v>169.0</v>
      </c>
      <c r="F2692" s="11">
        <v>11.0</v>
      </c>
      <c r="G2692" s="11">
        <v>149.0</v>
      </c>
      <c r="H2692" s="9" t="s">
        <v>26</v>
      </c>
      <c r="I2692" s="9" t="s">
        <v>11362</v>
      </c>
      <c r="J2692" s="9" t="s">
        <v>11363</v>
      </c>
      <c r="K2692" s="9" t="s">
        <v>11364</v>
      </c>
      <c r="L2692" s="9" t="s">
        <v>30</v>
      </c>
      <c r="M2692" s="9" t="s">
        <v>31</v>
      </c>
      <c r="N2692" s="9" t="s">
        <v>32</v>
      </c>
      <c r="O2692" s="12" t="s">
        <v>33</v>
      </c>
      <c r="P2692" s="12" t="s">
        <v>34</v>
      </c>
      <c r="Q2692" s="9"/>
      <c r="R2692" s="18"/>
      <c r="S2692" s="18"/>
      <c r="T2692" s="18"/>
      <c r="U2692" s="18"/>
      <c r="V2692" s="18"/>
      <c r="W2692" s="15"/>
      <c r="X2692" s="15"/>
    </row>
    <row r="2693">
      <c r="A2693" s="7">
        <v>2692.0</v>
      </c>
      <c r="B2693" s="8" t="s">
        <v>11365</v>
      </c>
      <c r="C2693" s="9" t="s">
        <v>11366</v>
      </c>
      <c r="D2693" s="10" t="str">
        <f>HYPERLINK("https://facebook.com/367089020688300_533390794058121", "367089020688300_533390794058121")</f>
        <v>367089020688300_533390794058121</v>
      </c>
      <c r="E2693" s="11">
        <v>22.0</v>
      </c>
      <c r="F2693" s="11">
        <v>0.0</v>
      </c>
      <c r="G2693" s="11">
        <v>25.0</v>
      </c>
      <c r="H2693" s="9" t="s">
        <v>26</v>
      </c>
      <c r="I2693" s="9" t="s">
        <v>11367</v>
      </c>
      <c r="J2693" s="16" t="s">
        <v>11368</v>
      </c>
      <c r="K2693" s="9"/>
      <c r="L2693" s="9" t="s">
        <v>30</v>
      </c>
      <c r="M2693" s="9" t="s">
        <v>31</v>
      </c>
      <c r="N2693" s="9" t="s">
        <v>32</v>
      </c>
      <c r="O2693" s="12" t="s">
        <v>33</v>
      </c>
      <c r="P2693" s="12" t="s">
        <v>34</v>
      </c>
      <c r="Q2693" s="9"/>
      <c r="R2693" s="18"/>
      <c r="S2693" s="18"/>
      <c r="T2693" s="18"/>
      <c r="U2693" s="18"/>
      <c r="V2693" s="18"/>
      <c r="W2693" s="15"/>
      <c r="X2693" s="15"/>
    </row>
    <row r="2694">
      <c r="A2694" s="7">
        <v>2693.0</v>
      </c>
      <c r="B2694" s="8" t="s">
        <v>11369</v>
      </c>
      <c r="C2694" s="9" t="s">
        <v>11370</v>
      </c>
      <c r="D2694" s="10" t="str">
        <f>HYPERLINK("https://facebook.com/367089020688300_489713538425847", "367089020688300_489713538425847")</f>
        <v>367089020688300_489713538425847</v>
      </c>
      <c r="E2694" s="11">
        <v>189.0</v>
      </c>
      <c r="F2694" s="11">
        <v>6.0</v>
      </c>
      <c r="G2694" s="11">
        <v>339.0</v>
      </c>
      <c r="H2694" s="9" t="s">
        <v>26</v>
      </c>
      <c r="I2694" s="9" t="s">
        <v>11371</v>
      </c>
      <c r="J2694" s="9" t="s">
        <v>11372</v>
      </c>
      <c r="K2694" s="9" t="s">
        <v>476</v>
      </c>
      <c r="L2694" s="9" t="s">
        <v>30</v>
      </c>
      <c r="M2694" s="9" t="s">
        <v>31</v>
      </c>
      <c r="N2694" s="9" t="s">
        <v>32</v>
      </c>
      <c r="O2694" s="12" t="s">
        <v>33</v>
      </c>
      <c r="P2694" s="12" t="s">
        <v>34</v>
      </c>
      <c r="Q2694" s="9"/>
      <c r="R2694" s="18"/>
      <c r="S2694" s="18"/>
      <c r="T2694" s="18"/>
      <c r="U2694" s="18"/>
      <c r="V2694" s="18"/>
      <c r="W2694" s="15"/>
      <c r="X2694" s="15"/>
    </row>
    <row r="2695">
      <c r="A2695" s="7">
        <v>2694.0</v>
      </c>
      <c r="B2695" s="8" t="s">
        <v>11373</v>
      </c>
      <c r="C2695" s="9" t="s">
        <v>11374</v>
      </c>
      <c r="D2695" s="10" t="str">
        <f>HYPERLINK("https://facebook.com/367089020688300_520079138722620", "367089020688300_520079138722620")</f>
        <v>367089020688300_520079138722620</v>
      </c>
      <c r="E2695" s="11">
        <v>219.0</v>
      </c>
      <c r="F2695" s="11">
        <v>1.0</v>
      </c>
      <c r="G2695" s="11">
        <v>250.0</v>
      </c>
      <c r="H2695" s="9" t="s">
        <v>26</v>
      </c>
      <c r="I2695" s="9" t="s">
        <v>11375</v>
      </c>
      <c r="J2695" s="16" t="s">
        <v>11376</v>
      </c>
      <c r="K2695" s="9"/>
      <c r="L2695" s="9" t="s">
        <v>30</v>
      </c>
      <c r="M2695" s="9" t="s">
        <v>31</v>
      </c>
      <c r="N2695" s="9" t="s">
        <v>32</v>
      </c>
      <c r="O2695" s="12" t="s">
        <v>33</v>
      </c>
      <c r="P2695" s="12" t="s">
        <v>34</v>
      </c>
      <c r="Q2695" s="9"/>
      <c r="R2695" s="18"/>
      <c r="S2695" s="18"/>
      <c r="T2695" s="18"/>
      <c r="U2695" s="18"/>
      <c r="V2695" s="18"/>
      <c r="W2695" s="15"/>
      <c r="X2695" s="15"/>
    </row>
    <row r="2696">
      <c r="A2696" s="7">
        <v>2695.0</v>
      </c>
      <c r="B2696" s="8" t="s">
        <v>11377</v>
      </c>
      <c r="C2696" s="9" t="s">
        <v>11378</v>
      </c>
      <c r="D2696" s="10" t="str">
        <f>HYPERLINK("https://facebook.com/367089020688300_555019358561931", "367089020688300_555019358561931")</f>
        <v>367089020688300_555019358561931</v>
      </c>
      <c r="E2696" s="11">
        <v>11.0</v>
      </c>
      <c r="F2696" s="11">
        <v>0.0</v>
      </c>
      <c r="G2696" s="11">
        <v>9.0</v>
      </c>
      <c r="H2696" s="9" t="s">
        <v>26</v>
      </c>
      <c r="I2696" s="9" t="s">
        <v>11379</v>
      </c>
      <c r="J2696" s="16" t="s">
        <v>11380</v>
      </c>
      <c r="K2696" s="9"/>
      <c r="L2696" s="9" t="s">
        <v>30</v>
      </c>
      <c r="M2696" s="9" t="s">
        <v>31</v>
      </c>
      <c r="N2696" s="9" t="s">
        <v>32</v>
      </c>
      <c r="O2696" s="12" t="s">
        <v>33</v>
      </c>
      <c r="P2696" s="12" t="s">
        <v>34</v>
      </c>
      <c r="Q2696" s="9"/>
      <c r="R2696" s="18"/>
      <c r="S2696" s="18"/>
      <c r="T2696" s="18"/>
      <c r="U2696" s="18"/>
      <c r="V2696" s="18"/>
      <c r="W2696" s="15"/>
      <c r="X2696" s="15"/>
    </row>
    <row r="2697">
      <c r="A2697" s="7">
        <v>2696.0</v>
      </c>
      <c r="B2697" s="8" t="s">
        <v>11381</v>
      </c>
      <c r="C2697" s="9" t="s">
        <v>11382</v>
      </c>
      <c r="D2697" s="10" t="str">
        <f>HYPERLINK("https://facebook.com/367089020688300_442259116504623", "367089020688300_442259116504623")</f>
        <v>367089020688300_442259116504623</v>
      </c>
      <c r="E2697" s="11">
        <v>158.0</v>
      </c>
      <c r="F2697" s="11">
        <v>2.0</v>
      </c>
      <c r="G2697" s="11">
        <v>55.0</v>
      </c>
      <c r="H2697" s="9" t="s">
        <v>26</v>
      </c>
      <c r="I2697" s="9" t="s">
        <v>11383</v>
      </c>
      <c r="J2697" s="9" t="s">
        <v>11384</v>
      </c>
      <c r="K2697" s="9" t="s">
        <v>11385</v>
      </c>
      <c r="L2697" s="9" t="s">
        <v>30</v>
      </c>
      <c r="M2697" s="9" t="s">
        <v>31</v>
      </c>
      <c r="N2697" s="9" t="s">
        <v>32</v>
      </c>
      <c r="O2697" s="12" t="s">
        <v>33</v>
      </c>
      <c r="P2697" s="12" t="s">
        <v>34</v>
      </c>
      <c r="Q2697" s="9"/>
      <c r="R2697" s="18"/>
      <c r="S2697" s="18"/>
      <c r="T2697" s="18"/>
      <c r="U2697" s="18"/>
      <c r="V2697" s="18"/>
      <c r="W2697" s="15"/>
      <c r="X2697" s="15"/>
    </row>
    <row r="2698">
      <c r="A2698" s="7">
        <v>2697.0</v>
      </c>
      <c r="B2698" s="8" t="s">
        <v>11386</v>
      </c>
      <c r="C2698" s="9" t="s">
        <v>11387</v>
      </c>
      <c r="D2698" s="10" t="str">
        <f>HYPERLINK("https://facebook.com/367089020688300_537498250314042", "367089020688300_537498250314042")</f>
        <v>367089020688300_537498250314042</v>
      </c>
      <c r="E2698" s="11">
        <v>8.0</v>
      </c>
      <c r="F2698" s="11">
        <v>0.0</v>
      </c>
      <c r="G2698" s="11">
        <v>7.0</v>
      </c>
      <c r="H2698" s="9" t="s">
        <v>26</v>
      </c>
      <c r="I2698" s="9" t="s">
        <v>11388</v>
      </c>
      <c r="J2698" s="9" t="s">
        <v>11389</v>
      </c>
      <c r="K2698" s="9" t="s">
        <v>341</v>
      </c>
      <c r="L2698" s="9" t="s">
        <v>30</v>
      </c>
      <c r="M2698" s="9" t="s">
        <v>31</v>
      </c>
      <c r="N2698" s="9" t="s">
        <v>32</v>
      </c>
      <c r="O2698" s="12" t="s">
        <v>33</v>
      </c>
      <c r="P2698" s="12" t="s">
        <v>34</v>
      </c>
      <c r="Q2698" s="9"/>
      <c r="R2698" s="18"/>
      <c r="S2698" s="18"/>
      <c r="T2698" s="18"/>
      <c r="U2698" s="18"/>
      <c r="V2698" s="18"/>
      <c r="W2698" s="15"/>
      <c r="X2698" s="15"/>
    </row>
    <row r="2699">
      <c r="A2699" s="7">
        <v>2698.0</v>
      </c>
      <c r="B2699" s="8" t="s">
        <v>11390</v>
      </c>
      <c r="C2699" s="9" t="s">
        <v>11391</v>
      </c>
      <c r="D2699" s="10" t="str">
        <f>HYPERLINK("https://facebook.com/367089020688300_546918169372050", "367089020688300_546918169372050")</f>
        <v>367089020688300_546918169372050</v>
      </c>
      <c r="E2699" s="11">
        <v>19.0</v>
      </c>
      <c r="F2699" s="11">
        <v>0.0</v>
      </c>
      <c r="G2699" s="11">
        <v>9.0</v>
      </c>
      <c r="H2699" s="9" t="s">
        <v>26</v>
      </c>
      <c r="I2699" s="9" t="s">
        <v>6999</v>
      </c>
      <c r="J2699" s="9" t="s">
        <v>7000</v>
      </c>
      <c r="K2699" s="9" t="s">
        <v>1690</v>
      </c>
      <c r="L2699" s="9" t="s">
        <v>30</v>
      </c>
      <c r="M2699" s="9" t="s">
        <v>31</v>
      </c>
      <c r="N2699" s="9" t="s">
        <v>32</v>
      </c>
      <c r="O2699" s="12" t="s">
        <v>33</v>
      </c>
      <c r="P2699" s="12" t="s">
        <v>34</v>
      </c>
      <c r="Q2699" s="9"/>
      <c r="R2699" s="18"/>
      <c r="S2699" s="18"/>
      <c r="T2699" s="18"/>
      <c r="U2699" s="18"/>
      <c r="V2699" s="18"/>
      <c r="W2699" s="15"/>
      <c r="X2699" s="15"/>
    </row>
    <row r="2700">
      <c r="A2700" s="7">
        <v>2699.0</v>
      </c>
      <c r="B2700" s="8" t="s">
        <v>11392</v>
      </c>
      <c r="C2700" s="9" t="s">
        <v>11393</v>
      </c>
      <c r="D2700" s="10" t="str">
        <f>HYPERLINK("https://facebook.com/367089020688300_556495945080939", "367089020688300_556495945080939")</f>
        <v>367089020688300_556495945080939</v>
      </c>
      <c r="E2700" s="11">
        <v>1.0</v>
      </c>
      <c r="F2700" s="11">
        <v>0.0</v>
      </c>
      <c r="G2700" s="11">
        <v>3.0</v>
      </c>
      <c r="H2700" s="9" t="s">
        <v>26</v>
      </c>
      <c r="I2700" s="9" t="s">
        <v>11394</v>
      </c>
      <c r="J2700" s="16" t="s">
        <v>11395</v>
      </c>
      <c r="K2700" s="9"/>
      <c r="L2700" s="9" t="s">
        <v>30</v>
      </c>
      <c r="M2700" s="9" t="s">
        <v>31</v>
      </c>
      <c r="N2700" s="9" t="s">
        <v>32</v>
      </c>
      <c r="O2700" s="12" t="s">
        <v>33</v>
      </c>
      <c r="P2700" s="12" t="s">
        <v>34</v>
      </c>
      <c r="Q2700" s="9"/>
      <c r="R2700" s="18"/>
      <c r="S2700" s="18"/>
      <c r="T2700" s="18"/>
      <c r="U2700" s="18"/>
      <c r="V2700" s="18"/>
      <c r="W2700" s="15"/>
      <c r="X2700" s="15"/>
    </row>
    <row r="2701">
      <c r="A2701" s="7">
        <v>2700.0</v>
      </c>
      <c r="B2701" s="8" t="s">
        <v>11396</v>
      </c>
      <c r="C2701" s="9" t="s">
        <v>11397</v>
      </c>
      <c r="D2701" s="10" t="str">
        <f>HYPERLINK("https://facebook.com/367089020688300_522970165100184", "367089020688300_522970165100184")</f>
        <v>367089020688300_522970165100184</v>
      </c>
      <c r="E2701" s="11">
        <v>223.0</v>
      </c>
      <c r="F2701" s="11">
        <v>5.0</v>
      </c>
      <c r="G2701" s="11">
        <v>235.0</v>
      </c>
      <c r="H2701" s="9" t="s">
        <v>26</v>
      </c>
      <c r="I2701" s="9" t="s">
        <v>11398</v>
      </c>
      <c r="J2701" s="16" t="s">
        <v>11399</v>
      </c>
      <c r="K2701" s="9"/>
      <c r="L2701" s="9" t="s">
        <v>30</v>
      </c>
      <c r="M2701" s="9" t="s">
        <v>31</v>
      </c>
      <c r="N2701" s="9" t="s">
        <v>32</v>
      </c>
      <c r="O2701" s="12" t="s">
        <v>33</v>
      </c>
      <c r="P2701" s="12" t="s">
        <v>34</v>
      </c>
      <c r="Q2701" s="9"/>
      <c r="R2701" s="18"/>
      <c r="S2701" s="18"/>
      <c r="T2701" s="18"/>
      <c r="U2701" s="18"/>
      <c r="V2701" s="18"/>
      <c r="W2701" s="15"/>
      <c r="X2701" s="15"/>
    </row>
    <row r="2702">
      <c r="A2702" s="7">
        <v>2701.0</v>
      </c>
      <c r="B2702" s="8" t="s">
        <v>11400</v>
      </c>
      <c r="C2702" s="9" t="s">
        <v>11401</v>
      </c>
      <c r="D2702" s="10" t="str">
        <f>HYPERLINK("https://facebook.com/367089020688300_482971985766669", "367089020688300_482971985766669")</f>
        <v>367089020688300_482971985766669</v>
      </c>
      <c r="E2702" s="11">
        <v>363.0</v>
      </c>
      <c r="F2702" s="11">
        <v>9.0</v>
      </c>
      <c r="G2702" s="11">
        <v>486.0</v>
      </c>
      <c r="H2702" s="9" t="s">
        <v>26</v>
      </c>
      <c r="I2702" s="9" t="s">
        <v>11402</v>
      </c>
      <c r="J2702" s="9" t="s">
        <v>11403</v>
      </c>
      <c r="K2702" s="9" t="s">
        <v>11404</v>
      </c>
      <c r="L2702" s="9" t="s">
        <v>30</v>
      </c>
      <c r="M2702" s="9" t="s">
        <v>31</v>
      </c>
      <c r="N2702" s="9" t="s">
        <v>32</v>
      </c>
      <c r="O2702" s="12" t="s">
        <v>33</v>
      </c>
      <c r="P2702" s="12" t="s">
        <v>34</v>
      </c>
      <c r="Q2702" s="9"/>
      <c r="R2702" s="18"/>
      <c r="S2702" s="18"/>
      <c r="T2702" s="18"/>
      <c r="U2702" s="18"/>
      <c r="V2702" s="18"/>
      <c r="W2702" s="15"/>
      <c r="X2702" s="15"/>
    </row>
    <row r="2703">
      <c r="A2703" s="7">
        <v>2702.0</v>
      </c>
      <c r="B2703" s="8" t="s">
        <v>11405</v>
      </c>
      <c r="C2703" s="9" t="s">
        <v>11406</v>
      </c>
      <c r="D2703" s="10" t="str">
        <f>HYPERLINK("https://facebook.com/367089020688300_498359660894568", "367089020688300_498359660894568")</f>
        <v>367089020688300_498359660894568</v>
      </c>
      <c r="E2703" s="11">
        <v>142.0</v>
      </c>
      <c r="F2703" s="11">
        <v>34.0</v>
      </c>
      <c r="G2703" s="11">
        <v>20.0</v>
      </c>
      <c r="H2703" s="9" t="s">
        <v>26</v>
      </c>
      <c r="I2703" s="9" t="s">
        <v>11407</v>
      </c>
      <c r="J2703" s="16" t="s">
        <v>11408</v>
      </c>
      <c r="K2703" s="9"/>
      <c r="L2703" s="9" t="s">
        <v>30</v>
      </c>
      <c r="M2703" s="9" t="s">
        <v>31</v>
      </c>
      <c r="N2703" s="9" t="s">
        <v>32</v>
      </c>
      <c r="O2703" s="12" t="s">
        <v>33</v>
      </c>
      <c r="P2703" s="12" t="s">
        <v>34</v>
      </c>
      <c r="Q2703" s="9"/>
      <c r="R2703" s="18"/>
      <c r="S2703" s="18"/>
      <c r="T2703" s="18"/>
      <c r="U2703" s="18"/>
      <c r="V2703" s="18"/>
      <c r="W2703" s="15"/>
      <c r="X2703" s="15"/>
    </row>
    <row r="2704">
      <c r="A2704" s="7">
        <v>2703.0</v>
      </c>
      <c r="B2704" s="8" t="s">
        <v>11409</v>
      </c>
      <c r="C2704" s="9" t="s">
        <v>11410</v>
      </c>
      <c r="D2704" s="10" t="str">
        <f>HYPERLINK("https://facebook.com/367089020688300_562874764443057", "367089020688300_562874764443057")</f>
        <v>367089020688300_562874764443057</v>
      </c>
      <c r="E2704" s="11">
        <v>21.0</v>
      </c>
      <c r="F2704" s="11">
        <v>0.0</v>
      </c>
      <c r="G2704" s="11">
        <v>7.0</v>
      </c>
      <c r="H2704" s="9" t="s">
        <v>26</v>
      </c>
      <c r="I2704" s="9" t="s">
        <v>11411</v>
      </c>
      <c r="J2704" s="9" t="s">
        <v>11412</v>
      </c>
      <c r="K2704" s="9" t="s">
        <v>4552</v>
      </c>
      <c r="L2704" s="9" t="s">
        <v>30</v>
      </c>
      <c r="M2704" s="9" t="s">
        <v>31</v>
      </c>
      <c r="N2704" s="9" t="s">
        <v>32</v>
      </c>
      <c r="O2704" s="12" t="s">
        <v>33</v>
      </c>
      <c r="P2704" s="12" t="s">
        <v>34</v>
      </c>
      <c r="Q2704" s="9"/>
      <c r="R2704" s="18"/>
      <c r="S2704" s="18"/>
      <c r="T2704" s="18"/>
      <c r="U2704" s="18"/>
      <c r="V2704" s="18"/>
      <c r="W2704" s="15"/>
      <c r="X2704" s="15"/>
    </row>
    <row r="2705">
      <c r="A2705" s="7">
        <v>2704.0</v>
      </c>
      <c r="B2705" s="8" t="s">
        <v>11413</v>
      </c>
      <c r="C2705" s="9" t="s">
        <v>11414</v>
      </c>
      <c r="D2705" s="10" t="str">
        <f>HYPERLINK("https://facebook.com/367089020688300_531155134281687", "367089020688300_531155134281687")</f>
        <v>367089020688300_531155134281687</v>
      </c>
      <c r="E2705" s="11">
        <v>987.0</v>
      </c>
      <c r="F2705" s="11">
        <v>10.0</v>
      </c>
      <c r="G2705" s="11">
        <v>199.0</v>
      </c>
      <c r="H2705" s="9" t="s">
        <v>26</v>
      </c>
      <c r="I2705" s="9" t="s">
        <v>3400</v>
      </c>
      <c r="J2705" s="16" t="s">
        <v>11415</v>
      </c>
      <c r="K2705" s="9"/>
      <c r="L2705" s="9" t="s">
        <v>30</v>
      </c>
      <c r="M2705" s="9" t="s">
        <v>31</v>
      </c>
      <c r="N2705" s="9" t="s">
        <v>32</v>
      </c>
      <c r="O2705" s="12" t="s">
        <v>33</v>
      </c>
      <c r="P2705" s="12" t="s">
        <v>34</v>
      </c>
      <c r="Q2705" s="9"/>
      <c r="R2705" s="18"/>
      <c r="S2705" s="18"/>
      <c r="T2705" s="18"/>
      <c r="U2705" s="18"/>
      <c r="V2705" s="18"/>
      <c r="W2705" s="15"/>
      <c r="X2705" s="15"/>
    </row>
    <row r="2706">
      <c r="A2706" s="7">
        <v>2705.0</v>
      </c>
      <c r="B2706" s="8" t="s">
        <v>11416</v>
      </c>
      <c r="C2706" s="9" t="s">
        <v>11417</v>
      </c>
      <c r="D2706" s="10" t="str">
        <f>HYPERLINK("https://facebook.com/367089020688300_534162537314280", "367089020688300_534162537314280")</f>
        <v>367089020688300_534162537314280</v>
      </c>
      <c r="E2706" s="11">
        <v>266.0</v>
      </c>
      <c r="F2706" s="11">
        <v>11.0</v>
      </c>
      <c r="G2706" s="11">
        <v>229.0</v>
      </c>
      <c r="H2706" s="9" t="s">
        <v>26</v>
      </c>
      <c r="I2706" s="9" t="s">
        <v>11418</v>
      </c>
      <c r="J2706" s="16" t="s">
        <v>11419</v>
      </c>
      <c r="K2706" s="9"/>
      <c r="L2706" s="9" t="s">
        <v>30</v>
      </c>
      <c r="M2706" s="9" t="s">
        <v>31</v>
      </c>
      <c r="N2706" s="9" t="s">
        <v>32</v>
      </c>
      <c r="O2706" s="12" t="s">
        <v>33</v>
      </c>
      <c r="P2706" s="12" t="s">
        <v>34</v>
      </c>
      <c r="Q2706" s="9"/>
      <c r="R2706" s="18"/>
      <c r="S2706" s="18"/>
      <c r="T2706" s="18"/>
      <c r="U2706" s="18"/>
      <c r="V2706" s="18"/>
      <c r="W2706" s="15"/>
      <c r="X2706" s="15"/>
    </row>
    <row r="2707">
      <c r="A2707" s="7">
        <v>2706.0</v>
      </c>
      <c r="B2707" s="8" t="s">
        <v>11420</v>
      </c>
      <c r="C2707" s="9" t="s">
        <v>11421</v>
      </c>
      <c r="D2707" s="10" t="str">
        <f>HYPERLINK("https://facebook.com/367089020688300_548129789250888", "367089020688300_548129789250888")</f>
        <v>367089020688300_548129789250888</v>
      </c>
      <c r="E2707" s="11">
        <v>16.0</v>
      </c>
      <c r="F2707" s="11">
        <v>0.0</v>
      </c>
      <c r="G2707" s="11">
        <v>28.0</v>
      </c>
      <c r="H2707" s="9" t="s">
        <v>26</v>
      </c>
      <c r="I2707" s="9" t="s">
        <v>11422</v>
      </c>
      <c r="J2707" s="16" t="s">
        <v>11423</v>
      </c>
      <c r="K2707" s="9"/>
      <c r="L2707" s="9" t="s">
        <v>30</v>
      </c>
      <c r="M2707" s="9" t="s">
        <v>31</v>
      </c>
      <c r="N2707" s="9" t="s">
        <v>32</v>
      </c>
      <c r="O2707" s="12" t="s">
        <v>33</v>
      </c>
      <c r="P2707" s="12" t="s">
        <v>34</v>
      </c>
      <c r="Q2707" s="9"/>
      <c r="R2707" s="18"/>
      <c r="S2707" s="18"/>
      <c r="T2707" s="18"/>
      <c r="U2707" s="18"/>
      <c r="V2707" s="18"/>
      <c r="W2707" s="15"/>
      <c r="X2707" s="15"/>
    </row>
    <row r="2708">
      <c r="A2708" s="7">
        <v>2707.0</v>
      </c>
      <c r="B2708" s="8" t="s">
        <v>11424</v>
      </c>
      <c r="C2708" s="9" t="s">
        <v>11425</v>
      </c>
      <c r="D2708" s="10" t="str">
        <f>HYPERLINK("https://facebook.com/367089020688300_539824003414800", "367089020688300_539824003414800")</f>
        <v>367089020688300_539824003414800</v>
      </c>
      <c r="E2708" s="11">
        <v>10.0</v>
      </c>
      <c r="F2708" s="11">
        <v>0.0</v>
      </c>
      <c r="G2708" s="11">
        <v>0.0</v>
      </c>
      <c r="H2708" s="9" t="s">
        <v>26</v>
      </c>
      <c r="I2708" s="9" t="s">
        <v>5043</v>
      </c>
      <c r="J2708" s="9" t="s">
        <v>11426</v>
      </c>
      <c r="K2708" s="9" t="s">
        <v>11427</v>
      </c>
      <c r="L2708" s="9" t="s">
        <v>30</v>
      </c>
      <c r="M2708" s="9" t="s">
        <v>31</v>
      </c>
      <c r="N2708" s="9" t="s">
        <v>32</v>
      </c>
      <c r="O2708" s="12" t="s">
        <v>33</v>
      </c>
      <c r="P2708" s="12" t="s">
        <v>34</v>
      </c>
      <c r="Q2708" s="9"/>
      <c r="R2708" s="18"/>
      <c r="S2708" s="18"/>
      <c r="T2708" s="18"/>
      <c r="U2708" s="18"/>
      <c r="V2708" s="18"/>
      <c r="W2708" s="15"/>
      <c r="X2708" s="15"/>
    </row>
    <row r="2709">
      <c r="A2709" s="7">
        <v>2708.0</v>
      </c>
      <c r="B2709" s="8" t="s">
        <v>11428</v>
      </c>
      <c r="C2709" s="9" t="s">
        <v>11429</v>
      </c>
      <c r="D2709" s="10" t="str">
        <f>HYPERLINK("https://facebook.com/367089020688300_510094056387795", "367089020688300_510094056387795")</f>
        <v>367089020688300_510094056387795</v>
      </c>
      <c r="E2709" s="11">
        <v>121.0</v>
      </c>
      <c r="F2709" s="11">
        <v>7.0</v>
      </c>
      <c r="G2709" s="11">
        <v>204.0</v>
      </c>
      <c r="H2709" s="9" t="s">
        <v>26</v>
      </c>
      <c r="I2709" s="9" t="s">
        <v>11430</v>
      </c>
      <c r="J2709" s="9" t="s">
        <v>11431</v>
      </c>
      <c r="K2709" s="9" t="s">
        <v>11432</v>
      </c>
      <c r="L2709" s="9" t="s">
        <v>30</v>
      </c>
      <c r="M2709" s="9" t="s">
        <v>31</v>
      </c>
      <c r="N2709" s="9" t="s">
        <v>32</v>
      </c>
      <c r="O2709" s="12" t="s">
        <v>33</v>
      </c>
      <c r="P2709" s="12" t="s">
        <v>34</v>
      </c>
      <c r="Q2709" s="9"/>
      <c r="R2709" s="18"/>
      <c r="S2709" s="18"/>
      <c r="T2709" s="18"/>
      <c r="U2709" s="18"/>
      <c r="V2709" s="18"/>
      <c r="W2709" s="15"/>
      <c r="X2709" s="15"/>
    </row>
    <row r="2710">
      <c r="A2710" s="7">
        <v>2709.0</v>
      </c>
      <c r="B2710" s="8" t="s">
        <v>11433</v>
      </c>
      <c r="C2710" s="9" t="s">
        <v>11434</v>
      </c>
      <c r="D2710" s="10" t="str">
        <f>HYPERLINK("https://facebook.com/367089020688300_555932495137284", "367089020688300_555932495137284")</f>
        <v>367089020688300_555932495137284</v>
      </c>
      <c r="E2710" s="11">
        <v>61.0</v>
      </c>
      <c r="F2710" s="11">
        <v>0.0</v>
      </c>
      <c r="G2710" s="11">
        <v>57.0</v>
      </c>
      <c r="H2710" s="9" t="s">
        <v>26</v>
      </c>
      <c r="I2710" s="9" t="s">
        <v>11435</v>
      </c>
      <c r="J2710" s="16" t="s">
        <v>11436</v>
      </c>
      <c r="K2710" s="9"/>
      <c r="L2710" s="9" t="s">
        <v>30</v>
      </c>
      <c r="M2710" s="9" t="s">
        <v>31</v>
      </c>
      <c r="N2710" s="9" t="s">
        <v>32</v>
      </c>
      <c r="O2710" s="12" t="s">
        <v>33</v>
      </c>
      <c r="P2710" s="12" t="s">
        <v>34</v>
      </c>
      <c r="Q2710" s="9"/>
      <c r="R2710" s="18"/>
      <c r="S2710" s="18"/>
      <c r="T2710" s="18"/>
      <c r="U2710" s="18"/>
      <c r="V2710" s="18"/>
      <c r="W2710" s="15"/>
      <c r="X2710" s="15"/>
    </row>
    <row r="2711">
      <c r="A2711" s="7">
        <v>2710.0</v>
      </c>
      <c r="B2711" s="8" t="s">
        <v>11437</v>
      </c>
      <c r="C2711" s="9" t="s">
        <v>11438</v>
      </c>
      <c r="D2711" s="10" t="str">
        <f>HYPERLINK("https://facebook.com/367089020688300_554941371903063", "367089020688300_554941371903063")</f>
        <v>367089020688300_554941371903063</v>
      </c>
      <c r="E2711" s="11">
        <v>223.0</v>
      </c>
      <c r="F2711" s="11">
        <v>5.0</v>
      </c>
      <c r="G2711" s="11">
        <v>99.0</v>
      </c>
      <c r="H2711" s="9" t="s">
        <v>26</v>
      </c>
      <c r="I2711" s="9" t="s">
        <v>11439</v>
      </c>
      <c r="J2711" s="9" t="s">
        <v>11440</v>
      </c>
      <c r="K2711" s="9" t="s">
        <v>11441</v>
      </c>
      <c r="L2711" s="9" t="s">
        <v>30</v>
      </c>
      <c r="M2711" s="9" t="s">
        <v>31</v>
      </c>
      <c r="N2711" s="9" t="s">
        <v>32</v>
      </c>
      <c r="O2711" s="12" t="s">
        <v>33</v>
      </c>
      <c r="P2711" s="12" t="s">
        <v>34</v>
      </c>
      <c r="Q2711" s="9"/>
      <c r="R2711" s="18"/>
      <c r="S2711" s="18"/>
      <c r="T2711" s="18"/>
      <c r="U2711" s="18"/>
      <c r="V2711" s="18"/>
      <c r="W2711" s="15"/>
      <c r="X2711" s="15"/>
    </row>
    <row r="2712">
      <c r="A2712" s="7">
        <v>2711.0</v>
      </c>
      <c r="B2712" s="8" t="s">
        <v>11442</v>
      </c>
      <c r="C2712" s="9" t="s">
        <v>11443</v>
      </c>
      <c r="D2712" s="10" t="str">
        <f>HYPERLINK("https://facebook.com/367089020688300_538955783501622", "367089020688300_538955783501622")</f>
        <v>367089020688300_538955783501622</v>
      </c>
      <c r="E2712" s="11">
        <v>25.0</v>
      </c>
      <c r="F2712" s="11">
        <v>0.0</v>
      </c>
      <c r="G2712" s="11">
        <v>62.0</v>
      </c>
      <c r="H2712" s="9" t="s">
        <v>26</v>
      </c>
      <c r="I2712" s="9" t="s">
        <v>8958</v>
      </c>
      <c r="J2712" s="16" t="s">
        <v>8959</v>
      </c>
      <c r="K2712" s="9"/>
      <c r="L2712" s="9" t="s">
        <v>30</v>
      </c>
      <c r="M2712" s="9" t="s">
        <v>31</v>
      </c>
      <c r="N2712" s="9" t="s">
        <v>32</v>
      </c>
      <c r="O2712" s="12" t="s">
        <v>33</v>
      </c>
      <c r="P2712" s="12" t="s">
        <v>34</v>
      </c>
      <c r="Q2712" s="9"/>
      <c r="R2712" s="18"/>
      <c r="S2712" s="18"/>
      <c r="T2712" s="18"/>
      <c r="U2712" s="18"/>
      <c r="V2712" s="18"/>
      <c r="W2712" s="15"/>
      <c r="X2712" s="15"/>
    </row>
    <row r="2713">
      <c r="A2713" s="7">
        <v>2712.0</v>
      </c>
      <c r="B2713" s="8" t="s">
        <v>11444</v>
      </c>
      <c r="C2713" s="9" t="s">
        <v>11445</v>
      </c>
      <c r="D2713" s="10" t="str">
        <f>HYPERLINK("https://facebook.com/367089020688300_395665014497367", "367089020688300_395665014497367")</f>
        <v>367089020688300_395665014497367</v>
      </c>
      <c r="E2713" s="11">
        <v>27.0</v>
      </c>
      <c r="F2713" s="11">
        <v>0.0</v>
      </c>
      <c r="G2713" s="11">
        <v>54.0</v>
      </c>
      <c r="H2713" s="9" t="s">
        <v>26</v>
      </c>
      <c r="I2713" s="9" t="s">
        <v>11446</v>
      </c>
      <c r="J2713" s="9" t="s">
        <v>11447</v>
      </c>
      <c r="K2713" s="9" t="s">
        <v>11448</v>
      </c>
      <c r="L2713" s="9" t="s">
        <v>30</v>
      </c>
      <c r="M2713" s="9" t="s">
        <v>31</v>
      </c>
      <c r="N2713" s="9" t="s">
        <v>32</v>
      </c>
      <c r="O2713" s="12" t="s">
        <v>33</v>
      </c>
      <c r="P2713" s="12" t="s">
        <v>34</v>
      </c>
      <c r="Q2713" s="9"/>
      <c r="R2713" s="18"/>
      <c r="S2713" s="18"/>
      <c r="T2713" s="18"/>
      <c r="U2713" s="18"/>
      <c r="V2713" s="18"/>
      <c r="W2713" s="15"/>
      <c r="X2713" s="15"/>
    </row>
    <row r="2714">
      <c r="A2714" s="7">
        <v>2713.0</v>
      </c>
      <c r="B2714" s="8" t="s">
        <v>11449</v>
      </c>
      <c r="C2714" s="9" t="s">
        <v>11450</v>
      </c>
      <c r="D2714" s="10" t="str">
        <f>HYPERLINK("https://facebook.com/367089020688300_556069418456925", "367089020688300_556069418456925")</f>
        <v>367089020688300_556069418456925</v>
      </c>
      <c r="E2714" s="11">
        <v>48.0</v>
      </c>
      <c r="F2714" s="11">
        <v>0.0</v>
      </c>
      <c r="G2714" s="11">
        <v>4.0</v>
      </c>
      <c r="H2714" s="9" t="s">
        <v>26</v>
      </c>
      <c r="I2714" s="9" t="s">
        <v>11451</v>
      </c>
      <c r="J2714" s="16" t="s">
        <v>11452</v>
      </c>
      <c r="K2714" s="9"/>
      <c r="L2714" s="9" t="s">
        <v>30</v>
      </c>
      <c r="M2714" s="9" t="s">
        <v>31</v>
      </c>
      <c r="N2714" s="9" t="s">
        <v>32</v>
      </c>
      <c r="O2714" s="12" t="s">
        <v>33</v>
      </c>
      <c r="P2714" s="12" t="s">
        <v>34</v>
      </c>
      <c r="Q2714" s="9"/>
      <c r="R2714" s="18"/>
      <c r="S2714" s="18"/>
      <c r="T2714" s="18"/>
      <c r="U2714" s="18"/>
      <c r="V2714" s="18"/>
      <c r="W2714" s="15"/>
      <c r="X2714" s="15"/>
    </row>
    <row r="2715">
      <c r="A2715" s="7">
        <v>2714.0</v>
      </c>
      <c r="B2715" s="8" t="s">
        <v>11453</v>
      </c>
      <c r="C2715" s="9" t="s">
        <v>11454</v>
      </c>
      <c r="D2715" s="10" t="str">
        <f>HYPERLINK("https://facebook.com/367089020688300_539734626757071", "367089020688300_539734626757071")</f>
        <v>367089020688300_539734626757071</v>
      </c>
      <c r="E2715" s="11">
        <v>25.0</v>
      </c>
      <c r="F2715" s="11">
        <v>0.0</v>
      </c>
      <c r="G2715" s="11">
        <v>33.0</v>
      </c>
      <c r="H2715" s="9" t="s">
        <v>26</v>
      </c>
      <c r="I2715" s="9" t="s">
        <v>11455</v>
      </c>
      <c r="J2715" s="16" t="s">
        <v>11456</v>
      </c>
      <c r="K2715" s="9"/>
      <c r="L2715" s="9" t="s">
        <v>30</v>
      </c>
      <c r="M2715" s="9" t="s">
        <v>31</v>
      </c>
      <c r="N2715" s="9" t="s">
        <v>32</v>
      </c>
      <c r="O2715" s="12" t="s">
        <v>33</v>
      </c>
      <c r="P2715" s="12" t="s">
        <v>34</v>
      </c>
      <c r="Q2715" s="9"/>
      <c r="R2715" s="18"/>
      <c r="S2715" s="18"/>
      <c r="T2715" s="18"/>
      <c r="U2715" s="18"/>
      <c r="V2715" s="18"/>
      <c r="W2715" s="15"/>
      <c r="X2715" s="15"/>
    </row>
    <row r="2716">
      <c r="A2716" s="7">
        <v>2715.0</v>
      </c>
      <c r="B2716" s="8" t="s">
        <v>11457</v>
      </c>
      <c r="C2716" s="9" t="s">
        <v>11458</v>
      </c>
      <c r="D2716" s="10" t="str">
        <f>HYPERLINK("https://facebook.com/367089020688300_560538458010021", "367089020688300_560538458010021")</f>
        <v>367089020688300_560538458010021</v>
      </c>
      <c r="E2716" s="11">
        <v>360.0</v>
      </c>
      <c r="F2716" s="11">
        <v>11.0</v>
      </c>
      <c r="G2716" s="11">
        <v>521.0</v>
      </c>
      <c r="H2716" s="9" t="s">
        <v>26</v>
      </c>
      <c r="I2716" s="9" t="s">
        <v>11459</v>
      </c>
      <c r="J2716" s="16" t="s">
        <v>11460</v>
      </c>
      <c r="K2716" s="9"/>
      <c r="L2716" s="9" t="s">
        <v>30</v>
      </c>
      <c r="M2716" s="9" t="s">
        <v>31</v>
      </c>
      <c r="N2716" s="9" t="s">
        <v>32</v>
      </c>
      <c r="O2716" s="12" t="s">
        <v>33</v>
      </c>
      <c r="P2716" s="12" t="s">
        <v>34</v>
      </c>
      <c r="Q2716" s="9"/>
      <c r="R2716" s="18"/>
      <c r="S2716" s="18"/>
      <c r="T2716" s="18"/>
      <c r="U2716" s="18"/>
      <c r="V2716" s="18"/>
      <c r="W2716" s="15"/>
      <c r="X2716" s="15"/>
    </row>
    <row r="2717">
      <c r="A2717" s="7">
        <v>2716.0</v>
      </c>
      <c r="B2717" s="8" t="s">
        <v>11461</v>
      </c>
      <c r="C2717" s="9" t="s">
        <v>11462</v>
      </c>
      <c r="D2717" s="10" t="str">
        <f>HYPERLINK("https://facebook.com/367089020688300_471102403620294", "367089020688300_471102403620294")</f>
        <v>367089020688300_471102403620294</v>
      </c>
      <c r="E2717" s="11">
        <v>240.0</v>
      </c>
      <c r="F2717" s="11">
        <v>10.0</v>
      </c>
      <c r="G2717" s="11">
        <v>135.0</v>
      </c>
      <c r="H2717" s="9" t="s">
        <v>26</v>
      </c>
      <c r="I2717" s="9" t="s">
        <v>11463</v>
      </c>
      <c r="J2717" s="9" t="s">
        <v>11464</v>
      </c>
      <c r="K2717" s="9" t="s">
        <v>11465</v>
      </c>
      <c r="L2717" s="9" t="s">
        <v>30</v>
      </c>
      <c r="M2717" s="9" t="s">
        <v>31</v>
      </c>
      <c r="N2717" s="9" t="s">
        <v>32</v>
      </c>
      <c r="O2717" s="12" t="s">
        <v>33</v>
      </c>
      <c r="P2717" s="12" t="s">
        <v>34</v>
      </c>
      <c r="Q2717" s="9"/>
      <c r="R2717" s="18"/>
      <c r="S2717" s="18"/>
      <c r="T2717" s="18"/>
      <c r="U2717" s="18"/>
      <c r="V2717" s="18"/>
      <c r="W2717" s="15"/>
      <c r="X2717" s="15"/>
    </row>
    <row r="2718">
      <c r="A2718" s="7">
        <v>2717.0</v>
      </c>
      <c r="B2718" s="8" t="s">
        <v>11466</v>
      </c>
      <c r="C2718" s="9" t="s">
        <v>11467</v>
      </c>
      <c r="D2718" s="10" t="str">
        <f>HYPERLINK("https://facebook.com/367089020688300_458313441565857", "367089020688300_458313441565857")</f>
        <v>367089020688300_458313441565857</v>
      </c>
      <c r="E2718" s="11">
        <v>425.0</v>
      </c>
      <c r="F2718" s="11">
        <v>15.0</v>
      </c>
      <c r="G2718" s="11">
        <v>633.0</v>
      </c>
      <c r="H2718" s="9" t="s">
        <v>26</v>
      </c>
      <c r="I2718" s="9" t="s">
        <v>11468</v>
      </c>
      <c r="J2718" s="9" t="s">
        <v>11469</v>
      </c>
      <c r="K2718" s="9" t="s">
        <v>3941</v>
      </c>
      <c r="L2718" s="9" t="s">
        <v>30</v>
      </c>
      <c r="M2718" s="9" t="s">
        <v>31</v>
      </c>
      <c r="N2718" s="9" t="s">
        <v>32</v>
      </c>
      <c r="O2718" s="12" t="s">
        <v>33</v>
      </c>
      <c r="P2718" s="12" t="s">
        <v>34</v>
      </c>
      <c r="Q2718" s="9"/>
      <c r="R2718" s="18"/>
      <c r="S2718" s="18"/>
      <c r="T2718" s="18"/>
      <c r="U2718" s="18"/>
      <c r="V2718" s="18"/>
      <c r="W2718" s="15"/>
      <c r="X2718" s="15"/>
    </row>
    <row r="2719">
      <c r="A2719" s="7">
        <v>2718.0</v>
      </c>
      <c r="B2719" s="8" t="s">
        <v>11470</v>
      </c>
      <c r="C2719" s="9" t="s">
        <v>11471</v>
      </c>
      <c r="D2719" s="10" t="str">
        <f>HYPERLINK("https://facebook.com/367089020688300_514740139256520", "367089020688300_514740139256520")</f>
        <v>367089020688300_514740139256520</v>
      </c>
      <c r="E2719" s="11">
        <v>31.0</v>
      </c>
      <c r="F2719" s="11">
        <v>0.0</v>
      </c>
      <c r="G2719" s="11">
        <v>35.0</v>
      </c>
      <c r="H2719" s="9" t="s">
        <v>26</v>
      </c>
      <c r="I2719" s="9" t="s">
        <v>11472</v>
      </c>
      <c r="J2719" s="9" t="s">
        <v>11473</v>
      </c>
      <c r="K2719" s="9" t="s">
        <v>11474</v>
      </c>
      <c r="L2719" s="9" t="s">
        <v>30</v>
      </c>
      <c r="M2719" s="9" t="s">
        <v>31</v>
      </c>
      <c r="N2719" s="9" t="s">
        <v>32</v>
      </c>
      <c r="O2719" s="12" t="s">
        <v>33</v>
      </c>
      <c r="P2719" s="12" t="s">
        <v>34</v>
      </c>
      <c r="Q2719" s="9"/>
      <c r="R2719" s="18"/>
      <c r="S2719" s="18"/>
      <c r="T2719" s="18"/>
      <c r="U2719" s="18"/>
      <c r="V2719" s="18"/>
      <c r="W2719" s="15"/>
      <c r="X2719" s="15"/>
    </row>
    <row r="2720">
      <c r="A2720" s="7">
        <v>2719.0</v>
      </c>
      <c r="B2720" s="8" t="s">
        <v>11475</v>
      </c>
      <c r="C2720" s="9" t="s">
        <v>11476</v>
      </c>
      <c r="D2720" s="10" t="str">
        <f>HYPERLINK("https://facebook.com/367089020688300_368906027173266", "367089020688300_368906027173266")</f>
        <v>367089020688300_368906027173266</v>
      </c>
      <c r="E2720" s="11">
        <v>222.0</v>
      </c>
      <c r="F2720" s="11">
        <v>3.0</v>
      </c>
      <c r="G2720" s="11">
        <v>382.0</v>
      </c>
      <c r="H2720" s="9" t="s">
        <v>26</v>
      </c>
      <c r="I2720" s="9" t="s">
        <v>11146</v>
      </c>
      <c r="J2720" s="9" t="s">
        <v>11477</v>
      </c>
      <c r="K2720" s="9" t="s">
        <v>11478</v>
      </c>
      <c r="L2720" s="9" t="s">
        <v>30</v>
      </c>
      <c r="M2720" s="9" t="s">
        <v>31</v>
      </c>
      <c r="N2720" s="9" t="s">
        <v>32</v>
      </c>
      <c r="O2720" s="12" t="s">
        <v>33</v>
      </c>
      <c r="P2720" s="12" t="s">
        <v>34</v>
      </c>
      <c r="Q2720" s="9"/>
      <c r="R2720" s="18"/>
      <c r="S2720" s="18"/>
      <c r="T2720" s="18"/>
      <c r="U2720" s="18"/>
      <c r="V2720" s="18"/>
      <c r="W2720" s="15"/>
      <c r="X2720" s="15"/>
    </row>
    <row r="2721">
      <c r="A2721" s="7">
        <v>2720.0</v>
      </c>
      <c r="B2721" s="8" t="s">
        <v>11479</v>
      </c>
      <c r="C2721" s="9" t="s">
        <v>11480</v>
      </c>
      <c r="D2721" s="10" t="str">
        <f>HYPERLINK("https://facebook.com/367089020688300_555190828544784", "367089020688300_555190828544784")</f>
        <v>367089020688300_555190828544784</v>
      </c>
      <c r="E2721" s="11">
        <v>13.0</v>
      </c>
      <c r="F2721" s="11">
        <v>0.0</v>
      </c>
      <c r="G2721" s="11">
        <v>33.0</v>
      </c>
      <c r="H2721" s="9" t="s">
        <v>26</v>
      </c>
      <c r="I2721" s="9" t="s">
        <v>11481</v>
      </c>
      <c r="J2721" s="16" t="s">
        <v>11482</v>
      </c>
      <c r="K2721" s="9"/>
      <c r="L2721" s="9" t="s">
        <v>30</v>
      </c>
      <c r="M2721" s="9" t="s">
        <v>31</v>
      </c>
      <c r="N2721" s="9" t="s">
        <v>32</v>
      </c>
      <c r="O2721" s="12" t="s">
        <v>33</v>
      </c>
      <c r="P2721" s="12" t="s">
        <v>34</v>
      </c>
      <c r="Q2721" s="9"/>
      <c r="R2721" s="18"/>
      <c r="S2721" s="18"/>
      <c r="T2721" s="18"/>
      <c r="U2721" s="18"/>
      <c r="V2721" s="18"/>
      <c r="W2721" s="15"/>
      <c r="X2721" s="15"/>
    </row>
    <row r="2722">
      <c r="A2722" s="7">
        <v>2721.0</v>
      </c>
      <c r="B2722" s="8" t="s">
        <v>11483</v>
      </c>
      <c r="C2722" s="9" t="s">
        <v>11484</v>
      </c>
      <c r="D2722" s="10" t="str">
        <f>HYPERLINK("https://facebook.com/367089020688300_545806182816582", "367089020688300_545806182816582")</f>
        <v>367089020688300_545806182816582</v>
      </c>
      <c r="E2722" s="11">
        <v>96.0</v>
      </c>
      <c r="F2722" s="11">
        <v>1.0</v>
      </c>
      <c r="G2722" s="11">
        <v>49.0</v>
      </c>
      <c r="H2722" s="9" t="s">
        <v>26</v>
      </c>
      <c r="I2722" s="9" t="s">
        <v>993</v>
      </c>
      <c r="J2722" s="9" t="s">
        <v>994</v>
      </c>
      <c r="K2722" s="9" t="s">
        <v>11485</v>
      </c>
      <c r="L2722" s="9" t="s">
        <v>30</v>
      </c>
      <c r="M2722" s="9" t="s">
        <v>31</v>
      </c>
      <c r="N2722" s="9" t="s">
        <v>32</v>
      </c>
      <c r="O2722" s="12" t="s">
        <v>33</v>
      </c>
      <c r="P2722" s="12" t="s">
        <v>34</v>
      </c>
      <c r="Q2722" s="9"/>
      <c r="R2722" s="18"/>
      <c r="S2722" s="18"/>
      <c r="T2722" s="18"/>
      <c r="U2722" s="18"/>
      <c r="V2722" s="18"/>
      <c r="W2722" s="15"/>
      <c r="X2722" s="15"/>
    </row>
    <row r="2723">
      <c r="A2723" s="7">
        <v>2722.0</v>
      </c>
      <c r="B2723" s="8" t="s">
        <v>11486</v>
      </c>
      <c r="C2723" s="9" t="s">
        <v>11487</v>
      </c>
      <c r="D2723" s="10" t="str">
        <f>HYPERLINK("https://facebook.com/367089020688300_447160076014527", "367089020688300_447160076014527")</f>
        <v>367089020688300_447160076014527</v>
      </c>
      <c r="E2723" s="11">
        <v>46.0</v>
      </c>
      <c r="F2723" s="11">
        <v>0.0</v>
      </c>
      <c r="G2723" s="11">
        <v>86.0</v>
      </c>
      <c r="H2723" s="9" t="s">
        <v>26</v>
      </c>
      <c r="I2723" s="9" t="s">
        <v>11488</v>
      </c>
      <c r="J2723" s="9" t="s">
        <v>11489</v>
      </c>
      <c r="K2723" s="9" t="s">
        <v>11490</v>
      </c>
      <c r="L2723" s="9" t="s">
        <v>30</v>
      </c>
      <c r="M2723" s="9" t="s">
        <v>31</v>
      </c>
      <c r="N2723" s="9" t="s">
        <v>32</v>
      </c>
      <c r="O2723" s="12" t="s">
        <v>33</v>
      </c>
      <c r="P2723" s="12" t="s">
        <v>34</v>
      </c>
      <c r="Q2723" s="9"/>
      <c r="R2723" s="18"/>
      <c r="S2723" s="18"/>
      <c r="T2723" s="18"/>
      <c r="U2723" s="18"/>
      <c r="V2723" s="18"/>
      <c r="W2723" s="15"/>
      <c r="X2723" s="15"/>
    </row>
    <row r="2724">
      <c r="A2724" s="7">
        <v>2723.0</v>
      </c>
      <c r="B2724" s="8" t="s">
        <v>11491</v>
      </c>
      <c r="C2724" s="9" t="s">
        <v>11492</v>
      </c>
      <c r="D2724" s="10" t="str">
        <f>HYPERLINK("https://facebook.com/367089020688300_505933780137156", "367089020688300_505933780137156")</f>
        <v>367089020688300_505933780137156</v>
      </c>
      <c r="E2724" s="11">
        <v>319.0</v>
      </c>
      <c r="F2724" s="11">
        <v>0.0</v>
      </c>
      <c r="G2724" s="11">
        <v>137.0</v>
      </c>
      <c r="H2724" s="9" t="s">
        <v>26</v>
      </c>
      <c r="I2724" s="9" t="s">
        <v>11493</v>
      </c>
      <c r="J2724" s="9" t="s">
        <v>11494</v>
      </c>
      <c r="K2724" s="9" t="s">
        <v>11495</v>
      </c>
      <c r="L2724" s="9" t="s">
        <v>30</v>
      </c>
      <c r="M2724" s="9" t="s">
        <v>31</v>
      </c>
      <c r="N2724" s="9" t="s">
        <v>32</v>
      </c>
      <c r="O2724" s="12" t="s">
        <v>33</v>
      </c>
      <c r="P2724" s="12" t="s">
        <v>34</v>
      </c>
      <c r="Q2724" s="9"/>
      <c r="R2724" s="18"/>
      <c r="S2724" s="18"/>
      <c r="T2724" s="18"/>
      <c r="U2724" s="18"/>
      <c r="V2724" s="18"/>
      <c r="W2724" s="15"/>
      <c r="X2724" s="15"/>
    </row>
    <row r="2725">
      <c r="A2725" s="7">
        <v>2724.0</v>
      </c>
      <c r="B2725" s="8" t="s">
        <v>11496</v>
      </c>
      <c r="C2725" s="9" t="s">
        <v>11497</v>
      </c>
      <c r="D2725" s="10" t="str">
        <f>HYPERLINK("https://facebook.com/367089020688300_546137916116742", "367089020688300_546137916116742")</f>
        <v>367089020688300_546137916116742</v>
      </c>
      <c r="E2725" s="11">
        <v>78.0</v>
      </c>
      <c r="F2725" s="11">
        <v>1.0</v>
      </c>
      <c r="G2725" s="11">
        <v>4.0</v>
      </c>
      <c r="H2725" s="9" t="s">
        <v>26</v>
      </c>
      <c r="I2725" s="9" t="s">
        <v>11498</v>
      </c>
      <c r="J2725" s="9" t="s">
        <v>11499</v>
      </c>
      <c r="K2725" s="9" t="s">
        <v>11500</v>
      </c>
      <c r="L2725" s="9" t="s">
        <v>30</v>
      </c>
      <c r="M2725" s="9" t="s">
        <v>31</v>
      </c>
      <c r="N2725" s="9" t="s">
        <v>32</v>
      </c>
      <c r="O2725" s="12" t="s">
        <v>33</v>
      </c>
      <c r="P2725" s="12" t="s">
        <v>34</v>
      </c>
      <c r="Q2725" s="9"/>
      <c r="R2725" s="18"/>
      <c r="S2725" s="18"/>
      <c r="T2725" s="18"/>
      <c r="U2725" s="18"/>
      <c r="V2725" s="18"/>
      <c r="W2725" s="15"/>
      <c r="X2725" s="15"/>
    </row>
    <row r="2726">
      <c r="A2726" s="7">
        <v>2725.0</v>
      </c>
      <c r="B2726" s="8" t="s">
        <v>11501</v>
      </c>
      <c r="C2726" s="9" t="s">
        <v>11502</v>
      </c>
      <c r="D2726" s="10" t="str">
        <f>HYPERLINK("https://facebook.com/367089020688300_549057945824739", "367089020688300_549057945824739")</f>
        <v>367089020688300_549057945824739</v>
      </c>
      <c r="E2726" s="11">
        <v>175.0</v>
      </c>
      <c r="F2726" s="11">
        <v>3.0</v>
      </c>
      <c r="G2726" s="11">
        <v>54.0</v>
      </c>
      <c r="H2726" s="9" t="s">
        <v>26</v>
      </c>
      <c r="I2726" s="9" t="s">
        <v>6306</v>
      </c>
      <c r="J2726" s="16" t="s">
        <v>11503</v>
      </c>
      <c r="K2726" s="9"/>
      <c r="L2726" s="9" t="s">
        <v>30</v>
      </c>
      <c r="M2726" s="9" t="s">
        <v>31</v>
      </c>
      <c r="N2726" s="9" t="s">
        <v>32</v>
      </c>
      <c r="O2726" s="12" t="s">
        <v>33</v>
      </c>
      <c r="P2726" s="12" t="s">
        <v>34</v>
      </c>
      <c r="Q2726" s="9"/>
      <c r="R2726" s="18"/>
      <c r="S2726" s="18"/>
      <c r="T2726" s="18"/>
      <c r="U2726" s="18"/>
      <c r="V2726" s="18"/>
      <c r="W2726" s="15"/>
      <c r="X2726" s="15"/>
    </row>
    <row r="2727">
      <c r="A2727" s="7">
        <v>2726.0</v>
      </c>
      <c r="B2727" s="8" t="s">
        <v>11504</v>
      </c>
      <c r="C2727" s="9" t="s">
        <v>11505</v>
      </c>
      <c r="D2727" s="10" t="str">
        <f>HYPERLINK("https://facebook.com/367089020688300_548826125847921", "367089020688300_548826125847921")</f>
        <v>367089020688300_548826125847921</v>
      </c>
      <c r="E2727" s="11">
        <v>42.0</v>
      </c>
      <c r="F2727" s="11">
        <v>0.0</v>
      </c>
      <c r="G2727" s="11">
        <v>5.0</v>
      </c>
      <c r="H2727" s="9" t="s">
        <v>26</v>
      </c>
      <c r="I2727" s="9" t="s">
        <v>11506</v>
      </c>
      <c r="J2727" s="9" t="s">
        <v>11507</v>
      </c>
      <c r="K2727" s="9" t="s">
        <v>10600</v>
      </c>
      <c r="L2727" s="9" t="s">
        <v>30</v>
      </c>
      <c r="M2727" s="9" t="s">
        <v>31</v>
      </c>
      <c r="N2727" s="9" t="s">
        <v>32</v>
      </c>
      <c r="O2727" s="12" t="s">
        <v>33</v>
      </c>
      <c r="P2727" s="12" t="s">
        <v>34</v>
      </c>
      <c r="Q2727" s="9"/>
      <c r="R2727" s="18"/>
      <c r="S2727" s="18"/>
      <c r="T2727" s="18"/>
      <c r="U2727" s="18"/>
      <c r="V2727" s="18"/>
      <c r="W2727" s="15"/>
      <c r="X2727" s="15"/>
    </row>
    <row r="2728">
      <c r="A2728" s="7">
        <v>2727.0</v>
      </c>
      <c r="B2728" s="8" t="s">
        <v>11508</v>
      </c>
      <c r="C2728" s="9" t="s">
        <v>11509</v>
      </c>
      <c r="D2728" s="10" t="str">
        <f>HYPERLINK("https://facebook.com/367089020688300_555832015147332", "367089020688300_555832015147332")</f>
        <v>367089020688300_555832015147332</v>
      </c>
      <c r="E2728" s="11">
        <v>228.0</v>
      </c>
      <c r="F2728" s="11">
        <v>0.0</v>
      </c>
      <c r="G2728" s="11">
        <v>26.0</v>
      </c>
      <c r="H2728" s="9" t="s">
        <v>26</v>
      </c>
      <c r="I2728" s="9" t="s">
        <v>993</v>
      </c>
      <c r="J2728" s="9" t="s">
        <v>994</v>
      </c>
      <c r="K2728" s="9" t="s">
        <v>1214</v>
      </c>
      <c r="L2728" s="9" t="s">
        <v>30</v>
      </c>
      <c r="M2728" s="9" t="s">
        <v>31</v>
      </c>
      <c r="N2728" s="9" t="s">
        <v>32</v>
      </c>
      <c r="O2728" s="12" t="s">
        <v>33</v>
      </c>
      <c r="P2728" s="12" t="s">
        <v>34</v>
      </c>
      <c r="Q2728" s="9"/>
      <c r="R2728" s="18"/>
      <c r="S2728" s="18"/>
      <c r="T2728" s="18"/>
      <c r="U2728" s="18"/>
      <c r="V2728" s="18"/>
      <c r="W2728" s="15"/>
      <c r="X2728" s="15"/>
    </row>
    <row r="2729">
      <c r="A2729" s="7">
        <v>2728.0</v>
      </c>
      <c r="B2729" s="8" t="s">
        <v>11510</v>
      </c>
      <c r="C2729" s="9" t="s">
        <v>11511</v>
      </c>
      <c r="D2729" s="10" t="str">
        <f>HYPERLINK("https://facebook.com/367089020688300_541989449864922", "367089020688300_541989449864922")</f>
        <v>367089020688300_541989449864922</v>
      </c>
      <c r="E2729" s="11">
        <v>17.0</v>
      </c>
      <c r="F2729" s="11">
        <v>0.0</v>
      </c>
      <c r="G2729" s="11">
        <v>1.0</v>
      </c>
      <c r="H2729" s="9" t="s">
        <v>26</v>
      </c>
      <c r="I2729" s="9" t="s">
        <v>5886</v>
      </c>
      <c r="J2729" s="16" t="s">
        <v>11512</v>
      </c>
      <c r="K2729" s="9"/>
      <c r="L2729" s="9" t="s">
        <v>30</v>
      </c>
      <c r="M2729" s="9" t="s">
        <v>31</v>
      </c>
      <c r="N2729" s="9" t="s">
        <v>32</v>
      </c>
      <c r="O2729" s="12" t="s">
        <v>33</v>
      </c>
      <c r="P2729" s="12" t="s">
        <v>34</v>
      </c>
      <c r="Q2729" s="9"/>
      <c r="R2729" s="18"/>
      <c r="S2729" s="18"/>
      <c r="T2729" s="18"/>
      <c r="U2729" s="18"/>
      <c r="V2729" s="18"/>
      <c r="W2729" s="15"/>
      <c r="X2729" s="15"/>
    </row>
    <row r="2730">
      <c r="A2730" s="7">
        <v>2729.0</v>
      </c>
      <c r="B2730" s="8" t="s">
        <v>11513</v>
      </c>
      <c r="C2730" s="9" t="s">
        <v>11514</v>
      </c>
      <c r="D2730" s="10" t="str">
        <f>HYPERLINK("https://facebook.com/367089020688300_536462830417584", "367089020688300_536462830417584")</f>
        <v>367089020688300_536462830417584</v>
      </c>
      <c r="E2730" s="11">
        <v>25.0</v>
      </c>
      <c r="F2730" s="11">
        <v>0.0</v>
      </c>
      <c r="G2730" s="11">
        <v>34.0</v>
      </c>
      <c r="H2730" s="9" t="s">
        <v>26</v>
      </c>
      <c r="I2730" s="9" t="s">
        <v>11515</v>
      </c>
      <c r="J2730" s="16" t="s">
        <v>11516</v>
      </c>
      <c r="K2730" s="9"/>
      <c r="L2730" s="9" t="s">
        <v>30</v>
      </c>
      <c r="M2730" s="9" t="s">
        <v>31</v>
      </c>
      <c r="N2730" s="9" t="s">
        <v>32</v>
      </c>
      <c r="O2730" s="12" t="s">
        <v>33</v>
      </c>
      <c r="P2730" s="12" t="s">
        <v>34</v>
      </c>
      <c r="Q2730" s="9"/>
      <c r="R2730" s="18"/>
      <c r="S2730" s="18"/>
      <c r="T2730" s="18"/>
      <c r="U2730" s="18"/>
      <c r="V2730" s="18"/>
      <c r="W2730" s="15"/>
      <c r="X2730" s="15"/>
    </row>
    <row r="2731">
      <c r="A2731" s="7">
        <v>2730.0</v>
      </c>
      <c r="B2731" s="8" t="s">
        <v>11517</v>
      </c>
      <c r="C2731" s="9" t="s">
        <v>11518</v>
      </c>
      <c r="D2731" s="10" t="str">
        <f>HYPERLINK("https://facebook.com/367089020688300_554953648568502", "367089020688300_554953648568502")</f>
        <v>367089020688300_554953648568502</v>
      </c>
      <c r="E2731" s="11">
        <v>727.0</v>
      </c>
      <c r="F2731" s="11">
        <v>80.0</v>
      </c>
      <c r="G2731" s="11">
        <v>630.0</v>
      </c>
      <c r="H2731" s="9" t="s">
        <v>26</v>
      </c>
      <c r="I2731" s="9" t="s">
        <v>11519</v>
      </c>
      <c r="J2731" s="9" t="s">
        <v>11520</v>
      </c>
      <c r="K2731" s="9" t="s">
        <v>11521</v>
      </c>
      <c r="L2731" s="9" t="s">
        <v>30</v>
      </c>
      <c r="M2731" s="9" t="s">
        <v>31</v>
      </c>
      <c r="N2731" s="9" t="s">
        <v>32</v>
      </c>
      <c r="O2731" s="12" t="s">
        <v>33</v>
      </c>
      <c r="P2731" s="12" t="s">
        <v>34</v>
      </c>
      <c r="Q2731" s="9"/>
      <c r="R2731" s="18"/>
      <c r="S2731" s="18"/>
      <c r="T2731" s="18"/>
      <c r="U2731" s="18"/>
      <c r="V2731" s="18"/>
      <c r="W2731" s="15"/>
      <c r="X2731" s="15"/>
    </row>
    <row r="2732">
      <c r="A2732" s="7">
        <v>2731.0</v>
      </c>
      <c r="B2732" s="8" t="s">
        <v>11522</v>
      </c>
      <c r="C2732" s="9" t="s">
        <v>11523</v>
      </c>
      <c r="D2732" s="10" t="str">
        <f>HYPERLINK("https://facebook.com/367089020688300_529980754399125", "367089020688300_529980754399125")</f>
        <v>367089020688300_529980754399125</v>
      </c>
      <c r="E2732" s="11">
        <v>23.0</v>
      </c>
      <c r="F2732" s="11">
        <v>0.0</v>
      </c>
      <c r="G2732" s="11">
        <v>21.0</v>
      </c>
      <c r="H2732" s="9" t="s">
        <v>26</v>
      </c>
      <c r="I2732" s="9" t="s">
        <v>442</v>
      </c>
      <c r="J2732" s="9" t="s">
        <v>11524</v>
      </c>
      <c r="K2732" s="9" t="s">
        <v>11525</v>
      </c>
      <c r="L2732" s="9" t="s">
        <v>30</v>
      </c>
      <c r="M2732" s="9" t="s">
        <v>31</v>
      </c>
      <c r="N2732" s="9" t="s">
        <v>32</v>
      </c>
      <c r="O2732" s="12" t="s">
        <v>33</v>
      </c>
      <c r="P2732" s="12" t="s">
        <v>34</v>
      </c>
      <c r="Q2732" s="9"/>
      <c r="R2732" s="18"/>
      <c r="S2732" s="18"/>
      <c r="T2732" s="18"/>
      <c r="U2732" s="18"/>
      <c r="V2732" s="18"/>
      <c r="W2732" s="15"/>
      <c r="X2732" s="15"/>
    </row>
    <row r="2733">
      <c r="A2733" s="7">
        <v>2732.0</v>
      </c>
      <c r="B2733" s="8" t="s">
        <v>11526</v>
      </c>
      <c r="C2733" s="9" t="s">
        <v>11527</v>
      </c>
      <c r="D2733" s="10" t="str">
        <f>HYPERLINK("https://facebook.com/367089020688300_552908838772983", "367089020688300_552908838772983")</f>
        <v>367089020688300_552908838772983</v>
      </c>
      <c r="E2733" s="11">
        <v>22.0</v>
      </c>
      <c r="F2733" s="11">
        <v>0.0</v>
      </c>
      <c r="G2733" s="11">
        <v>16.0</v>
      </c>
      <c r="H2733" s="9" t="s">
        <v>26</v>
      </c>
      <c r="I2733" s="9" t="s">
        <v>1182</v>
      </c>
      <c r="J2733" s="16" t="s">
        <v>11528</v>
      </c>
      <c r="K2733" s="9"/>
      <c r="L2733" s="9" t="s">
        <v>30</v>
      </c>
      <c r="M2733" s="9" t="s">
        <v>31</v>
      </c>
      <c r="N2733" s="9" t="s">
        <v>32</v>
      </c>
      <c r="O2733" s="12" t="s">
        <v>33</v>
      </c>
      <c r="P2733" s="12" t="s">
        <v>34</v>
      </c>
      <c r="Q2733" s="9"/>
      <c r="R2733" s="18"/>
      <c r="S2733" s="18"/>
      <c r="T2733" s="18"/>
      <c r="U2733" s="18"/>
      <c r="V2733" s="18"/>
      <c r="W2733" s="15"/>
      <c r="X2733" s="15"/>
    </row>
    <row r="2734">
      <c r="A2734" s="7">
        <v>2733.0</v>
      </c>
      <c r="B2734" s="8" t="s">
        <v>11529</v>
      </c>
      <c r="C2734" s="9" t="s">
        <v>11530</v>
      </c>
      <c r="D2734" s="10" t="str">
        <f>HYPERLINK("https://facebook.com/367089020688300_554709911926209", "367089020688300_554709911926209")</f>
        <v>367089020688300_554709911926209</v>
      </c>
      <c r="E2734" s="11">
        <v>7.0</v>
      </c>
      <c r="F2734" s="11">
        <v>0.0</v>
      </c>
      <c r="G2734" s="11">
        <v>3.0</v>
      </c>
      <c r="H2734" s="9" t="s">
        <v>26</v>
      </c>
      <c r="I2734" s="9" t="s">
        <v>11531</v>
      </c>
      <c r="J2734" s="9" t="s">
        <v>11532</v>
      </c>
      <c r="K2734" s="9" t="s">
        <v>11533</v>
      </c>
      <c r="L2734" s="9" t="s">
        <v>30</v>
      </c>
      <c r="M2734" s="9" t="s">
        <v>31</v>
      </c>
      <c r="N2734" s="9" t="s">
        <v>32</v>
      </c>
      <c r="O2734" s="12" t="s">
        <v>33</v>
      </c>
      <c r="P2734" s="12" t="s">
        <v>34</v>
      </c>
      <c r="Q2734" s="9"/>
      <c r="R2734" s="18"/>
      <c r="S2734" s="18"/>
      <c r="T2734" s="18"/>
      <c r="U2734" s="18"/>
      <c r="V2734" s="18"/>
      <c r="W2734" s="15"/>
      <c r="X2734" s="15"/>
    </row>
    <row r="2735">
      <c r="A2735" s="7">
        <v>2734.0</v>
      </c>
      <c r="B2735" s="8" t="s">
        <v>11534</v>
      </c>
      <c r="C2735" s="9" t="s">
        <v>11535</v>
      </c>
      <c r="D2735" s="10" t="str">
        <f>HYPERLINK("https://facebook.com/367089020688300_545838979479969", "367089020688300_545838979479969")</f>
        <v>367089020688300_545838979479969</v>
      </c>
      <c r="E2735" s="11">
        <v>33.0</v>
      </c>
      <c r="F2735" s="11">
        <v>0.0</v>
      </c>
      <c r="G2735" s="11">
        <v>13.0</v>
      </c>
      <c r="H2735" s="9" t="s">
        <v>26</v>
      </c>
      <c r="I2735" s="9" t="s">
        <v>1965</v>
      </c>
      <c r="J2735" s="16" t="s">
        <v>5709</v>
      </c>
      <c r="K2735" s="9"/>
      <c r="L2735" s="9" t="s">
        <v>30</v>
      </c>
      <c r="M2735" s="9" t="s">
        <v>31</v>
      </c>
      <c r="N2735" s="9" t="s">
        <v>32</v>
      </c>
      <c r="O2735" s="12" t="s">
        <v>33</v>
      </c>
      <c r="P2735" s="12" t="s">
        <v>34</v>
      </c>
      <c r="Q2735" s="9"/>
      <c r="R2735" s="18"/>
      <c r="S2735" s="18"/>
      <c r="T2735" s="18"/>
      <c r="U2735" s="18"/>
      <c r="V2735" s="18"/>
      <c r="W2735" s="15"/>
      <c r="X2735" s="15"/>
    </row>
    <row r="2736">
      <c r="A2736" s="7">
        <v>2735.0</v>
      </c>
      <c r="B2736" s="8" t="s">
        <v>11536</v>
      </c>
      <c r="C2736" s="9" t="s">
        <v>11537</v>
      </c>
      <c r="D2736" s="10" t="str">
        <f>HYPERLINK("https://facebook.com/367089020688300_508180029912531", "367089020688300_508180029912531")</f>
        <v>367089020688300_508180029912531</v>
      </c>
      <c r="E2736" s="11">
        <v>97.0</v>
      </c>
      <c r="F2736" s="11">
        <v>1.0</v>
      </c>
      <c r="G2736" s="11">
        <v>89.0</v>
      </c>
      <c r="H2736" s="9" t="s">
        <v>26</v>
      </c>
      <c r="I2736" s="9" t="s">
        <v>11538</v>
      </c>
      <c r="J2736" s="9" t="s">
        <v>11539</v>
      </c>
      <c r="K2736" s="9" t="s">
        <v>11540</v>
      </c>
      <c r="L2736" s="9" t="s">
        <v>30</v>
      </c>
      <c r="M2736" s="9" t="s">
        <v>31</v>
      </c>
      <c r="N2736" s="9" t="s">
        <v>32</v>
      </c>
      <c r="O2736" s="12" t="s">
        <v>33</v>
      </c>
      <c r="P2736" s="12" t="s">
        <v>34</v>
      </c>
      <c r="Q2736" s="9"/>
      <c r="R2736" s="18"/>
      <c r="S2736" s="18"/>
      <c r="T2736" s="18"/>
      <c r="U2736" s="18"/>
      <c r="V2736" s="18"/>
      <c r="W2736" s="15"/>
      <c r="X2736" s="15"/>
    </row>
    <row r="2737">
      <c r="A2737" s="7">
        <v>2736.0</v>
      </c>
      <c r="B2737" s="8" t="s">
        <v>11541</v>
      </c>
      <c r="C2737" s="9" t="s">
        <v>11542</v>
      </c>
      <c r="D2737" s="10" t="str">
        <f>HYPERLINK("https://facebook.com/367089020688300_425863671477501", "367089020688300_425863671477501")</f>
        <v>367089020688300_425863671477501</v>
      </c>
      <c r="E2737" s="11">
        <v>893.0</v>
      </c>
      <c r="F2737" s="11">
        <v>14.0</v>
      </c>
      <c r="G2737" s="11">
        <v>894.0</v>
      </c>
      <c r="H2737" s="9" t="s">
        <v>26</v>
      </c>
      <c r="I2737" s="9" t="s">
        <v>11543</v>
      </c>
      <c r="J2737" s="9" t="s">
        <v>11544</v>
      </c>
      <c r="K2737" s="9" t="s">
        <v>11545</v>
      </c>
      <c r="L2737" s="9" t="s">
        <v>30</v>
      </c>
      <c r="M2737" s="9" t="s">
        <v>31</v>
      </c>
      <c r="N2737" s="9" t="s">
        <v>32</v>
      </c>
      <c r="O2737" s="12" t="s">
        <v>33</v>
      </c>
      <c r="P2737" s="12" t="s">
        <v>34</v>
      </c>
      <c r="Q2737" s="9"/>
      <c r="R2737" s="18"/>
      <c r="S2737" s="18"/>
      <c r="T2737" s="18"/>
      <c r="U2737" s="18"/>
      <c r="V2737" s="18"/>
      <c r="W2737" s="15"/>
      <c r="X2737" s="15"/>
    </row>
    <row r="2738">
      <c r="A2738" s="7">
        <v>2737.0</v>
      </c>
      <c r="B2738" s="8" t="s">
        <v>11546</v>
      </c>
      <c r="C2738" s="9" t="s">
        <v>11547</v>
      </c>
      <c r="D2738" s="10" t="str">
        <f>HYPERLINK("https://facebook.com/367089020688300_421302051933663", "367089020688300_421302051933663")</f>
        <v>367089020688300_421302051933663</v>
      </c>
      <c r="E2738" s="11">
        <v>173.0</v>
      </c>
      <c r="F2738" s="11">
        <v>4.0</v>
      </c>
      <c r="G2738" s="11">
        <v>62.0</v>
      </c>
      <c r="H2738" s="9" t="s">
        <v>26</v>
      </c>
      <c r="I2738" s="9" t="s">
        <v>11548</v>
      </c>
      <c r="J2738" s="9" t="s">
        <v>11549</v>
      </c>
      <c r="K2738" s="9" t="s">
        <v>11550</v>
      </c>
      <c r="L2738" s="9" t="s">
        <v>30</v>
      </c>
      <c r="M2738" s="9" t="s">
        <v>31</v>
      </c>
      <c r="N2738" s="9" t="s">
        <v>32</v>
      </c>
      <c r="O2738" s="12" t="s">
        <v>33</v>
      </c>
      <c r="P2738" s="12" t="s">
        <v>34</v>
      </c>
      <c r="Q2738" s="9"/>
      <c r="R2738" s="18"/>
      <c r="S2738" s="18"/>
      <c r="T2738" s="18"/>
      <c r="U2738" s="18"/>
      <c r="V2738" s="18"/>
      <c r="W2738" s="15"/>
      <c r="X2738" s="15"/>
    </row>
    <row r="2739">
      <c r="A2739" s="7">
        <v>2738.0</v>
      </c>
      <c r="B2739" s="8" t="s">
        <v>11551</v>
      </c>
      <c r="C2739" s="9" t="s">
        <v>11552</v>
      </c>
      <c r="D2739" s="10" t="str">
        <f>HYPERLINK("https://facebook.com/367089020688300_538196260244241", "367089020688300_538196260244241")</f>
        <v>367089020688300_538196260244241</v>
      </c>
      <c r="E2739" s="11">
        <v>8.0</v>
      </c>
      <c r="F2739" s="11">
        <v>0.0</v>
      </c>
      <c r="G2739" s="11">
        <v>12.0</v>
      </c>
      <c r="H2739" s="9" t="s">
        <v>26</v>
      </c>
      <c r="I2739" s="9" t="s">
        <v>5066</v>
      </c>
      <c r="J2739" s="9" t="s">
        <v>5067</v>
      </c>
      <c r="K2739" s="9" t="s">
        <v>11553</v>
      </c>
      <c r="L2739" s="9" t="s">
        <v>30</v>
      </c>
      <c r="M2739" s="9" t="s">
        <v>31</v>
      </c>
      <c r="N2739" s="9" t="s">
        <v>32</v>
      </c>
      <c r="O2739" s="12" t="s">
        <v>33</v>
      </c>
      <c r="P2739" s="12" t="s">
        <v>34</v>
      </c>
      <c r="Q2739" s="9"/>
      <c r="R2739" s="18"/>
      <c r="S2739" s="18"/>
      <c r="T2739" s="18"/>
      <c r="U2739" s="18"/>
      <c r="V2739" s="18"/>
      <c r="W2739" s="15"/>
      <c r="X2739" s="15"/>
    </row>
    <row r="2740">
      <c r="A2740" s="7">
        <v>2739.0</v>
      </c>
      <c r="B2740" s="8" t="s">
        <v>11554</v>
      </c>
      <c r="C2740" s="9" t="s">
        <v>11555</v>
      </c>
      <c r="D2740" s="10" t="str">
        <f>HYPERLINK("https://facebook.com/367089020688300_554277661969434", "367089020688300_554277661969434")</f>
        <v>367089020688300_554277661969434</v>
      </c>
      <c r="E2740" s="11">
        <v>170.0</v>
      </c>
      <c r="F2740" s="11">
        <v>1.0</v>
      </c>
      <c r="G2740" s="11">
        <v>160.0</v>
      </c>
      <c r="H2740" s="9" t="s">
        <v>26</v>
      </c>
      <c r="I2740" s="9" t="s">
        <v>11556</v>
      </c>
      <c r="J2740" s="16" t="s">
        <v>11557</v>
      </c>
      <c r="K2740" s="9"/>
      <c r="L2740" s="9" t="s">
        <v>30</v>
      </c>
      <c r="M2740" s="9" t="s">
        <v>31</v>
      </c>
      <c r="N2740" s="9" t="s">
        <v>32</v>
      </c>
      <c r="O2740" s="12" t="s">
        <v>33</v>
      </c>
      <c r="P2740" s="12" t="s">
        <v>34</v>
      </c>
      <c r="Q2740" s="9"/>
      <c r="R2740" s="18"/>
      <c r="S2740" s="18"/>
      <c r="T2740" s="18"/>
      <c r="U2740" s="18"/>
      <c r="V2740" s="18"/>
      <c r="W2740" s="15"/>
      <c r="X2740" s="15"/>
    </row>
    <row r="2741">
      <c r="A2741" s="7">
        <v>2740.0</v>
      </c>
      <c r="B2741" s="8" t="s">
        <v>11558</v>
      </c>
      <c r="C2741" s="9" t="s">
        <v>11559</v>
      </c>
      <c r="D2741" s="10" t="str">
        <f>HYPERLINK("https://facebook.com/367089020688300_546904319373435", "367089020688300_546904319373435")</f>
        <v>367089020688300_546904319373435</v>
      </c>
      <c r="E2741" s="11">
        <v>584.0</v>
      </c>
      <c r="F2741" s="11">
        <v>4.0</v>
      </c>
      <c r="G2741" s="11">
        <v>536.0</v>
      </c>
      <c r="H2741" s="9" t="s">
        <v>26</v>
      </c>
      <c r="I2741" s="9" t="s">
        <v>11560</v>
      </c>
      <c r="J2741" s="9" t="s">
        <v>11561</v>
      </c>
      <c r="K2741" s="9" t="s">
        <v>51</v>
      </c>
      <c r="L2741" s="9" t="s">
        <v>30</v>
      </c>
      <c r="M2741" s="9" t="s">
        <v>31</v>
      </c>
      <c r="N2741" s="9" t="s">
        <v>32</v>
      </c>
      <c r="O2741" s="12" t="s">
        <v>33</v>
      </c>
      <c r="P2741" s="12" t="s">
        <v>34</v>
      </c>
      <c r="Q2741" s="9"/>
      <c r="R2741" s="18"/>
      <c r="S2741" s="18"/>
      <c r="T2741" s="18"/>
      <c r="U2741" s="18"/>
      <c r="V2741" s="18"/>
      <c r="W2741" s="15"/>
      <c r="X2741" s="15"/>
    </row>
    <row r="2742">
      <c r="A2742" s="7">
        <v>2741.0</v>
      </c>
      <c r="B2742" s="8" t="s">
        <v>11562</v>
      </c>
      <c r="C2742" s="9" t="s">
        <v>11563</v>
      </c>
      <c r="D2742" s="10" t="str">
        <f>HYPERLINK("https://facebook.com/367089020688300_464081917655676", "367089020688300_464081917655676")</f>
        <v>367089020688300_464081917655676</v>
      </c>
      <c r="E2742" s="11">
        <v>1105.0</v>
      </c>
      <c r="F2742" s="11">
        <v>89.0</v>
      </c>
      <c r="G2742" s="11">
        <v>634.0</v>
      </c>
      <c r="H2742" s="9" t="s">
        <v>26</v>
      </c>
      <c r="I2742" s="9" t="s">
        <v>11564</v>
      </c>
      <c r="J2742" s="16" t="s">
        <v>11565</v>
      </c>
      <c r="K2742" s="9"/>
      <c r="L2742" s="9" t="s">
        <v>30</v>
      </c>
      <c r="M2742" s="9" t="s">
        <v>31</v>
      </c>
      <c r="N2742" s="9" t="s">
        <v>32</v>
      </c>
      <c r="O2742" s="12" t="s">
        <v>33</v>
      </c>
      <c r="P2742" s="12" t="s">
        <v>34</v>
      </c>
      <c r="Q2742" s="9"/>
      <c r="R2742" s="18"/>
      <c r="S2742" s="18"/>
      <c r="T2742" s="18"/>
      <c r="U2742" s="18"/>
      <c r="V2742" s="18"/>
      <c r="W2742" s="15"/>
      <c r="X2742" s="15"/>
    </row>
    <row r="2743">
      <c r="A2743" s="7">
        <v>2742.0</v>
      </c>
      <c r="B2743" s="8" t="s">
        <v>11566</v>
      </c>
      <c r="C2743" s="9" t="s">
        <v>11567</v>
      </c>
      <c r="D2743" s="10" t="str">
        <f>HYPERLINK("https://facebook.com/367089020688300_463405751056626", "367089020688300_463405751056626")</f>
        <v>367089020688300_463405751056626</v>
      </c>
      <c r="E2743" s="11">
        <v>36.0</v>
      </c>
      <c r="F2743" s="11">
        <v>1.0</v>
      </c>
      <c r="G2743" s="11">
        <v>67.0</v>
      </c>
      <c r="H2743" s="9" t="s">
        <v>26</v>
      </c>
      <c r="I2743" s="9" t="s">
        <v>11568</v>
      </c>
      <c r="J2743" s="9" t="s">
        <v>11569</v>
      </c>
      <c r="K2743" s="9" t="s">
        <v>11570</v>
      </c>
      <c r="L2743" s="9" t="s">
        <v>30</v>
      </c>
      <c r="M2743" s="9" t="s">
        <v>31</v>
      </c>
      <c r="N2743" s="9" t="s">
        <v>32</v>
      </c>
      <c r="O2743" s="12" t="s">
        <v>33</v>
      </c>
      <c r="P2743" s="12" t="s">
        <v>34</v>
      </c>
      <c r="Q2743" s="9"/>
      <c r="R2743" s="18"/>
      <c r="S2743" s="18"/>
      <c r="T2743" s="18"/>
      <c r="U2743" s="18"/>
      <c r="V2743" s="18"/>
      <c r="W2743" s="15"/>
      <c r="X2743" s="15"/>
    </row>
    <row r="2744">
      <c r="A2744" s="7">
        <v>2743.0</v>
      </c>
      <c r="B2744" s="8" t="s">
        <v>11571</v>
      </c>
      <c r="C2744" s="9" t="s">
        <v>11572</v>
      </c>
      <c r="D2744" s="10" t="str">
        <f>HYPERLINK("https://facebook.com/367089020688300_558703221526878", "367089020688300_558703221526878")</f>
        <v>367089020688300_558703221526878</v>
      </c>
      <c r="E2744" s="11">
        <v>118.0</v>
      </c>
      <c r="F2744" s="11">
        <v>0.0</v>
      </c>
      <c r="G2744" s="11">
        <v>67.0</v>
      </c>
      <c r="H2744" s="9" t="s">
        <v>26</v>
      </c>
      <c r="I2744" s="9" t="s">
        <v>5595</v>
      </c>
      <c r="J2744" s="9" t="s">
        <v>5596</v>
      </c>
      <c r="K2744" s="9" t="s">
        <v>219</v>
      </c>
      <c r="L2744" s="9" t="s">
        <v>30</v>
      </c>
      <c r="M2744" s="9" t="s">
        <v>31</v>
      </c>
      <c r="N2744" s="9" t="s">
        <v>32</v>
      </c>
      <c r="O2744" s="12" t="s">
        <v>33</v>
      </c>
      <c r="P2744" s="12" t="s">
        <v>34</v>
      </c>
      <c r="Q2744" s="9"/>
      <c r="R2744" s="18"/>
      <c r="S2744" s="18"/>
      <c r="T2744" s="18"/>
      <c r="U2744" s="18"/>
      <c r="V2744" s="18"/>
      <c r="W2744" s="15"/>
      <c r="X2744" s="15"/>
    </row>
    <row r="2745">
      <c r="A2745" s="7">
        <v>2744.0</v>
      </c>
      <c r="B2745" s="8" t="s">
        <v>11573</v>
      </c>
      <c r="C2745" s="9" t="s">
        <v>11574</v>
      </c>
      <c r="D2745" s="10" t="str">
        <f>HYPERLINK("https://facebook.com/367089020688300_510464419684092", "367089020688300_510464419684092")</f>
        <v>367089020688300_510464419684092</v>
      </c>
      <c r="E2745" s="11">
        <v>96.0</v>
      </c>
      <c r="F2745" s="11">
        <v>5.0</v>
      </c>
      <c r="G2745" s="11">
        <v>165.0</v>
      </c>
      <c r="H2745" s="9" t="s">
        <v>26</v>
      </c>
      <c r="I2745" s="9" t="s">
        <v>11575</v>
      </c>
      <c r="J2745" s="9" t="s">
        <v>11576</v>
      </c>
      <c r="K2745" s="9" t="s">
        <v>4188</v>
      </c>
      <c r="L2745" s="9" t="s">
        <v>30</v>
      </c>
      <c r="M2745" s="9" t="s">
        <v>31</v>
      </c>
      <c r="N2745" s="9" t="s">
        <v>32</v>
      </c>
      <c r="O2745" s="12" t="s">
        <v>33</v>
      </c>
      <c r="P2745" s="12" t="s">
        <v>34</v>
      </c>
      <c r="Q2745" s="9"/>
      <c r="R2745" s="18"/>
      <c r="S2745" s="18"/>
      <c r="T2745" s="18"/>
      <c r="U2745" s="18"/>
      <c r="V2745" s="18"/>
      <c r="W2745" s="15"/>
      <c r="X2745" s="15"/>
    </row>
    <row r="2746">
      <c r="A2746" s="7">
        <v>2745.0</v>
      </c>
      <c r="B2746" s="8" t="s">
        <v>11577</v>
      </c>
      <c r="C2746" s="9" t="s">
        <v>11578</v>
      </c>
      <c r="D2746" s="10" t="str">
        <f>HYPERLINK("https://facebook.com/367089020688300_555982668465600", "367089020688300_555982668465600")</f>
        <v>367089020688300_555982668465600</v>
      </c>
      <c r="E2746" s="11">
        <v>333.0</v>
      </c>
      <c r="F2746" s="11">
        <v>4.0</v>
      </c>
      <c r="G2746" s="11">
        <v>144.0</v>
      </c>
      <c r="H2746" s="9" t="s">
        <v>26</v>
      </c>
      <c r="I2746" s="9" t="s">
        <v>11579</v>
      </c>
      <c r="J2746" s="9" t="s">
        <v>11580</v>
      </c>
      <c r="K2746" s="9" t="s">
        <v>11581</v>
      </c>
      <c r="L2746" s="9" t="s">
        <v>30</v>
      </c>
      <c r="M2746" s="9" t="s">
        <v>31</v>
      </c>
      <c r="N2746" s="9" t="s">
        <v>32</v>
      </c>
      <c r="O2746" s="12" t="s">
        <v>33</v>
      </c>
      <c r="P2746" s="12" t="s">
        <v>34</v>
      </c>
      <c r="Q2746" s="9"/>
      <c r="R2746" s="18"/>
      <c r="S2746" s="18"/>
      <c r="T2746" s="18"/>
      <c r="U2746" s="18"/>
      <c r="V2746" s="18"/>
      <c r="W2746" s="15"/>
      <c r="X2746" s="15"/>
    </row>
    <row r="2747">
      <c r="A2747" s="7">
        <v>2746.0</v>
      </c>
      <c r="B2747" s="8" t="s">
        <v>11582</v>
      </c>
      <c r="C2747" s="9" t="s">
        <v>11583</v>
      </c>
      <c r="D2747" s="10" t="str">
        <f>HYPERLINK("https://facebook.com/367089020688300_539094140154453", "367089020688300_539094140154453")</f>
        <v>367089020688300_539094140154453</v>
      </c>
      <c r="E2747" s="11">
        <v>4.0</v>
      </c>
      <c r="F2747" s="11">
        <v>0.0</v>
      </c>
      <c r="G2747" s="11">
        <v>6.0</v>
      </c>
      <c r="H2747" s="9" t="s">
        <v>26</v>
      </c>
      <c r="I2747" s="9" t="s">
        <v>1545</v>
      </c>
      <c r="J2747" s="16" t="s">
        <v>11584</v>
      </c>
      <c r="K2747" s="9"/>
      <c r="L2747" s="9" t="s">
        <v>30</v>
      </c>
      <c r="M2747" s="9" t="s">
        <v>31</v>
      </c>
      <c r="N2747" s="9" t="s">
        <v>32</v>
      </c>
      <c r="O2747" s="12" t="s">
        <v>33</v>
      </c>
      <c r="P2747" s="12" t="s">
        <v>34</v>
      </c>
      <c r="Q2747" s="9"/>
      <c r="R2747" s="18"/>
      <c r="S2747" s="18"/>
      <c r="T2747" s="18"/>
      <c r="U2747" s="18"/>
      <c r="V2747" s="18"/>
      <c r="W2747" s="15"/>
      <c r="X2747" s="15"/>
    </row>
    <row r="2748">
      <c r="A2748" s="7">
        <v>2747.0</v>
      </c>
      <c r="B2748" s="8" t="s">
        <v>11585</v>
      </c>
      <c r="C2748" s="9" t="s">
        <v>11586</v>
      </c>
      <c r="D2748" s="10" t="str">
        <f>HYPERLINK("https://facebook.com/367089020688300_556832325047301", "367089020688300_556832325047301")</f>
        <v>367089020688300_556832325047301</v>
      </c>
      <c r="E2748" s="11">
        <v>15.0</v>
      </c>
      <c r="F2748" s="11">
        <v>1.0</v>
      </c>
      <c r="G2748" s="11">
        <v>24.0</v>
      </c>
      <c r="H2748" s="9" t="s">
        <v>26</v>
      </c>
      <c r="I2748" s="9" t="s">
        <v>11587</v>
      </c>
      <c r="J2748" s="9" t="s">
        <v>11588</v>
      </c>
      <c r="K2748" s="9" t="s">
        <v>11589</v>
      </c>
      <c r="L2748" s="9" t="s">
        <v>30</v>
      </c>
      <c r="M2748" s="9" t="s">
        <v>31</v>
      </c>
      <c r="N2748" s="9" t="s">
        <v>32</v>
      </c>
      <c r="O2748" s="12" t="s">
        <v>33</v>
      </c>
      <c r="P2748" s="12" t="s">
        <v>34</v>
      </c>
      <c r="Q2748" s="9"/>
      <c r="R2748" s="18"/>
      <c r="S2748" s="18"/>
      <c r="T2748" s="18"/>
      <c r="U2748" s="18"/>
      <c r="V2748" s="18"/>
      <c r="W2748" s="15"/>
      <c r="X2748" s="15"/>
    </row>
    <row r="2749">
      <c r="A2749" s="7">
        <v>2748.0</v>
      </c>
      <c r="B2749" s="8" t="s">
        <v>11590</v>
      </c>
      <c r="C2749" s="9" t="s">
        <v>11591</v>
      </c>
      <c r="D2749" s="10" t="str">
        <f>HYPERLINK("https://facebook.com/367089020688300_529932237737310", "367089020688300_529932237737310")</f>
        <v>367089020688300_529932237737310</v>
      </c>
      <c r="E2749" s="11">
        <v>3.0</v>
      </c>
      <c r="F2749" s="11">
        <v>0.0</v>
      </c>
      <c r="G2749" s="11">
        <v>10.0</v>
      </c>
      <c r="H2749" s="9" t="s">
        <v>26</v>
      </c>
      <c r="I2749" s="9" t="s">
        <v>11592</v>
      </c>
      <c r="J2749" s="9" t="s">
        <v>11593</v>
      </c>
      <c r="K2749" s="9" t="s">
        <v>11594</v>
      </c>
      <c r="L2749" s="9" t="s">
        <v>30</v>
      </c>
      <c r="M2749" s="9" t="s">
        <v>31</v>
      </c>
      <c r="N2749" s="9" t="s">
        <v>32</v>
      </c>
      <c r="O2749" s="12" t="s">
        <v>33</v>
      </c>
      <c r="P2749" s="12" t="s">
        <v>34</v>
      </c>
      <c r="Q2749" s="9"/>
      <c r="R2749" s="18"/>
      <c r="S2749" s="18"/>
      <c r="T2749" s="18"/>
      <c r="U2749" s="18"/>
      <c r="V2749" s="18"/>
      <c r="W2749" s="15"/>
      <c r="X2749" s="15"/>
    </row>
    <row r="2750">
      <c r="A2750" s="7">
        <v>2749.0</v>
      </c>
      <c r="B2750" s="8" t="s">
        <v>11595</v>
      </c>
      <c r="C2750" s="9" t="s">
        <v>11596</v>
      </c>
      <c r="D2750" s="10" t="str">
        <f>HYPERLINK("https://facebook.com/367089020688300_552590948804772", "367089020688300_552590948804772")</f>
        <v>367089020688300_552590948804772</v>
      </c>
      <c r="E2750" s="11">
        <v>87.0</v>
      </c>
      <c r="F2750" s="11">
        <v>0.0</v>
      </c>
      <c r="G2750" s="11">
        <v>90.0</v>
      </c>
      <c r="H2750" s="9" t="s">
        <v>26</v>
      </c>
      <c r="I2750" s="9" t="s">
        <v>11597</v>
      </c>
      <c r="J2750" s="16" t="s">
        <v>11598</v>
      </c>
      <c r="K2750" s="9"/>
      <c r="L2750" s="9" t="s">
        <v>30</v>
      </c>
      <c r="M2750" s="9" t="s">
        <v>31</v>
      </c>
      <c r="N2750" s="9" t="s">
        <v>32</v>
      </c>
      <c r="O2750" s="12" t="s">
        <v>33</v>
      </c>
      <c r="P2750" s="12" t="s">
        <v>34</v>
      </c>
      <c r="Q2750" s="9"/>
      <c r="R2750" s="18"/>
      <c r="S2750" s="18"/>
      <c r="T2750" s="18"/>
      <c r="U2750" s="18"/>
      <c r="V2750" s="18"/>
      <c r="W2750" s="15"/>
      <c r="X2750" s="15"/>
    </row>
    <row r="2751">
      <c r="A2751" s="7">
        <v>2750.0</v>
      </c>
      <c r="B2751" s="8" t="s">
        <v>11599</v>
      </c>
      <c r="C2751" s="9" t="s">
        <v>11600</v>
      </c>
      <c r="D2751" s="10" t="str">
        <f>HYPERLINK("https://facebook.com/367089020688300_500570534006814", "367089020688300_500570534006814")</f>
        <v>367089020688300_500570534006814</v>
      </c>
      <c r="E2751" s="11">
        <v>96.0</v>
      </c>
      <c r="F2751" s="11">
        <v>17.0</v>
      </c>
      <c r="G2751" s="11">
        <v>133.0</v>
      </c>
      <c r="H2751" s="9" t="s">
        <v>26</v>
      </c>
      <c r="I2751" s="9" t="s">
        <v>1094</v>
      </c>
      <c r="J2751" s="9" t="s">
        <v>1095</v>
      </c>
      <c r="K2751" s="9" t="s">
        <v>8554</v>
      </c>
      <c r="L2751" s="9" t="s">
        <v>30</v>
      </c>
      <c r="M2751" s="9" t="s">
        <v>31</v>
      </c>
      <c r="N2751" s="9" t="s">
        <v>32</v>
      </c>
      <c r="O2751" s="12" t="s">
        <v>33</v>
      </c>
      <c r="P2751" s="12" t="s">
        <v>34</v>
      </c>
      <c r="Q2751" s="9"/>
      <c r="R2751" s="18"/>
      <c r="S2751" s="18"/>
      <c r="T2751" s="18"/>
      <c r="U2751" s="18"/>
      <c r="V2751" s="18"/>
      <c r="W2751" s="15"/>
      <c r="X2751" s="15"/>
    </row>
    <row r="2752">
      <c r="A2752" s="7">
        <v>2751.0</v>
      </c>
      <c r="B2752" s="8" t="s">
        <v>11601</v>
      </c>
      <c r="C2752" s="9" t="s">
        <v>11602</v>
      </c>
      <c r="D2752" s="10" t="str">
        <f>HYPERLINK("https://facebook.com/367089020688300_561902211206979", "367089020688300_561902211206979")</f>
        <v>367089020688300_561902211206979</v>
      </c>
      <c r="E2752" s="11">
        <v>24.0</v>
      </c>
      <c r="F2752" s="11">
        <v>1.0</v>
      </c>
      <c r="G2752" s="11">
        <v>1.0</v>
      </c>
      <c r="H2752" s="9" t="s">
        <v>26</v>
      </c>
      <c r="I2752" s="9" t="s">
        <v>9199</v>
      </c>
      <c r="J2752" s="9" t="s">
        <v>9200</v>
      </c>
      <c r="K2752" s="9" t="s">
        <v>7336</v>
      </c>
      <c r="L2752" s="9" t="s">
        <v>30</v>
      </c>
      <c r="M2752" s="9" t="s">
        <v>31</v>
      </c>
      <c r="N2752" s="9" t="s">
        <v>32</v>
      </c>
      <c r="O2752" s="12" t="s">
        <v>33</v>
      </c>
      <c r="P2752" s="12" t="s">
        <v>34</v>
      </c>
      <c r="Q2752" s="9"/>
      <c r="R2752" s="18"/>
      <c r="S2752" s="18"/>
      <c r="T2752" s="18"/>
      <c r="U2752" s="18"/>
      <c r="V2752" s="18"/>
      <c r="W2752" s="15"/>
      <c r="X2752" s="15"/>
    </row>
    <row r="2753">
      <c r="A2753" s="7">
        <v>2752.0</v>
      </c>
      <c r="B2753" s="8" t="s">
        <v>11603</v>
      </c>
      <c r="C2753" s="9" t="s">
        <v>11604</v>
      </c>
      <c r="D2753" s="10" t="str">
        <f>HYPERLINK("https://facebook.com/367089020688300_555999591797241", "367089020688300_555999591797241")</f>
        <v>367089020688300_555999591797241</v>
      </c>
      <c r="E2753" s="11">
        <v>20.0</v>
      </c>
      <c r="F2753" s="11">
        <v>0.0</v>
      </c>
      <c r="G2753" s="11">
        <v>17.0</v>
      </c>
      <c r="H2753" s="9" t="s">
        <v>26</v>
      </c>
      <c r="I2753" s="9" t="s">
        <v>11605</v>
      </c>
      <c r="J2753" s="9" t="s">
        <v>11606</v>
      </c>
      <c r="K2753" s="9" t="s">
        <v>11607</v>
      </c>
      <c r="L2753" s="9" t="s">
        <v>30</v>
      </c>
      <c r="M2753" s="9" t="s">
        <v>31</v>
      </c>
      <c r="N2753" s="9" t="s">
        <v>32</v>
      </c>
      <c r="O2753" s="12" t="s">
        <v>33</v>
      </c>
      <c r="P2753" s="12" t="s">
        <v>34</v>
      </c>
      <c r="Q2753" s="9"/>
      <c r="R2753" s="18"/>
      <c r="S2753" s="18"/>
      <c r="T2753" s="18"/>
      <c r="U2753" s="18"/>
      <c r="V2753" s="18"/>
      <c r="W2753" s="15"/>
      <c r="X2753" s="15"/>
    </row>
    <row r="2754">
      <c r="A2754" s="7">
        <v>2753.0</v>
      </c>
      <c r="B2754" s="8" t="s">
        <v>11608</v>
      </c>
      <c r="C2754" s="9" t="s">
        <v>11609</v>
      </c>
      <c r="D2754" s="10" t="str">
        <f>HYPERLINK("https://facebook.com/367089020688300_562947324435801", "367089020688300_562947324435801")</f>
        <v>367089020688300_562947324435801</v>
      </c>
      <c r="E2754" s="11">
        <v>11.0</v>
      </c>
      <c r="F2754" s="11">
        <v>0.0</v>
      </c>
      <c r="G2754" s="11">
        <v>19.0</v>
      </c>
      <c r="H2754" s="9" t="s">
        <v>26</v>
      </c>
      <c r="I2754" s="9" t="s">
        <v>11610</v>
      </c>
      <c r="J2754" s="16" t="s">
        <v>11611</v>
      </c>
      <c r="K2754" s="9"/>
      <c r="L2754" s="9" t="s">
        <v>30</v>
      </c>
      <c r="M2754" s="9" t="s">
        <v>31</v>
      </c>
      <c r="N2754" s="9" t="s">
        <v>32</v>
      </c>
      <c r="O2754" s="12" t="s">
        <v>33</v>
      </c>
      <c r="P2754" s="12" t="s">
        <v>34</v>
      </c>
      <c r="Q2754" s="9"/>
      <c r="R2754" s="18"/>
      <c r="S2754" s="18"/>
      <c r="T2754" s="18"/>
      <c r="U2754" s="18"/>
      <c r="V2754" s="18"/>
      <c r="W2754" s="15"/>
      <c r="X2754" s="15"/>
    </row>
    <row r="2755">
      <c r="A2755" s="7">
        <v>2754.0</v>
      </c>
      <c r="B2755" s="8" t="s">
        <v>11612</v>
      </c>
      <c r="C2755" s="9" t="s">
        <v>11613</v>
      </c>
      <c r="D2755" s="10" t="str">
        <f>HYPERLINK("https://facebook.com/367089020688300_428265831237285", "367089020688300_428265831237285")</f>
        <v>367089020688300_428265831237285</v>
      </c>
      <c r="E2755" s="11">
        <v>47.0</v>
      </c>
      <c r="F2755" s="11">
        <v>3.0</v>
      </c>
      <c r="G2755" s="11">
        <v>69.0</v>
      </c>
      <c r="H2755" s="9" t="s">
        <v>26</v>
      </c>
      <c r="I2755" s="9" t="s">
        <v>11614</v>
      </c>
      <c r="J2755" s="9" t="s">
        <v>11615</v>
      </c>
      <c r="K2755" s="9" t="s">
        <v>11616</v>
      </c>
      <c r="L2755" s="9" t="s">
        <v>30</v>
      </c>
      <c r="M2755" s="9" t="s">
        <v>31</v>
      </c>
      <c r="N2755" s="9" t="s">
        <v>32</v>
      </c>
      <c r="O2755" s="12" t="s">
        <v>33</v>
      </c>
      <c r="P2755" s="12" t="s">
        <v>34</v>
      </c>
      <c r="Q2755" s="9"/>
      <c r="R2755" s="18"/>
      <c r="S2755" s="18"/>
      <c r="T2755" s="18"/>
      <c r="U2755" s="18"/>
      <c r="V2755" s="18"/>
      <c r="W2755" s="15"/>
      <c r="X2755" s="15"/>
    </row>
    <row r="2756">
      <c r="A2756" s="7">
        <v>2755.0</v>
      </c>
      <c r="B2756" s="8" t="s">
        <v>11617</v>
      </c>
      <c r="C2756" s="9" t="s">
        <v>11618</v>
      </c>
      <c r="D2756" s="10" t="str">
        <f>HYPERLINK("https://facebook.com/367089020688300_525191674878033", "367089020688300_525191674878033")</f>
        <v>367089020688300_525191674878033</v>
      </c>
      <c r="E2756" s="11">
        <v>1004.0</v>
      </c>
      <c r="F2756" s="11">
        <v>74.0</v>
      </c>
      <c r="G2756" s="11">
        <v>762.0</v>
      </c>
      <c r="H2756" s="9" t="s">
        <v>26</v>
      </c>
      <c r="I2756" s="9" t="s">
        <v>11619</v>
      </c>
      <c r="J2756" s="9" t="s">
        <v>11620</v>
      </c>
      <c r="K2756" s="9" t="s">
        <v>11621</v>
      </c>
      <c r="L2756" s="9" t="s">
        <v>30</v>
      </c>
      <c r="M2756" s="9" t="s">
        <v>31</v>
      </c>
      <c r="N2756" s="9" t="s">
        <v>32</v>
      </c>
      <c r="O2756" s="12" t="s">
        <v>33</v>
      </c>
      <c r="P2756" s="12" t="s">
        <v>34</v>
      </c>
      <c r="Q2756" s="9"/>
      <c r="R2756" s="18"/>
      <c r="S2756" s="18"/>
      <c r="T2756" s="18"/>
      <c r="U2756" s="18"/>
      <c r="V2756" s="18"/>
      <c r="W2756" s="15"/>
      <c r="X2756" s="15"/>
    </row>
    <row r="2757">
      <c r="A2757" s="7">
        <v>2756.0</v>
      </c>
      <c r="B2757" s="8" t="s">
        <v>11622</v>
      </c>
      <c r="C2757" s="9" t="s">
        <v>11623</v>
      </c>
      <c r="D2757" s="10" t="str">
        <f>HYPERLINK("https://facebook.com/367089020688300_555784458485421", "367089020688300_555784458485421")</f>
        <v>367089020688300_555784458485421</v>
      </c>
      <c r="E2757" s="11">
        <v>408.0</v>
      </c>
      <c r="F2757" s="11">
        <v>7.0</v>
      </c>
      <c r="G2757" s="11">
        <v>272.0</v>
      </c>
      <c r="H2757" s="9" t="s">
        <v>26</v>
      </c>
      <c r="I2757" s="9" t="s">
        <v>2239</v>
      </c>
      <c r="J2757" s="9" t="s">
        <v>2240</v>
      </c>
      <c r="K2757" s="9" t="s">
        <v>11624</v>
      </c>
      <c r="L2757" s="9" t="s">
        <v>30</v>
      </c>
      <c r="M2757" s="9" t="s">
        <v>31</v>
      </c>
      <c r="N2757" s="9" t="s">
        <v>32</v>
      </c>
      <c r="O2757" s="12" t="s">
        <v>33</v>
      </c>
      <c r="P2757" s="12" t="s">
        <v>34</v>
      </c>
      <c r="Q2757" s="9"/>
      <c r="R2757" s="18"/>
      <c r="S2757" s="18"/>
      <c r="T2757" s="18"/>
      <c r="U2757" s="18"/>
      <c r="V2757" s="18"/>
      <c r="W2757" s="15"/>
      <c r="X2757" s="15"/>
    </row>
    <row r="2758">
      <c r="A2758" s="7">
        <v>2757.0</v>
      </c>
      <c r="B2758" s="8" t="s">
        <v>11625</v>
      </c>
      <c r="C2758" s="9" t="s">
        <v>11626</v>
      </c>
      <c r="D2758" s="10" t="str">
        <f>HYPERLINK("https://facebook.com/367089020688300_544185982978602", "367089020688300_544185982978602")</f>
        <v>367089020688300_544185982978602</v>
      </c>
      <c r="E2758" s="11">
        <v>98.0</v>
      </c>
      <c r="F2758" s="11">
        <v>1.0</v>
      </c>
      <c r="G2758" s="11">
        <v>39.0</v>
      </c>
      <c r="H2758" s="9" t="s">
        <v>26</v>
      </c>
      <c r="I2758" s="9" t="s">
        <v>11627</v>
      </c>
      <c r="J2758" s="16" t="s">
        <v>11628</v>
      </c>
      <c r="K2758" s="9"/>
      <c r="L2758" s="9" t="s">
        <v>30</v>
      </c>
      <c r="M2758" s="9" t="s">
        <v>31</v>
      </c>
      <c r="N2758" s="9" t="s">
        <v>32</v>
      </c>
      <c r="O2758" s="12" t="s">
        <v>33</v>
      </c>
      <c r="P2758" s="12" t="s">
        <v>34</v>
      </c>
      <c r="Q2758" s="9"/>
      <c r="R2758" s="18"/>
      <c r="S2758" s="18"/>
      <c r="T2758" s="18"/>
      <c r="U2758" s="18"/>
      <c r="V2758" s="18"/>
      <c r="W2758" s="15"/>
      <c r="X2758" s="15"/>
    </row>
    <row r="2759">
      <c r="A2759" s="7">
        <v>2758.0</v>
      </c>
      <c r="B2759" s="8" t="s">
        <v>11629</v>
      </c>
      <c r="C2759" s="9" t="s">
        <v>11630</v>
      </c>
      <c r="D2759" s="10" t="str">
        <f>HYPERLINK("https://facebook.com/367089020688300_406306746766527", "367089020688300_406306746766527")</f>
        <v>367089020688300_406306746766527</v>
      </c>
      <c r="E2759" s="11">
        <v>108.0</v>
      </c>
      <c r="F2759" s="11">
        <v>1.0</v>
      </c>
      <c r="G2759" s="11">
        <v>115.0</v>
      </c>
      <c r="H2759" s="9" t="s">
        <v>26</v>
      </c>
      <c r="I2759" s="9" t="s">
        <v>11631</v>
      </c>
      <c r="J2759" s="9" t="s">
        <v>11632</v>
      </c>
      <c r="K2759" s="9" t="s">
        <v>11633</v>
      </c>
      <c r="L2759" s="9" t="s">
        <v>30</v>
      </c>
      <c r="M2759" s="9" t="s">
        <v>31</v>
      </c>
      <c r="N2759" s="9" t="s">
        <v>32</v>
      </c>
      <c r="O2759" s="12" t="s">
        <v>33</v>
      </c>
      <c r="P2759" s="12" t="s">
        <v>34</v>
      </c>
      <c r="Q2759" s="9"/>
      <c r="R2759" s="18"/>
      <c r="S2759" s="18"/>
      <c r="T2759" s="18"/>
      <c r="U2759" s="18"/>
      <c r="V2759" s="18"/>
      <c r="W2759" s="15"/>
      <c r="X2759" s="15"/>
    </row>
    <row r="2760">
      <c r="A2760" s="7">
        <v>2759.0</v>
      </c>
      <c r="B2760" s="8" t="s">
        <v>11634</v>
      </c>
      <c r="C2760" s="9" t="s">
        <v>11635</v>
      </c>
      <c r="D2760" s="10" t="str">
        <f>HYPERLINK("https://facebook.com/367089020688300_545899396140594", "367089020688300_545899396140594")</f>
        <v>367089020688300_545899396140594</v>
      </c>
      <c r="E2760" s="11">
        <v>116.0</v>
      </c>
      <c r="F2760" s="11">
        <v>9.0</v>
      </c>
      <c r="G2760" s="11">
        <v>12.0</v>
      </c>
      <c r="H2760" s="9" t="s">
        <v>26</v>
      </c>
      <c r="I2760" s="9" t="s">
        <v>1764</v>
      </c>
      <c r="J2760" s="16" t="s">
        <v>1765</v>
      </c>
      <c r="K2760" s="9"/>
      <c r="L2760" s="9" t="s">
        <v>30</v>
      </c>
      <c r="M2760" s="9" t="s">
        <v>31</v>
      </c>
      <c r="N2760" s="9" t="s">
        <v>32</v>
      </c>
      <c r="O2760" s="12" t="s">
        <v>33</v>
      </c>
      <c r="P2760" s="12" t="s">
        <v>34</v>
      </c>
      <c r="Q2760" s="9"/>
      <c r="R2760" s="18"/>
      <c r="S2760" s="18"/>
      <c r="T2760" s="18"/>
      <c r="U2760" s="18"/>
      <c r="V2760" s="18"/>
      <c r="W2760" s="15"/>
      <c r="X2760" s="15"/>
    </row>
    <row r="2761">
      <c r="A2761" s="7">
        <v>2760.0</v>
      </c>
      <c r="B2761" s="8" t="s">
        <v>11636</v>
      </c>
      <c r="C2761" s="9" t="s">
        <v>11637</v>
      </c>
      <c r="D2761" s="10" t="str">
        <f>HYPERLINK("https://facebook.com/367089020688300_532140524183148", "367089020688300_532140524183148")</f>
        <v>367089020688300_532140524183148</v>
      </c>
      <c r="E2761" s="11">
        <v>936.0</v>
      </c>
      <c r="F2761" s="11">
        <v>31.0</v>
      </c>
      <c r="G2761" s="11">
        <v>431.0</v>
      </c>
      <c r="H2761" s="9" t="s">
        <v>26</v>
      </c>
      <c r="I2761" s="9" t="s">
        <v>11638</v>
      </c>
      <c r="J2761" s="16" t="s">
        <v>11639</v>
      </c>
      <c r="K2761" s="9"/>
      <c r="L2761" s="9" t="s">
        <v>30</v>
      </c>
      <c r="M2761" s="9" t="s">
        <v>31</v>
      </c>
      <c r="N2761" s="9" t="s">
        <v>32</v>
      </c>
      <c r="O2761" s="12" t="s">
        <v>33</v>
      </c>
      <c r="P2761" s="12" t="s">
        <v>34</v>
      </c>
      <c r="Q2761" s="9"/>
      <c r="R2761" s="18"/>
      <c r="S2761" s="18"/>
      <c r="T2761" s="18"/>
      <c r="U2761" s="18"/>
      <c r="V2761" s="18"/>
      <c r="W2761" s="15"/>
      <c r="X2761" s="15"/>
    </row>
    <row r="2762">
      <c r="A2762" s="7">
        <v>2761.0</v>
      </c>
      <c r="B2762" s="8" t="s">
        <v>11640</v>
      </c>
      <c r="C2762" s="9" t="s">
        <v>11641</v>
      </c>
      <c r="D2762" s="10" t="str">
        <f>HYPERLINK("https://facebook.com/367089020688300_542369069826960", "367089020688300_542369069826960")</f>
        <v>367089020688300_542369069826960</v>
      </c>
      <c r="E2762" s="11">
        <v>320.0</v>
      </c>
      <c r="F2762" s="11">
        <v>2.0</v>
      </c>
      <c r="G2762" s="11">
        <v>308.0</v>
      </c>
      <c r="H2762" s="9" t="s">
        <v>26</v>
      </c>
      <c r="I2762" s="9" t="s">
        <v>11459</v>
      </c>
      <c r="J2762" s="16" t="s">
        <v>11460</v>
      </c>
      <c r="K2762" s="9"/>
      <c r="L2762" s="9" t="s">
        <v>30</v>
      </c>
      <c r="M2762" s="9" t="s">
        <v>31</v>
      </c>
      <c r="N2762" s="9" t="s">
        <v>32</v>
      </c>
      <c r="O2762" s="12" t="s">
        <v>33</v>
      </c>
      <c r="P2762" s="12" t="s">
        <v>34</v>
      </c>
      <c r="Q2762" s="9"/>
      <c r="R2762" s="18"/>
      <c r="S2762" s="18"/>
      <c r="T2762" s="18"/>
      <c r="U2762" s="18"/>
      <c r="V2762" s="18"/>
      <c r="W2762" s="15"/>
      <c r="X2762" s="15"/>
    </row>
    <row r="2763">
      <c r="A2763" s="7">
        <v>2762.0</v>
      </c>
      <c r="B2763" s="8" t="s">
        <v>11642</v>
      </c>
      <c r="C2763" s="9" t="s">
        <v>11643</v>
      </c>
      <c r="D2763" s="10" t="str">
        <f>HYPERLINK("https://facebook.com/367089020688300_545843146146219", "367089020688300_545843146146219")</f>
        <v>367089020688300_545843146146219</v>
      </c>
      <c r="E2763" s="11">
        <v>53.0</v>
      </c>
      <c r="F2763" s="11">
        <v>10.0</v>
      </c>
      <c r="G2763" s="11">
        <v>4.0</v>
      </c>
      <c r="H2763" s="9" t="s">
        <v>26</v>
      </c>
      <c r="I2763" s="9" t="s">
        <v>993</v>
      </c>
      <c r="J2763" s="9" t="s">
        <v>994</v>
      </c>
      <c r="K2763" s="9" t="s">
        <v>1214</v>
      </c>
      <c r="L2763" s="9" t="s">
        <v>30</v>
      </c>
      <c r="M2763" s="9" t="s">
        <v>31</v>
      </c>
      <c r="N2763" s="9" t="s">
        <v>32</v>
      </c>
      <c r="O2763" s="12" t="s">
        <v>33</v>
      </c>
      <c r="P2763" s="12" t="s">
        <v>34</v>
      </c>
      <c r="Q2763" s="9"/>
      <c r="R2763" s="18"/>
      <c r="S2763" s="18"/>
      <c r="T2763" s="18"/>
      <c r="U2763" s="18"/>
      <c r="V2763" s="18"/>
      <c r="W2763" s="15"/>
      <c r="X2763" s="15"/>
    </row>
    <row r="2764">
      <c r="A2764" s="7">
        <v>2763.0</v>
      </c>
      <c r="B2764" s="8" t="s">
        <v>11644</v>
      </c>
      <c r="C2764" s="9" t="s">
        <v>11645</v>
      </c>
      <c r="D2764" s="10" t="str">
        <f>HYPERLINK("https://facebook.com/367089020688300_554319895298544", "367089020688300_554319895298544")</f>
        <v>367089020688300_554319895298544</v>
      </c>
      <c r="E2764" s="11">
        <v>14.0</v>
      </c>
      <c r="F2764" s="11">
        <v>0.0</v>
      </c>
      <c r="G2764" s="11">
        <v>2.0</v>
      </c>
      <c r="H2764" s="9" t="s">
        <v>26</v>
      </c>
      <c r="I2764" s="9" t="s">
        <v>11646</v>
      </c>
      <c r="J2764" s="16" t="s">
        <v>11647</v>
      </c>
      <c r="K2764" s="9"/>
      <c r="L2764" s="9" t="s">
        <v>30</v>
      </c>
      <c r="M2764" s="9" t="s">
        <v>31</v>
      </c>
      <c r="N2764" s="9" t="s">
        <v>32</v>
      </c>
      <c r="O2764" s="12" t="s">
        <v>33</v>
      </c>
      <c r="P2764" s="12" t="s">
        <v>34</v>
      </c>
      <c r="Q2764" s="9"/>
      <c r="R2764" s="18"/>
      <c r="S2764" s="18"/>
      <c r="T2764" s="18"/>
      <c r="U2764" s="18"/>
      <c r="V2764" s="18"/>
      <c r="W2764" s="15"/>
      <c r="X2764" s="15"/>
    </row>
    <row r="2765">
      <c r="A2765" s="7">
        <v>2764.0</v>
      </c>
      <c r="B2765" s="8" t="s">
        <v>11648</v>
      </c>
      <c r="C2765" s="9" t="s">
        <v>11649</v>
      </c>
      <c r="D2765" s="10" t="str">
        <f>HYPERLINK("https://facebook.com/367089020688300_538821256848408", "367089020688300_538821256848408")</f>
        <v>367089020688300_538821256848408</v>
      </c>
      <c r="E2765" s="11">
        <v>23.0</v>
      </c>
      <c r="F2765" s="11">
        <v>0.0</v>
      </c>
      <c r="G2765" s="11">
        <v>17.0</v>
      </c>
      <c r="H2765" s="9" t="s">
        <v>26</v>
      </c>
      <c r="I2765" s="9" t="s">
        <v>11650</v>
      </c>
      <c r="J2765" s="9" t="s">
        <v>11651</v>
      </c>
      <c r="K2765" s="9" t="s">
        <v>11652</v>
      </c>
      <c r="L2765" s="9" t="s">
        <v>30</v>
      </c>
      <c r="M2765" s="9" t="s">
        <v>31</v>
      </c>
      <c r="N2765" s="9" t="s">
        <v>32</v>
      </c>
      <c r="O2765" s="12" t="s">
        <v>33</v>
      </c>
      <c r="P2765" s="12" t="s">
        <v>34</v>
      </c>
      <c r="Q2765" s="9"/>
      <c r="R2765" s="18"/>
      <c r="S2765" s="18"/>
      <c r="T2765" s="18"/>
      <c r="U2765" s="18"/>
      <c r="V2765" s="18"/>
      <c r="W2765" s="15"/>
      <c r="X2765" s="15"/>
    </row>
    <row r="2766">
      <c r="A2766" s="7">
        <v>2765.0</v>
      </c>
      <c r="B2766" s="8" t="s">
        <v>11653</v>
      </c>
      <c r="C2766" s="9" t="s">
        <v>11654</v>
      </c>
      <c r="D2766" s="10" t="str">
        <f>HYPERLINK("https://facebook.com/367089020688300_538136220250245", "367089020688300_538136220250245")</f>
        <v>367089020688300_538136220250245</v>
      </c>
      <c r="E2766" s="11">
        <v>180.0</v>
      </c>
      <c r="F2766" s="11">
        <v>3.0</v>
      </c>
      <c r="G2766" s="11">
        <v>58.0</v>
      </c>
      <c r="H2766" s="9" t="s">
        <v>26</v>
      </c>
      <c r="I2766" s="9" t="s">
        <v>11655</v>
      </c>
      <c r="J2766" s="16" t="s">
        <v>11656</v>
      </c>
      <c r="K2766" s="9"/>
      <c r="L2766" s="9" t="s">
        <v>30</v>
      </c>
      <c r="M2766" s="9" t="s">
        <v>31</v>
      </c>
      <c r="N2766" s="9" t="s">
        <v>32</v>
      </c>
      <c r="O2766" s="12" t="s">
        <v>33</v>
      </c>
      <c r="P2766" s="12" t="s">
        <v>34</v>
      </c>
      <c r="Q2766" s="9"/>
      <c r="R2766" s="18"/>
      <c r="S2766" s="18"/>
      <c r="T2766" s="18"/>
      <c r="U2766" s="18"/>
      <c r="V2766" s="18"/>
      <c r="W2766" s="15"/>
      <c r="X2766" s="15"/>
    </row>
    <row r="2767">
      <c r="A2767" s="7">
        <v>2766.0</v>
      </c>
      <c r="B2767" s="8" t="s">
        <v>11657</v>
      </c>
      <c r="C2767" s="9" t="s">
        <v>11658</v>
      </c>
      <c r="D2767" s="10" t="str">
        <f>HYPERLINK("https://facebook.com/367089020688300_556898315040702", "367089020688300_556898315040702")</f>
        <v>367089020688300_556898315040702</v>
      </c>
      <c r="E2767" s="11">
        <v>64.0</v>
      </c>
      <c r="F2767" s="11">
        <v>0.0</v>
      </c>
      <c r="G2767" s="11">
        <v>27.0</v>
      </c>
      <c r="H2767" s="9" t="s">
        <v>26</v>
      </c>
      <c r="I2767" s="9" t="s">
        <v>1738</v>
      </c>
      <c r="J2767" s="16" t="s">
        <v>11659</v>
      </c>
      <c r="K2767" s="9"/>
      <c r="L2767" s="9" t="s">
        <v>30</v>
      </c>
      <c r="M2767" s="9" t="s">
        <v>31</v>
      </c>
      <c r="N2767" s="9" t="s">
        <v>32</v>
      </c>
      <c r="O2767" s="12" t="s">
        <v>33</v>
      </c>
      <c r="P2767" s="12" t="s">
        <v>34</v>
      </c>
      <c r="Q2767" s="9"/>
      <c r="R2767" s="18"/>
      <c r="S2767" s="18"/>
      <c r="T2767" s="18"/>
      <c r="U2767" s="18"/>
      <c r="V2767" s="18"/>
      <c r="W2767" s="15"/>
      <c r="X2767" s="15"/>
    </row>
    <row r="2768">
      <c r="A2768" s="7">
        <v>2767.0</v>
      </c>
      <c r="B2768" s="8" t="s">
        <v>11660</v>
      </c>
      <c r="C2768" s="9" t="s">
        <v>11661</v>
      </c>
      <c r="D2768" s="10" t="str">
        <f>HYPERLINK("https://facebook.com/367089020688300_500146340715900", "367089020688300_500146340715900")</f>
        <v>367089020688300_500146340715900</v>
      </c>
      <c r="E2768" s="11">
        <v>66.0</v>
      </c>
      <c r="F2768" s="11">
        <v>2.0</v>
      </c>
      <c r="G2768" s="11">
        <v>111.0</v>
      </c>
      <c r="H2768" s="9" t="s">
        <v>26</v>
      </c>
      <c r="I2768" s="9" t="s">
        <v>10499</v>
      </c>
      <c r="J2768" s="16" t="s">
        <v>10500</v>
      </c>
      <c r="K2768" s="9"/>
      <c r="L2768" s="9" t="s">
        <v>30</v>
      </c>
      <c r="M2768" s="9" t="s">
        <v>31</v>
      </c>
      <c r="N2768" s="9" t="s">
        <v>32</v>
      </c>
      <c r="O2768" s="12" t="s">
        <v>33</v>
      </c>
      <c r="P2768" s="12" t="s">
        <v>34</v>
      </c>
      <c r="Q2768" s="9"/>
      <c r="R2768" s="18"/>
      <c r="S2768" s="18"/>
      <c r="T2768" s="18"/>
      <c r="U2768" s="18"/>
      <c r="V2768" s="18"/>
      <c r="W2768" s="15"/>
      <c r="X2768" s="15"/>
    </row>
    <row r="2769">
      <c r="A2769" s="7">
        <v>2768.0</v>
      </c>
      <c r="B2769" s="8" t="s">
        <v>11662</v>
      </c>
      <c r="C2769" s="9" t="s">
        <v>11663</v>
      </c>
      <c r="D2769" s="10" t="str">
        <f>HYPERLINK("https://facebook.com/367089020688300_550408662356334", "367089020688300_550408662356334")</f>
        <v>367089020688300_550408662356334</v>
      </c>
      <c r="E2769" s="11">
        <v>20.0</v>
      </c>
      <c r="F2769" s="11">
        <v>0.0</v>
      </c>
      <c r="G2769" s="11">
        <v>15.0</v>
      </c>
      <c r="H2769" s="9" t="s">
        <v>26</v>
      </c>
      <c r="I2769" s="9" t="s">
        <v>8787</v>
      </c>
      <c r="J2769" s="16" t="s">
        <v>11664</v>
      </c>
      <c r="K2769" s="9"/>
      <c r="L2769" s="9" t="s">
        <v>30</v>
      </c>
      <c r="M2769" s="9" t="s">
        <v>31</v>
      </c>
      <c r="N2769" s="9" t="s">
        <v>32</v>
      </c>
      <c r="O2769" s="12" t="s">
        <v>33</v>
      </c>
      <c r="P2769" s="12" t="s">
        <v>34</v>
      </c>
      <c r="Q2769" s="9"/>
      <c r="R2769" s="18"/>
      <c r="S2769" s="18"/>
      <c r="T2769" s="18"/>
      <c r="U2769" s="18"/>
      <c r="V2769" s="18"/>
      <c r="W2769" s="15"/>
      <c r="X2769" s="15"/>
    </row>
    <row r="2770">
      <c r="A2770" s="7">
        <v>2769.0</v>
      </c>
      <c r="B2770" s="8" t="s">
        <v>11665</v>
      </c>
      <c r="C2770" s="9" t="s">
        <v>11666</v>
      </c>
      <c r="D2770" s="10" t="str">
        <f>HYPERLINK("https://facebook.com/367089020688300_510549329675601", "367089020688300_510549329675601")</f>
        <v>367089020688300_510549329675601</v>
      </c>
      <c r="E2770" s="11">
        <v>889.0</v>
      </c>
      <c r="F2770" s="11">
        <v>23.0</v>
      </c>
      <c r="G2770" s="11">
        <v>342.0</v>
      </c>
      <c r="H2770" s="9" t="s">
        <v>26</v>
      </c>
      <c r="I2770" s="9" t="s">
        <v>11667</v>
      </c>
      <c r="J2770" s="9" t="s">
        <v>11668</v>
      </c>
      <c r="K2770" s="9" t="s">
        <v>11669</v>
      </c>
      <c r="L2770" s="9" t="s">
        <v>30</v>
      </c>
      <c r="M2770" s="9" t="s">
        <v>31</v>
      </c>
      <c r="N2770" s="9" t="s">
        <v>32</v>
      </c>
      <c r="O2770" s="12" t="s">
        <v>33</v>
      </c>
      <c r="P2770" s="12" t="s">
        <v>34</v>
      </c>
      <c r="Q2770" s="9"/>
      <c r="R2770" s="18"/>
      <c r="S2770" s="18"/>
      <c r="T2770" s="18"/>
      <c r="U2770" s="18"/>
      <c r="V2770" s="18"/>
      <c r="W2770" s="15"/>
      <c r="X2770" s="15"/>
    </row>
    <row r="2771">
      <c r="A2771" s="7">
        <v>2770.0</v>
      </c>
      <c r="B2771" s="8" t="s">
        <v>11670</v>
      </c>
      <c r="C2771" s="9" t="s">
        <v>11671</v>
      </c>
      <c r="D2771" s="10" t="str">
        <f>HYPERLINK("https://facebook.com/367089020688300_506005926796608", "367089020688300_506005926796608")</f>
        <v>367089020688300_506005926796608</v>
      </c>
      <c r="E2771" s="11">
        <v>89.0</v>
      </c>
      <c r="F2771" s="11">
        <v>1.0</v>
      </c>
      <c r="G2771" s="11">
        <v>78.0</v>
      </c>
      <c r="H2771" s="9" t="s">
        <v>26</v>
      </c>
      <c r="I2771" s="9" t="s">
        <v>11672</v>
      </c>
      <c r="J2771" s="9" t="s">
        <v>11673</v>
      </c>
      <c r="K2771" s="9" t="s">
        <v>11674</v>
      </c>
      <c r="L2771" s="9" t="s">
        <v>30</v>
      </c>
      <c r="M2771" s="9" t="s">
        <v>31</v>
      </c>
      <c r="N2771" s="9" t="s">
        <v>32</v>
      </c>
      <c r="O2771" s="12" t="s">
        <v>33</v>
      </c>
      <c r="P2771" s="12" t="s">
        <v>34</v>
      </c>
      <c r="Q2771" s="9"/>
      <c r="R2771" s="18"/>
      <c r="S2771" s="18"/>
      <c r="T2771" s="18"/>
      <c r="U2771" s="18"/>
      <c r="V2771" s="18"/>
      <c r="W2771" s="15"/>
      <c r="X2771" s="15"/>
    </row>
    <row r="2772">
      <c r="A2772" s="7">
        <v>2771.0</v>
      </c>
      <c r="B2772" s="8" t="s">
        <v>11675</v>
      </c>
      <c r="C2772" s="9" t="s">
        <v>11676</v>
      </c>
      <c r="D2772" s="10" t="str">
        <f>HYPERLINK("https://facebook.com/367089020688300_517284259002108", "367089020688300_517284259002108")</f>
        <v>367089020688300_517284259002108</v>
      </c>
      <c r="E2772" s="11">
        <v>469.0</v>
      </c>
      <c r="F2772" s="11">
        <v>16.0</v>
      </c>
      <c r="G2772" s="11">
        <v>212.0</v>
      </c>
      <c r="H2772" s="9" t="s">
        <v>26</v>
      </c>
      <c r="I2772" s="9" t="s">
        <v>11677</v>
      </c>
      <c r="J2772" s="9" t="s">
        <v>11678</v>
      </c>
      <c r="K2772" s="9" t="s">
        <v>11679</v>
      </c>
      <c r="L2772" s="9" t="s">
        <v>30</v>
      </c>
      <c r="M2772" s="9" t="s">
        <v>31</v>
      </c>
      <c r="N2772" s="9" t="s">
        <v>32</v>
      </c>
      <c r="O2772" s="12" t="s">
        <v>33</v>
      </c>
      <c r="P2772" s="12" t="s">
        <v>34</v>
      </c>
      <c r="Q2772" s="9"/>
      <c r="R2772" s="18"/>
      <c r="S2772" s="18"/>
      <c r="T2772" s="18"/>
      <c r="U2772" s="18"/>
      <c r="V2772" s="18"/>
      <c r="W2772" s="15"/>
      <c r="X2772" s="15"/>
    </row>
    <row r="2773">
      <c r="A2773" s="7">
        <v>2772.0</v>
      </c>
      <c r="B2773" s="8" t="s">
        <v>11680</v>
      </c>
      <c r="C2773" s="9" t="s">
        <v>11681</v>
      </c>
      <c r="D2773" s="10" t="str">
        <f>HYPERLINK("https://facebook.com/367089020688300_560495831347617", "367089020688300_560495831347617")</f>
        <v>367089020688300_560495831347617</v>
      </c>
      <c r="E2773" s="11">
        <v>472.0</v>
      </c>
      <c r="F2773" s="11">
        <v>4.0</v>
      </c>
      <c r="G2773" s="11">
        <v>140.0</v>
      </c>
      <c r="H2773" s="9" t="s">
        <v>26</v>
      </c>
      <c r="I2773" s="9" t="s">
        <v>2670</v>
      </c>
      <c r="J2773" s="9" t="s">
        <v>2671</v>
      </c>
      <c r="K2773" s="9" t="s">
        <v>11682</v>
      </c>
      <c r="L2773" s="9" t="s">
        <v>30</v>
      </c>
      <c r="M2773" s="9" t="s">
        <v>31</v>
      </c>
      <c r="N2773" s="9" t="s">
        <v>32</v>
      </c>
      <c r="O2773" s="12" t="s">
        <v>33</v>
      </c>
      <c r="P2773" s="12" t="s">
        <v>34</v>
      </c>
      <c r="Q2773" s="9"/>
      <c r="R2773" s="18"/>
      <c r="S2773" s="18"/>
      <c r="T2773" s="18"/>
      <c r="U2773" s="18"/>
      <c r="V2773" s="18"/>
      <c r="W2773" s="15"/>
      <c r="X2773" s="15"/>
    </row>
    <row r="2774">
      <c r="A2774" s="7">
        <v>2773.0</v>
      </c>
      <c r="B2774" s="8" t="s">
        <v>11683</v>
      </c>
      <c r="C2774" s="9" t="s">
        <v>11684</v>
      </c>
      <c r="D2774" s="10" t="str">
        <f>HYPERLINK("https://facebook.com/367089020688300_426687041395164", "367089020688300_426687041395164")</f>
        <v>367089020688300_426687041395164</v>
      </c>
      <c r="E2774" s="11">
        <v>23.0</v>
      </c>
      <c r="F2774" s="11">
        <v>4.0</v>
      </c>
      <c r="G2774" s="11">
        <v>41.0</v>
      </c>
      <c r="H2774" s="9" t="s">
        <v>26</v>
      </c>
      <c r="I2774" s="9" t="s">
        <v>11685</v>
      </c>
      <c r="J2774" s="9" t="s">
        <v>11686</v>
      </c>
      <c r="K2774" s="9" t="s">
        <v>11687</v>
      </c>
      <c r="L2774" s="9" t="s">
        <v>30</v>
      </c>
      <c r="M2774" s="9" t="s">
        <v>31</v>
      </c>
      <c r="N2774" s="9" t="s">
        <v>32</v>
      </c>
      <c r="O2774" s="12" t="s">
        <v>33</v>
      </c>
      <c r="P2774" s="12" t="s">
        <v>34</v>
      </c>
      <c r="Q2774" s="9"/>
      <c r="R2774" s="18"/>
      <c r="S2774" s="18"/>
      <c r="T2774" s="18"/>
      <c r="U2774" s="18"/>
      <c r="V2774" s="18"/>
      <c r="W2774" s="15"/>
      <c r="X2774" s="15"/>
    </row>
    <row r="2775">
      <c r="A2775" s="7">
        <v>2774.0</v>
      </c>
      <c r="B2775" s="8" t="s">
        <v>11688</v>
      </c>
      <c r="C2775" s="9" t="s">
        <v>11689</v>
      </c>
      <c r="D2775" s="10" t="str">
        <f>HYPERLINK("https://facebook.com/367089020688300_557720244958509", "367089020688300_557720244958509")</f>
        <v>367089020688300_557720244958509</v>
      </c>
      <c r="E2775" s="11">
        <v>32.0</v>
      </c>
      <c r="F2775" s="11">
        <v>0.0</v>
      </c>
      <c r="G2775" s="11">
        <v>18.0</v>
      </c>
      <c r="H2775" s="9" t="s">
        <v>26</v>
      </c>
      <c r="I2775" s="9" t="s">
        <v>11690</v>
      </c>
      <c r="J2775" s="9" t="s">
        <v>11691</v>
      </c>
      <c r="K2775" s="9" t="s">
        <v>11692</v>
      </c>
      <c r="L2775" s="9" t="s">
        <v>30</v>
      </c>
      <c r="M2775" s="9" t="s">
        <v>31</v>
      </c>
      <c r="N2775" s="9" t="s">
        <v>32</v>
      </c>
      <c r="O2775" s="12" t="s">
        <v>33</v>
      </c>
      <c r="P2775" s="12" t="s">
        <v>34</v>
      </c>
      <c r="Q2775" s="9"/>
      <c r="R2775" s="18"/>
      <c r="S2775" s="18"/>
      <c r="T2775" s="18"/>
      <c r="U2775" s="18"/>
      <c r="V2775" s="18"/>
      <c r="W2775" s="15"/>
      <c r="X2775" s="15"/>
    </row>
    <row r="2776">
      <c r="A2776" s="7">
        <v>2775.0</v>
      </c>
      <c r="B2776" s="8" t="s">
        <v>11693</v>
      </c>
      <c r="C2776" s="9" t="s">
        <v>11694</v>
      </c>
      <c r="D2776" s="10" t="str">
        <f>HYPERLINK("https://facebook.com/367089020688300_532714077459126", "367089020688300_532714077459126")</f>
        <v>367089020688300_532714077459126</v>
      </c>
      <c r="E2776" s="11">
        <v>160.0</v>
      </c>
      <c r="F2776" s="11">
        <v>1.0</v>
      </c>
      <c r="G2776" s="11">
        <v>205.0</v>
      </c>
      <c r="H2776" s="9" t="s">
        <v>26</v>
      </c>
      <c r="I2776" s="9" t="s">
        <v>11695</v>
      </c>
      <c r="J2776" s="16" t="s">
        <v>11696</v>
      </c>
      <c r="K2776" s="9"/>
      <c r="L2776" s="9" t="s">
        <v>30</v>
      </c>
      <c r="M2776" s="9" t="s">
        <v>31</v>
      </c>
      <c r="N2776" s="9" t="s">
        <v>32</v>
      </c>
      <c r="O2776" s="12" t="s">
        <v>33</v>
      </c>
      <c r="P2776" s="12" t="s">
        <v>34</v>
      </c>
      <c r="Q2776" s="9"/>
      <c r="R2776" s="18"/>
      <c r="S2776" s="18"/>
      <c r="T2776" s="18"/>
      <c r="U2776" s="18"/>
      <c r="V2776" s="18"/>
      <c r="W2776" s="15"/>
      <c r="X2776" s="15"/>
    </row>
    <row r="2777">
      <c r="A2777" s="7">
        <v>2776.0</v>
      </c>
      <c r="B2777" s="8" t="s">
        <v>11697</v>
      </c>
      <c r="C2777" s="9" t="s">
        <v>11698</v>
      </c>
      <c r="D2777" s="10" t="str">
        <f>HYPERLINK("https://facebook.com/367089020688300_546792382717962", "367089020688300_546792382717962")</f>
        <v>367089020688300_546792382717962</v>
      </c>
      <c r="E2777" s="11">
        <v>48.0</v>
      </c>
      <c r="F2777" s="11">
        <v>0.0</v>
      </c>
      <c r="G2777" s="11">
        <v>28.0</v>
      </c>
      <c r="H2777" s="9" t="s">
        <v>26</v>
      </c>
      <c r="I2777" s="9" t="s">
        <v>11699</v>
      </c>
      <c r="J2777" s="16" t="s">
        <v>11700</v>
      </c>
      <c r="K2777" s="9"/>
      <c r="L2777" s="9" t="s">
        <v>30</v>
      </c>
      <c r="M2777" s="9" t="s">
        <v>31</v>
      </c>
      <c r="N2777" s="9" t="s">
        <v>32</v>
      </c>
      <c r="O2777" s="12" t="s">
        <v>33</v>
      </c>
      <c r="P2777" s="12" t="s">
        <v>34</v>
      </c>
      <c r="Q2777" s="9"/>
      <c r="R2777" s="18"/>
      <c r="S2777" s="18"/>
      <c r="T2777" s="18"/>
      <c r="U2777" s="18"/>
      <c r="V2777" s="18"/>
      <c r="W2777" s="15"/>
      <c r="X2777" s="15"/>
    </row>
    <row r="2778">
      <c r="A2778" s="7">
        <v>2777.0</v>
      </c>
      <c r="B2778" s="8" t="s">
        <v>11701</v>
      </c>
      <c r="C2778" s="9" t="s">
        <v>11702</v>
      </c>
      <c r="D2778" s="10" t="str">
        <f>HYPERLINK("https://facebook.com/367089020688300_506864600044074", "367089020688300_506864600044074")</f>
        <v>367089020688300_506864600044074</v>
      </c>
      <c r="E2778" s="11">
        <v>155.0</v>
      </c>
      <c r="F2778" s="11">
        <v>7.0</v>
      </c>
      <c r="G2778" s="11">
        <v>102.0</v>
      </c>
      <c r="H2778" s="9" t="s">
        <v>26</v>
      </c>
      <c r="I2778" s="9" t="s">
        <v>11703</v>
      </c>
      <c r="J2778" s="9" t="s">
        <v>11704</v>
      </c>
      <c r="K2778" s="9" t="s">
        <v>11705</v>
      </c>
      <c r="L2778" s="9" t="s">
        <v>30</v>
      </c>
      <c r="M2778" s="9" t="s">
        <v>31</v>
      </c>
      <c r="N2778" s="9" t="s">
        <v>32</v>
      </c>
      <c r="O2778" s="12" t="s">
        <v>33</v>
      </c>
      <c r="P2778" s="12" t="s">
        <v>34</v>
      </c>
      <c r="Q2778" s="9"/>
      <c r="R2778" s="18"/>
      <c r="S2778" s="18"/>
      <c r="T2778" s="18"/>
      <c r="U2778" s="18"/>
      <c r="V2778" s="18"/>
      <c r="W2778" s="15"/>
      <c r="X2778" s="15"/>
    </row>
    <row r="2779">
      <c r="A2779" s="7">
        <v>2778.0</v>
      </c>
      <c r="B2779" s="8" t="s">
        <v>11706</v>
      </c>
      <c r="C2779" s="9" t="s">
        <v>11707</v>
      </c>
      <c r="D2779" s="10" t="str">
        <f>HYPERLINK("https://facebook.com/367089020688300_550864962310704", "367089020688300_550864962310704")</f>
        <v>367089020688300_550864962310704</v>
      </c>
      <c r="E2779" s="11">
        <v>24.0</v>
      </c>
      <c r="F2779" s="11">
        <v>0.0</v>
      </c>
      <c r="G2779" s="11">
        <v>6.0</v>
      </c>
      <c r="H2779" s="9" t="s">
        <v>26</v>
      </c>
      <c r="I2779" s="9" t="s">
        <v>460</v>
      </c>
      <c r="J2779" s="9" t="s">
        <v>2675</v>
      </c>
      <c r="K2779" s="9" t="s">
        <v>11059</v>
      </c>
      <c r="L2779" s="9" t="s">
        <v>30</v>
      </c>
      <c r="M2779" s="9" t="s">
        <v>31</v>
      </c>
      <c r="N2779" s="9" t="s">
        <v>32</v>
      </c>
      <c r="O2779" s="12" t="s">
        <v>33</v>
      </c>
      <c r="P2779" s="12" t="s">
        <v>34</v>
      </c>
      <c r="Q2779" s="9"/>
      <c r="R2779" s="18"/>
      <c r="S2779" s="18"/>
      <c r="T2779" s="18"/>
      <c r="U2779" s="18"/>
      <c r="V2779" s="18"/>
      <c r="W2779" s="15"/>
      <c r="X2779" s="15"/>
    </row>
    <row r="2780">
      <c r="A2780" s="7">
        <v>2779.0</v>
      </c>
      <c r="B2780" s="8" t="s">
        <v>11708</v>
      </c>
      <c r="C2780" s="9" t="s">
        <v>11709</v>
      </c>
      <c r="D2780" s="10" t="str">
        <f>HYPERLINK("https://facebook.com/367089020688300_544185522978648", "367089020688300_544185522978648")</f>
        <v>367089020688300_544185522978648</v>
      </c>
      <c r="E2780" s="11">
        <v>12.0</v>
      </c>
      <c r="F2780" s="11">
        <v>1.0</v>
      </c>
      <c r="G2780" s="11">
        <v>4.0</v>
      </c>
      <c r="H2780" s="9" t="s">
        <v>26</v>
      </c>
      <c r="I2780" s="9" t="s">
        <v>7305</v>
      </c>
      <c r="J2780" s="9" t="s">
        <v>11710</v>
      </c>
      <c r="K2780" s="9" t="s">
        <v>2724</v>
      </c>
      <c r="L2780" s="9" t="s">
        <v>30</v>
      </c>
      <c r="M2780" s="9" t="s">
        <v>31</v>
      </c>
      <c r="N2780" s="9" t="s">
        <v>32</v>
      </c>
      <c r="O2780" s="12" t="s">
        <v>33</v>
      </c>
      <c r="P2780" s="12" t="s">
        <v>34</v>
      </c>
      <c r="Q2780" s="9"/>
      <c r="R2780" s="18"/>
      <c r="S2780" s="18"/>
      <c r="T2780" s="18"/>
      <c r="U2780" s="18"/>
      <c r="V2780" s="18"/>
      <c r="W2780" s="15"/>
      <c r="X2780" s="15"/>
    </row>
    <row r="2781">
      <c r="A2781" s="7">
        <v>2780.0</v>
      </c>
      <c r="B2781" s="8" t="s">
        <v>11711</v>
      </c>
      <c r="C2781" s="9" t="s">
        <v>11712</v>
      </c>
      <c r="D2781" s="10" t="str">
        <f>HYPERLINK("https://facebook.com/367089020688300_555020538561813", "367089020688300_555020538561813")</f>
        <v>367089020688300_555020538561813</v>
      </c>
      <c r="E2781" s="11">
        <v>704.0</v>
      </c>
      <c r="F2781" s="11">
        <v>21.0</v>
      </c>
      <c r="G2781" s="11">
        <v>565.0</v>
      </c>
      <c r="H2781" s="9" t="s">
        <v>26</v>
      </c>
      <c r="I2781" s="9" t="s">
        <v>11713</v>
      </c>
      <c r="J2781" s="16" t="s">
        <v>11714</v>
      </c>
      <c r="K2781" s="9"/>
      <c r="L2781" s="9" t="s">
        <v>30</v>
      </c>
      <c r="M2781" s="9" t="s">
        <v>31</v>
      </c>
      <c r="N2781" s="9" t="s">
        <v>32</v>
      </c>
      <c r="O2781" s="12" t="s">
        <v>33</v>
      </c>
      <c r="P2781" s="12" t="s">
        <v>34</v>
      </c>
      <c r="Q2781" s="9"/>
      <c r="R2781" s="18"/>
      <c r="S2781" s="18"/>
      <c r="T2781" s="18"/>
      <c r="U2781" s="18"/>
      <c r="V2781" s="18"/>
      <c r="W2781" s="15"/>
      <c r="X2781" s="15"/>
    </row>
    <row r="2782">
      <c r="A2782" s="7">
        <v>2781.0</v>
      </c>
      <c r="B2782" s="8" t="s">
        <v>11715</v>
      </c>
      <c r="C2782" s="9" t="s">
        <v>11716</v>
      </c>
      <c r="D2782" s="10" t="str">
        <f>HYPERLINK("https://facebook.com/367089020688300_462491581148043", "367089020688300_462491581148043")</f>
        <v>367089020688300_462491581148043</v>
      </c>
      <c r="E2782" s="11">
        <v>102.0</v>
      </c>
      <c r="F2782" s="11">
        <v>4.0</v>
      </c>
      <c r="G2782" s="11">
        <v>158.0</v>
      </c>
      <c r="H2782" s="9" t="s">
        <v>26</v>
      </c>
      <c r="I2782" s="9" t="s">
        <v>614</v>
      </c>
      <c r="J2782" s="9" t="s">
        <v>615</v>
      </c>
      <c r="K2782" s="9" t="s">
        <v>11717</v>
      </c>
      <c r="L2782" s="9" t="s">
        <v>30</v>
      </c>
      <c r="M2782" s="9" t="s">
        <v>31</v>
      </c>
      <c r="N2782" s="9" t="s">
        <v>32</v>
      </c>
      <c r="O2782" s="12" t="s">
        <v>33</v>
      </c>
      <c r="P2782" s="12" t="s">
        <v>34</v>
      </c>
      <c r="Q2782" s="9"/>
      <c r="R2782" s="18"/>
      <c r="S2782" s="18"/>
      <c r="T2782" s="18"/>
      <c r="U2782" s="18"/>
      <c r="V2782" s="18"/>
      <c r="W2782" s="15"/>
      <c r="X2782" s="15"/>
    </row>
    <row r="2783">
      <c r="A2783" s="7">
        <v>2782.0</v>
      </c>
      <c r="B2783" s="8" t="s">
        <v>11718</v>
      </c>
      <c r="C2783" s="9" t="s">
        <v>11719</v>
      </c>
      <c r="D2783" s="10" t="str">
        <f>HYPERLINK("https://facebook.com/367089020688300_375716076492261", "367089020688300_375716076492261")</f>
        <v>367089020688300_375716076492261</v>
      </c>
      <c r="E2783" s="11">
        <v>695.0</v>
      </c>
      <c r="F2783" s="11">
        <v>30.0</v>
      </c>
      <c r="G2783" s="11">
        <v>379.0</v>
      </c>
      <c r="H2783" s="9" t="s">
        <v>26</v>
      </c>
      <c r="I2783" s="9" t="s">
        <v>11720</v>
      </c>
      <c r="J2783" s="9" t="s">
        <v>11721</v>
      </c>
      <c r="K2783" s="9" t="s">
        <v>11722</v>
      </c>
      <c r="L2783" s="9" t="s">
        <v>30</v>
      </c>
      <c r="M2783" s="9" t="s">
        <v>31</v>
      </c>
      <c r="N2783" s="9" t="s">
        <v>32</v>
      </c>
      <c r="O2783" s="12" t="s">
        <v>33</v>
      </c>
      <c r="P2783" s="12" t="s">
        <v>34</v>
      </c>
      <c r="Q2783" s="9"/>
      <c r="R2783" s="18"/>
      <c r="S2783" s="18"/>
      <c r="T2783" s="18"/>
      <c r="U2783" s="18"/>
      <c r="V2783" s="18"/>
      <c r="W2783" s="15"/>
      <c r="X2783" s="15"/>
    </row>
    <row r="2784">
      <c r="A2784" s="7">
        <v>2783.0</v>
      </c>
      <c r="B2784" s="8" t="s">
        <v>11723</v>
      </c>
      <c r="C2784" s="9" t="s">
        <v>11724</v>
      </c>
      <c r="D2784" s="10" t="str">
        <f>HYPERLINK("https://facebook.com/367089020688300_537311223666078", "367089020688300_537311223666078")</f>
        <v>367089020688300_537311223666078</v>
      </c>
      <c r="E2784" s="11">
        <v>98.0</v>
      </c>
      <c r="F2784" s="11">
        <v>1.0</v>
      </c>
      <c r="G2784" s="11">
        <v>53.0</v>
      </c>
      <c r="H2784" s="9" t="s">
        <v>26</v>
      </c>
      <c r="I2784" s="9" t="s">
        <v>11725</v>
      </c>
      <c r="J2784" s="9" t="s">
        <v>11726</v>
      </c>
      <c r="K2784" s="9" t="s">
        <v>4188</v>
      </c>
      <c r="L2784" s="9" t="s">
        <v>30</v>
      </c>
      <c r="M2784" s="9" t="s">
        <v>31</v>
      </c>
      <c r="N2784" s="9" t="s">
        <v>32</v>
      </c>
      <c r="O2784" s="12" t="s">
        <v>33</v>
      </c>
      <c r="P2784" s="12" t="s">
        <v>34</v>
      </c>
      <c r="Q2784" s="9"/>
      <c r="R2784" s="18"/>
      <c r="S2784" s="18"/>
      <c r="T2784" s="18"/>
      <c r="U2784" s="18"/>
      <c r="V2784" s="18"/>
      <c r="W2784" s="15"/>
      <c r="X2784" s="15"/>
    </row>
    <row r="2785">
      <c r="A2785" s="7">
        <v>2784.0</v>
      </c>
      <c r="B2785" s="8" t="s">
        <v>11727</v>
      </c>
      <c r="C2785" s="9" t="s">
        <v>11728</v>
      </c>
      <c r="D2785" s="10" t="str">
        <f>HYPERLINK("https://facebook.com/367089020688300_559636441433556", "367089020688300_559636441433556")</f>
        <v>367089020688300_559636441433556</v>
      </c>
      <c r="E2785" s="11">
        <v>134.0</v>
      </c>
      <c r="F2785" s="11">
        <v>1.0</v>
      </c>
      <c r="G2785" s="11">
        <v>178.0</v>
      </c>
      <c r="H2785" s="9" t="s">
        <v>26</v>
      </c>
      <c r="I2785" s="9" t="s">
        <v>3367</v>
      </c>
      <c r="J2785" s="9" t="s">
        <v>3368</v>
      </c>
      <c r="K2785" s="9" t="s">
        <v>11729</v>
      </c>
      <c r="L2785" s="9" t="s">
        <v>30</v>
      </c>
      <c r="M2785" s="9" t="s">
        <v>31</v>
      </c>
      <c r="N2785" s="9" t="s">
        <v>32</v>
      </c>
      <c r="O2785" s="12" t="s">
        <v>33</v>
      </c>
      <c r="P2785" s="12" t="s">
        <v>34</v>
      </c>
      <c r="Q2785" s="9"/>
      <c r="R2785" s="18"/>
      <c r="S2785" s="18"/>
      <c r="T2785" s="18"/>
      <c r="U2785" s="18"/>
      <c r="V2785" s="18"/>
      <c r="W2785" s="15"/>
      <c r="X2785" s="15"/>
    </row>
    <row r="2786">
      <c r="A2786" s="7">
        <v>2785.0</v>
      </c>
      <c r="B2786" s="8" t="s">
        <v>11730</v>
      </c>
      <c r="C2786" s="9" t="s">
        <v>11731</v>
      </c>
      <c r="D2786" s="10" t="str">
        <f>HYPERLINK("https://facebook.com/367089020688300_455248158539052", "367089020688300_455248158539052")</f>
        <v>367089020688300_455248158539052</v>
      </c>
      <c r="E2786" s="11">
        <v>763.0</v>
      </c>
      <c r="F2786" s="11">
        <v>52.0</v>
      </c>
      <c r="G2786" s="11">
        <v>1506.0</v>
      </c>
      <c r="H2786" s="9" t="s">
        <v>26</v>
      </c>
      <c r="I2786" s="9" t="s">
        <v>1343</v>
      </c>
      <c r="J2786" s="9" t="s">
        <v>1344</v>
      </c>
      <c r="K2786" s="9" t="s">
        <v>11732</v>
      </c>
      <c r="L2786" s="9" t="s">
        <v>30</v>
      </c>
      <c r="M2786" s="9" t="s">
        <v>31</v>
      </c>
      <c r="N2786" s="9" t="s">
        <v>32</v>
      </c>
      <c r="O2786" s="12" t="s">
        <v>33</v>
      </c>
      <c r="P2786" s="12" t="s">
        <v>34</v>
      </c>
      <c r="Q2786" s="9"/>
      <c r="R2786" s="18"/>
      <c r="S2786" s="18"/>
      <c r="T2786" s="18"/>
      <c r="U2786" s="18"/>
      <c r="V2786" s="18"/>
      <c r="W2786" s="15"/>
      <c r="X2786" s="15"/>
    </row>
    <row r="2787">
      <c r="A2787" s="7">
        <v>2786.0</v>
      </c>
      <c r="B2787" s="8" t="s">
        <v>11733</v>
      </c>
      <c r="C2787" s="9" t="s">
        <v>11734</v>
      </c>
      <c r="D2787" s="10" t="str">
        <f>HYPERLINK("https://facebook.com/367089020688300_554889315241602", "367089020688300_554889315241602")</f>
        <v>367089020688300_554889315241602</v>
      </c>
      <c r="E2787" s="11">
        <v>15.0</v>
      </c>
      <c r="F2787" s="11">
        <v>0.0</v>
      </c>
      <c r="G2787" s="11">
        <v>1.0</v>
      </c>
      <c r="H2787" s="9" t="s">
        <v>26</v>
      </c>
      <c r="I2787" s="9" t="s">
        <v>11735</v>
      </c>
      <c r="J2787" s="16" t="s">
        <v>11736</v>
      </c>
      <c r="K2787" s="9"/>
      <c r="L2787" s="9" t="s">
        <v>30</v>
      </c>
      <c r="M2787" s="9" t="s">
        <v>31</v>
      </c>
      <c r="N2787" s="9" t="s">
        <v>32</v>
      </c>
      <c r="O2787" s="12" t="s">
        <v>33</v>
      </c>
      <c r="P2787" s="12" t="s">
        <v>34</v>
      </c>
      <c r="Q2787" s="9"/>
      <c r="R2787" s="18"/>
      <c r="S2787" s="18"/>
      <c r="T2787" s="18"/>
      <c r="U2787" s="18"/>
      <c r="V2787" s="18"/>
      <c r="W2787" s="15"/>
      <c r="X2787" s="15"/>
    </row>
    <row r="2788">
      <c r="A2788" s="7">
        <v>2787.0</v>
      </c>
      <c r="B2788" s="8" t="s">
        <v>11737</v>
      </c>
      <c r="C2788" s="9" t="s">
        <v>11738</v>
      </c>
      <c r="D2788" s="10" t="str">
        <f>HYPERLINK("https://facebook.com/367089020688300_539606413436559", "367089020688300_539606413436559")</f>
        <v>367089020688300_539606413436559</v>
      </c>
      <c r="E2788" s="11">
        <v>69.0</v>
      </c>
      <c r="F2788" s="11">
        <v>0.0</v>
      </c>
      <c r="G2788" s="11">
        <v>17.0</v>
      </c>
      <c r="H2788" s="9" t="s">
        <v>26</v>
      </c>
      <c r="I2788" s="9" t="s">
        <v>11739</v>
      </c>
      <c r="J2788" s="9" t="s">
        <v>11740</v>
      </c>
      <c r="K2788" s="9" t="s">
        <v>219</v>
      </c>
      <c r="L2788" s="9" t="s">
        <v>30</v>
      </c>
      <c r="M2788" s="9" t="s">
        <v>31</v>
      </c>
      <c r="N2788" s="9" t="s">
        <v>32</v>
      </c>
      <c r="O2788" s="12" t="s">
        <v>33</v>
      </c>
      <c r="P2788" s="12" t="s">
        <v>34</v>
      </c>
      <c r="Q2788" s="9"/>
      <c r="R2788" s="18"/>
      <c r="S2788" s="18"/>
      <c r="T2788" s="18"/>
      <c r="U2788" s="18"/>
      <c r="V2788" s="18"/>
      <c r="W2788" s="15"/>
      <c r="X2788" s="15"/>
    </row>
    <row r="2789">
      <c r="A2789" s="7">
        <v>2788.0</v>
      </c>
      <c r="B2789" s="8" t="s">
        <v>11741</v>
      </c>
      <c r="C2789" s="9" t="s">
        <v>11742</v>
      </c>
      <c r="D2789" s="10" t="str">
        <f>HYPERLINK("https://facebook.com/367089020688300_536987380365129", "367089020688300_536987380365129")</f>
        <v>367089020688300_536987380365129</v>
      </c>
      <c r="E2789" s="11">
        <v>8.0</v>
      </c>
      <c r="F2789" s="11">
        <v>0.0</v>
      </c>
      <c r="G2789" s="11">
        <v>11.0</v>
      </c>
      <c r="H2789" s="9" t="s">
        <v>26</v>
      </c>
      <c r="I2789" s="9" t="s">
        <v>11743</v>
      </c>
      <c r="J2789" s="16" t="s">
        <v>11744</v>
      </c>
      <c r="K2789" s="9"/>
      <c r="L2789" s="9" t="s">
        <v>30</v>
      </c>
      <c r="M2789" s="9" t="s">
        <v>31</v>
      </c>
      <c r="N2789" s="9" t="s">
        <v>32</v>
      </c>
      <c r="O2789" s="12" t="s">
        <v>33</v>
      </c>
      <c r="P2789" s="12" t="s">
        <v>34</v>
      </c>
      <c r="Q2789" s="9"/>
      <c r="R2789" s="18"/>
      <c r="S2789" s="18"/>
      <c r="T2789" s="18"/>
      <c r="U2789" s="18"/>
      <c r="V2789" s="18"/>
      <c r="W2789" s="15"/>
      <c r="X2789" s="15"/>
    </row>
    <row r="2790">
      <c r="A2790" s="7">
        <v>2789.0</v>
      </c>
      <c r="B2790" s="8" t="s">
        <v>11745</v>
      </c>
      <c r="C2790" s="9" t="s">
        <v>11746</v>
      </c>
      <c r="D2790" s="10" t="str">
        <f>HYPERLINK("https://facebook.com/367089020688300_547158459348021", "367089020688300_547158459348021")</f>
        <v>367089020688300_547158459348021</v>
      </c>
      <c r="E2790" s="11">
        <v>220.0</v>
      </c>
      <c r="F2790" s="11">
        <v>0.0</v>
      </c>
      <c r="G2790" s="11">
        <v>116.0</v>
      </c>
      <c r="H2790" s="9" t="s">
        <v>26</v>
      </c>
      <c r="I2790" s="9" t="s">
        <v>11747</v>
      </c>
      <c r="J2790" s="16" t="s">
        <v>11748</v>
      </c>
      <c r="K2790" s="9"/>
      <c r="L2790" s="9" t="s">
        <v>30</v>
      </c>
      <c r="M2790" s="9" t="s">
        <v>31</v>
      </c>
      <c r="N2790" s="9" t="s">
        <v>32</v>
      </c>
      <c r="O2790" s="12" t="s">
        <v>33</v>
      </c>
      <c r="P2790" s="12" t="s">
        <v>34</v>
      </c>
      <c r="Q2790" s="9"/>
      <c r="R2790" s="18"/>
      <c r="S2790" s="18"/>
      <c r="T2790" s="18"/>
      <c r="U2790" s="18"/>
      <c r="V2790" s="18"/>
      <c r="W2790" s="15"/>
      <c r="X2790" s="15"/>
    </row>
    <row r="2791">
      <c r="A2791" s="7">
        <v>2790.0</v>
      </c>
      <c r="B2791" s="8" t="s">
        <v>11749</v>
      </c>
      <c r="C2791" s="9" t="s">
        <v>11750</v>
      </c>
      <c r="D2791" s="10" t="str">
        <f>HYPERLINK("https://facebook.com/367089020688300_393667004697168", "367089020688300_393667004697168")</f>
        <v>367089020688300_393667004697168</v>
      </c>
      <c r="E2791" s="11">
        <v>50.0</v>
      </c>
      <c r="F2791" s="11">
        <v>2.0</v>
      </c>
      <c r="G2791" s="11">
        <v>88.0</v>
      </c>
      <c r="H2791" s="9" t="s">
        <v>26</v>
      </c>
      <c r="I2791" s="9" t="s">
        <v>11751</v>
      </c>
      <c r="J2791" s="9" t="s">
        <v>11752</v>
      </c>
      <c r="K2791" s="9" t="s">
        <v>11753</v>
      </c>
      <c r="L2791" s="9" t="s">
        <v>30</v>
      </c>
      <c r="M2791" s="9" t="s">
        <v>31</v>
      </c>
      <c r="N2791" s="9" t="s">
        <v>32</v>
      </c>
      <c r="O2791" s="12" t="s">
        <v>33</v>
      </c>
      <c r="P2791" s="12" t="s">
        <v>34</v>
      </c>
      <c r="Q2791" s="9"/>
      <c r="R2791" s="18"/>
      <c r="S2791" s="18"/>
      <c r="T2791" s="18"/>
      <c r="U2791" s="18"/>
      <c r="V2791" s="18"/>
      <c r="W2791" s="15"/>
      <c r="X2791" s="15"/>
    </row>
    <row r="2792">
      <c r="A2792" s="7">
        <v>2791.0</v>
      </c>
      <c r="B2792" s="8" t="s">
        <v>11754</v>
      </c>
      <c r="C2792" s="9" t="s">
        <v>11755</v>
      </c>
      <c r="D2792" s="10" t="str">
        <f>HYPERLINK("https://facebook.com/367089020688300_513573929373141", "367089020688300_513573929373141")</f>
        <v>367089020688300_513573929373141</v>
      </c>
      <c r="E2792" s="11">
        <v>64.0</v>
      </c>
      <c r="F2792" s="11">
        <v>6.0</v>
      </c>
      <c r="G2792" s="11">
        <v>117.0</v>
      </c>
      <c r="H2792" s="9" t="s">
        <v>26</v>
      </c>
      <c r="I2792" s="9" t="s">
        <v>7657</v>
      </c>
      <c r="J2792" s="9" t="s">
        <v>7658</v>
      </c>
      <c r="K2792" s="9" t="s">
        <v>11756</v>
      </c>
      <c r="L2792" s="9" t="s">
        <v>30</v>
      </c>
      <c r="M2792" s="9" t="s">
        <v>31</v>
      </c>
      <c r="N2792" s="9" t="s">
        <v>32</v>
      </c>
      <c r="O2792" s="12" t="s">
        <v>33</v>
      </c>
      <c r="P2792" s="12" t="s">
        <v>34</v>
      </c>
      <c r="Q2792" s="9"/>
      <c r="R2792" s="18"/>
      <c r="S2792" s="18"/>
      <c r="T2792" s="18"/>
      <c r="U2792" s="18"/>
      <c r="V2792" s="18"/>
      <c r="W2792" s="15"/>
      <c r="X2792" s="15"/>
    </row>
    <row r="2793">
      <c r="A2793" s="7">
        <v>2792.0</v>
      </c>
      <c r="B2793" s="8" t="s">
        <v>11757</v>
      </c>
      <c r="C2793" s="9" t="s">
        <v>11758</v>
      </c>
      <c r="D2793" s="10" t="str">
        <f>HYPERLINK("https://facebook.com/367089020688300_527686404628560", "367089020688300_527686404628560")</f>
        <v>367089020688300_527686404628560</v>
      </c>
      <c r="E2793" s="11">
        <v>129.0</v>
      </c>
      <c r="F2793" s="11">
        <v>1.0</v>
      </c>
      <c r="G2793" s="11">
        <v>277.0</v>
      </c>
      <c r="H2793" s="9" t="s">
        <v>26</v>
      </c>
      <c r="I2793" s="9" t="s">
        <v>11759</v>
      </c>
      <c r="J2793" s="16" t="s">
        <v>11760</v>
      </c>
      <c r="K2793" s="9"/>
      <c r="L2793" s="9" t="s">
        <v>30</v>
      </c>
      <c r="M2793" s="9" t="s">
        <v>31</v>
      </c>
      <c r="N2793" s="9" t="s">
        <v>32</v>
      </c>
      <c r="O2793" s="12" t="s">
        <v>33</v>
      </c>
      <c r="P2793" s="12" t="s">
        <v>34</v>
      </c>
      <c r="Q2793" s="9"/>
      <c r="R2793" s="18"/>
      <c r="S2793" s="18"/>
      <c r="T2793" s="18"/>
      <c r="U2793" s="18"/>
      <c r="V2793" s="18"/>
      <c r="W2793" s="15"/>
      <c r="X2793" s="15"/>
    </row>
    <row r="2794">
      <c r="A2794" s="7">
        <v>2793.0</v>
      </c>
      <c r="B2794" s="8" t="s">
        <v>11761</v>
      </c>
      <c r="C2794" s="9" t="s">
        <v>11762</v>
      </c>
      <c r="D2794" s="10" t="str">
        <f>HYPERLINK("https://facebook.com/367089020688300_544048919658975", "367089020688300_544048919658975")</f>
        <v>367089020688300_544048919658975</v>
      </c>
      <c r="E2794" s="11">
        <v>92.0</v>
      </c>
      <c r="F2794" s="11">
        <v>0.0</v>
      </c>
      <c r="G2794" s="11">
        <v>54.0</v>
      </c>
      <c r="H2794" s="9" t="s">
        <v>26</v>
      </c>
      <c r="I2794" s="9" t="s">
        <v>5830</v>
      </c>
      <c r="J2794" s="9" t="s">
        <v>5831</v>
      </c>
      <c r="K2794" s="9" t="s">
        <v>11763</v>
      </c>
      <c r="L2794" s="9" t="s">
        <v>30</v>
      </c>
      <c r="M2794" s="9" t="s">
        <v>31</v>
      </c>
      <c r="N2794" s="9" t="s">
        <v>32</v>
      </c>
      <c r="O2794" s="12" t="s">
        <v>33</v>
      </c>
      <c r="P2794" s="12" t="s">
        <v>34</v>
      </c>
      <c r="Q2794" s="9"/>
      <c r="R2794" s="18"/>
      <c r="S2794" s="18"/>
      <c r="T2794" s="18"/>
      <c r="U2794" s="18"/>
      <c r="V2794" s="18"/>
      <c r="W2794" s="15"/>
      <c r="X2794" s="15"/>
    </row>
    <row r="2795">
      <c r="A2795" s="7">
        <v>2794.0</v>
      </c>
      <c r="B2795" s="8" t="s">
        <v>11764</v>
      </c>
      <c r="C2795" s="9" t="s">
        <v>11765</v>
      </c>
      <c r="D2795" s="10" t="str">
        <f>HYPERLINK("https://facebook.com/367089020688300_542469186483615", "367089020688300_542469186483615")</f>
        <v>367089020688300_542469186483615</v>
      </c>
      <c r="E2795" s="11">
        <v>16.0</v>
      </c>
      <c r="F2795" s="11">
        <v>0.0</v>
      </c>
      <c r="G2795" s="11">
        <v>4.0</v>
      </c>
      <c r="H2795" s="9" t="s">
        <v>26</v>
      </c>
      <c r="I2795" s="9" t="s">
        <v>11766</v>
      </c>
      <c r="J2795" s="16" t="s">
        <v>11767</v>
      </c>
      <c r="K2795" s="9"/>
      <c r="L2795" s="9" t="s">
        <v>30</v>
      </c>
      <c r="M2795" s="9" t="s">
        <v>31</v>
      </c>
      <c r="N2795" s="9" t="s">
        <v>32</v>
      </c>
      <c r="O2795" s="12" t="s">
        <v>33</v>
      </c>
      <c r="P2795" s="12" t="s">
        <v>34</v>
      </c>
      <c r="Q2795" s="9"/>
      <c r="R2795" s="18"/>
      <c r="S2795" s="18"/>
      <c r="T2795" s="18"/>
      <c r="U2795" s="18"/>
      <c r="V2795" s="18"/>
      <c r="W2795" s="15"/>
      <c r="X2795" s="15"/>
    </row>
    <row r="2796">
      <c r="A2796" s="7">
        <v>2795.0</v>
      </c>
      <c r="B2796" s="8" t="s">
        <v>11768</v>
      </c>
      <c r="C2796" s="9" t="s">
        <v>11769</v>
      </c>
      <c r="D2796" s="10" t="str">
        <f>HYPERLINK("https://facebook.com/367089020688300_538220323575168", "367089020688300_538220323575168")</f>
        <v>367089020688300_538220323575168</v>
      </c>
      <c r="E2796" s="11">
        <v>79.0</v>
      </c>
      <c r="F2796" s="11">
        <v>7.0</v>
      </c>
      <c r="G2796" s="11">
        <v>163.0</v>
      </c>
      <c r="H2796" s="9" t="s">
        <v>26</v>
      </c>
      <c r="I2796" s="9" t="s">
        <v>1007</v>
      </c>
      <c r="J2796" s="16" t="s">
        <v>11770</v>
      </c>
      <c r="K2796" s="9"/>
      <c r="L2796" s="9" t="s">
        <v>30</v>
      </c>
      <c r="M2796" s="9" t="s">
        <v>31</v>
      </c>
      <c r="N2796" s="9" t="s">
        <v>32</v>
      </c>
      <c r="O2796" s="12" t="s">
        <v>33</v>
      </c>
      <c r="P2796" s="12" t="s">
        <v>34</v>
      </c>
      <c r="Q2796" s="9"/>
      <c r="R2796" s="18"/>
      <c r="S2796" s="18"/>
      <c r="T2796" s="18"/>
      <c r="U2796" s="18"/>
      <c r="V2796" s="18"/>
      <c r="W2796" s="15"/>
      <c r="X2796" s="15"/>
    </row>
    <row r="2797">
      <c r="A2797" s="7">
        <v>2796.0</v>
      </c>
      <c r="B2797" s="8" t="s">
        <v>11771</v>
      </c>
      <c r="C2797" s="9" t="s">
        <v>11772</v>
      </c>
      <c r="D2797" s="10" t="str">
        <f>HYPERLINK("https://facebook.com/367089020688300_533616237368910", "367089020688300_533616237368910")</f>
        <v>367089020688300_533616237368910</v>
      </c>
      <c r="E2797" s="11">
        <v>1007.0</v>
      </c>
      <c r="F2797" s="11">
        <v>81.0</v>
      </c>
      <c r="G2797" s="11">
        <v>329.0</v>
      </c>
      <c r="H2797" s="9" t="s">
        <v>26</v>
      </c>
      <c r="I2797" s="9" t="s">
        <v>1764</v>
      </c>
      <c r="J2797" s="9" t="s">
        <v>1765</v>
      </c>
      <c r="K2797" s="9" t="s">
        <v>11773</v>
      </c>
      <c r="L2797" s="9" t="s">
        <v>30</v>
      </c>
      <c r="M2797" s="9" t="s">
        <v>31</v>
      </c>
      <c r="N2797" s="9" t="s">
        <v>32</v>
      </c>
      <c r="O2797" s="12" t="s">
        <v>33</v>
      </c>
      <c r="P2797" s="12" t="s">
        <v>34</v>
      </c>
      <c r="Q2797" s="9"/>
      <c r="R2797" s="18"/>
      <c r="S2797" s="18"/>
      <c r="T2797" s="18"/>
      <c r="U2797" s="18"/>
      <c r="V2797" s="18"/>
      <c r="W2797" s="15"/>
      <c r="X2797" s="15"/>
    </row>
    <row r="2798">
      <c r="A2798" s="7">
        <v>2797.0</v>
      </c>
      <c r="B2798" s="8" t="s">
        <v>11774</v>
      </c>
      <c r="C2798" s="9" t="s">
        <v>11775</v>
      </c>
      <c r="D2798" s="10" t="str">
        <f>HYPERLINK("https://facebook.com/367089020688300_551617468902120", "367089020688300_551617468902120")</f>
        <v>367089020688300_551617468902120</v>
      </c>
      <c r="E2798" s="11">
        <v>7.0</v>
      </c>
      <c r="F2798" s="11">
        <v>0.0</v>
      </c>
      <c r="G2798" s="11">
        <v>21.0</v>
      </c>
      <c r="H2798" s="9" t="s">
        <v>26</v>
      </c>
      <c r="I2798" s="9" t="s">
        <v>5973</v>
      </c>
      <c r="J2798" s="16" t="s">
        <v>5974</v>
      </c>
      <c r="K2798" s="9"/>
      <c r="L2798" s="9" t="s">
        <v>30</v>
      </c>
      <c r="M2798" s="9" t="s">
        <v>31</v>
      </c>
      <c r="N2798" s="9" t="s">
        <v>32</v>
      </c>
      <c r="O2798" s="12" t="s">
        <v>33</v>
      </c>
      <c r="P2798" s="12" t="s">
        <v>34</v>
      </c>
      <c r="Q2798" s="9"/>
      <c r="R2798" s="18"/>
      <c r="S2798" s="18"/>
      <c r="T2798" s="18"/>
      <c r="U2798" s="18"/>
      <c r="V2798" s="18"/>
      <c r="W2798" s="15"/>
      <c r="X2798" s="15"/>
    </row>
    <row r="2799">
      <c r="A2799" s="7">
        <v>2798.0</v>
      </c>
      <c r="B2799" s="8" t="s">
        <v>11776</v>
      </c>
      <c r="C2799" s="9" t="s">
        <v>11777</v>
      </c>
      <c r="D2799" s="10" t="str">
        <f>HYPERLINK("https://facebook.com/367089020688300_524586204938580", "367089020688300_524586204938580")</f>
        <v>367089020688300_524586204938580</v>
      </c>
      <c r="E2799" s="11">
        <v>698.0</v>
      </c>
      <c r="F2799" s="11">
        <v>15.0</v>
      </c>
      <c r="G2799" s="11">
        <v>392.0</v>
      </c>
      <c r="H2799" s="9" t="s">
        <v>26</v>
      </c>
      <c r="I2799" s="9" t="s">
        <v>11778</v>
      </c>
      <c r="J2799" s="9" t="s">
        <v>11779</v>
      </c>
      <c r="K2799" s="9" t="s">
        <v>3984</v>
      </c>
      <c r="L2799" s="9" t="s">
        <v>30</v>
      </c>
      <c r="M2799" s="9" t="s">
        <v>31</v>
      </c>
      <c r="N2799" s="9" t="s">
        <v>32</v>
      </c>
      <c r="O2799" s="12" t="s">
        <v>33</v>
      </c>
      <c r="P2799" s="12" t="s">
        <v>34</v>
      </c>
      <c r="Q2799" s="9"/>
      <c r="R2799" s="18"/>
      <c r="S2799" s="18"/>
      <c r="T2799" s="18"/>
      <c r="U2799" s="18"/>
      <c r="V2799" s="18"/>
      <c r="W2799" s="15"/>
      <c r="X2799" s="15"/>
    </row>
    <row r="2800">
      <c r="A2800" s="7">
        <v>2799.0</v>
      </c>
      <c r="B2800" s="8" t="s">
        <v>11780</v>
      </c>
      <c r="C2800" s="9" t="s">
        <v>11781</v>
      </c>
      <c r="D2800" s="10" t="str">
        <f>HYPERLINK("https://facebook.com/367089020688300_525957874801413", "367089020688300_525957874801413")</f>
        <v>367089020688300_525957874801413</v>
      </c>
      <c r="E2800" s="11">
        <v>20.0</v>
      </c>
      <c r="F2800" s="11">
        <v>1.0</v>
      </c>
      <c r="G2800" s="11">
        <v>22.0</v>
      </c>
      <c r="H2800" s="9" t="s">
        <v>26</v>
      </c>
      <c r="I2800" s="9" t="s">
        <v>11782</v>
      </c>
      <c r="J2800" s="16" t="s">
        <v>11783</v>
      </c>
      <c r="K2800" s="9"/>
      <c r="L2800" s="9" t="s">
        <v>30</v>
      </c>
      <c r="M2800" s="9" t="s">
        <v>31</v>
      </c>
      <c r="N2800" s="9" t="s">
        <v>32</v>
      </c>
      <c r="O2800" s="12" t="s">
        <v>33</v>
      </c>
      <c r="P2800" s="12" t="s">
        <v>34</v>
      </c>
      <c r="Q2800" s="9"/>
      <c r="R2800" s="18"/>
      <c r="S2800" s="18"/>
      <c r="T2800" s="18"/>
      <c r="U2800" s="18"/>
      <c r="V2800" s="18"/>
      <c r="W2800" s="15"/>
      <c r="X2800" s="15"/>
    </row>
    <row r="2801">
      <c r="A2801" s="7">
        <v>2800.0</v>
      </c>
      <c r="B2801" s="8" t="s">
        <v>11784</v>
      </c>
      <c r="C2801" s="9" t="s">
        <v>11785</v>
      </c>
      <c r="D2801" s="10" t="str">
        <f>HYPERLINK("https://facebook.com/367089020688300_508225596574641", "367089020688300_508225596574641")</f>
        <v>367089020688300_508225596574641</v>
      </c>
      <c r="E2801" s="11">
        <v>442.0</v>
      </c>
      <c r="F2801" s="11">
        <v>4.0</v>
      </c>
      <c r="G2801" s="11">
        <v>507.0</v>
      </c>
      <c r="H2801" s="9" t="s">
        <v>26</v>
      </c>
      <c r="I2801" s="9" t="s">
        <v>11786</v>
      </c>
      <c r="J2801" s="9" t="s">
        <v>11787</v>
      </c>
      <c r="K2801" s="9" t="s">
        <v>11788</v>
      </c>
      <c r="L2801" s="9" t="s">
        <v>30</v>
      </c>
      <c r="M2801" s="9" t="s">
        <v>31</v>
      </c>
      <c r="N2801" s="9" t="s">
        <v>32</v>
      </c>
      <c r="O2801" s="12" t="s">
        <v>33</v>
      </c>
      <c r="P2801" s="12" t="s">
        <v>34</v>
      </c>
      <c r="Q2801" s="9"/>
      <c r="R2801" s="18"/>
      <c r="S2801" s="18"/>
      <c r="T2801" s="18"/>
      <c r="U2801" s="18"/>
      <c r="V2801" s="18"/>
      <c r="W2801" s="15"/>
      <c r="X2801" s="15"/>
    </row>
    <row r="2802">
      <c r="A2802" s="7">
        <v>2801.0</v>
      </c>
      <c r="B2802" s="8" t="s">
        <v>11789</v>
      </c>
      <c r="C2802" s="9" t="s">
        <v>11790</v>
      </c>
      <c r="D2802" s="10" t="str">
        <f>HYPERLINK("https://facebook.com/367089020688300_518789052184962", "367089020688300_518789052184962")</f>
        <v>367089020688300_518789052184962</v>
      </c>
      <c r="E2802" s="11">
        <v>351.0</v>
      </c>
      <c r="F2802" s="11">
        <v>2.0</v>
      </c>
      <c r="G2802" s="11">
        <v>559.0</v>
      </c>
      <c r="H2802" s="9" t="s">
        <v>26</v>
      </c>
      <c r="I2802" s="9" t="s">
        <v>11791</v>
      </c>
      <c r="J2802" s="16" t="s">
        <v>11792</v>
      </c>
      <c r="K2802" s="9"/>
      <c r="L2802" s="9" t="s">
        <v>30</v>
      </c>
      <c r="M2802" s="9" t="s">
        <v>31</v>
      </c>
      <c r="N2802" s="9" t="s">
        <v>32</v>
      </c>
      <c r="O2802" s="12" t="s">
        <v>33</v>
      </c>
      <c r="P2802" s="12" t="s">
        <v>34</v>
      </c>
      <c r="Q2802" s="9"/>
      <c r="R2802" s="18"/>
      <c r="S2802" s="18"/>
      <c r="T2802" s="18"/>
      <c r="U2802" s="18"/>
      <c r="V2802" s="18"/>
      <c r="W2802" s="15"/>
      <c r="X2802" s="15"/>
    </row>
    <row r="2803">
      <c r="A2803" s="7">
        <v>2802.0</v>
      </c>
      <c r="B2803" s="8" t="s">
        <v>11793</v>
      </c>
      <c r="C2803" s="9" t="s">
        <v>11794</v>
      </c>
      <c r="D2803" s="10" t="str">
        <f>HYPERLINK("https://facebook.com/367089020688300_458302174900317", "367089020688300_458302174900317")</f>
        <v>367089020688300_458302174900317</v>
      </c>
      <c r="E2803" s="11">
        <v>550.0</v>
      </c>
      <c r="F2803" s="11">
        <v>25.0</v>
      </c>
      <c r="G2803" s="11">
        <v>551.0</v>
      </c>
      <c r="H2803" s="9" t="s">
        <v>26</v>
      </c>
      <c r="I2803" s="9" t="s">
        <v>11795</v>
      </c>
      <c r="J2803" s="9" t="s">
        <v>11796</v>
      </c>
      <c r="K2803" s="9" t="s">
        <v>11797</v>
      </c>
      <c r="L2803" s="9" t="s">
        <v>30</v>
      </c>
      <c r="M2803" s="9" t="s">
        <v>31</v>
      </c>
      <c r="N2803" s="9" t="s">
        <v>32</v>
      </c>
      <c r="O2803" s="12" t="s">
        <v>33</v>
      </c>
      <c r="P2803" s="12" t="s">
        <v>34</v>
      </c>
      <c r="Q2803" s="9"/>
      <c r="R2803" s="18"/>
      <c r="S2803" s="18"/>
      <c r="T2803" s="18"/>
      <c r="U2803" s="18"/>
      <c r="V2803" s="18"/>
      <c r="W2803" s="15"/>
      <c r="X2803" s="15"/>
    </row>
    <row r="2804">
      <c r="A2804" s="7">
        <v>2803.0</v>
      </c>
      <c r="B2804" s="8" t="s">
        <v>11798</v>
      </c>
      <c r="C2804" s="9" t="s">
        <v>11799</v>
      </c>
      <c r="D2804" s="10" t="str">
        <f>HYPERLINK("https://facebook.com/367089020688300_535778050486062", "367089020688300_535778050486062")</f>
        <v>367089020688300_535778050486062</v>
      </c>
      <c r="E2804" s="11">
        <v>1243.0</v>
      </c>
      <c r="F2804" s="11">
        <v>14.0</v>
      </c>
      <c r="G2804" s="11">
        <v>841.0</v>
      </c>
      <c r="H2804" s="9" t="s">
        <v>26</v>
      </c>
      <c r="I2804" s="9" t="s">
        <v>11800</v>
      </c>
      <c r="J2804" s="16" t="s">
        <v>11801</v>
      </c>
      <c r="K2804" s="9"/>
      <c r="L2804" s="9" t="s">
        <v>30</v>
      </c>
      <c r="M2804" s="9" t="s">
        <v>31</v>
      </c>
      <c r="N2804" s="9" t="s">
        <v>32</v>
      </c>
      <c r="O2804" s="12" t="s">
        <v>33</v>
      </c>
      <c r="P2804" s="12" t="s">
        <v>34</v>
      </c>
      <c r="Q2804" s="9"/>
      <c r="R2804" s="18"/>
      <c r="S2804" s="18"/>
      <c r="T2804" s="18"/>
      <c r="U2804" s="18"/>
      <c r="V2804" s="18"/>
      <c r="W2804" s="15"/>
      <c r="X2804" s="15"/>
    </row>
    <row r="2805">
      <c r="A2805" s="7">
        <v>2804.0</v>
      </c>
      <c r="B2805" s="8" t="s">
        <v>11802</v>
      </c>
      <c r="C2805" s="9" t="s">
        <v>11803</v>
      </c>
      <c r="D2805" s="10" t="str">
        <f>HYPERLINK("https://facebook.com/367089020688300_537963246934209", "367089020688300_537963246934209")</f>
        <v>367089020688300_537963246934209</v>
      </c>
      <c r="E2805" s="11">
        <v>223.0</v>
      </c>
      <c r="F2805" s="11">
        <v>2.0</v>
      </c>
      <c r="G2805" s="11">
        <v>154.0</v>
      </c>
      <c r="H2805" s="9" t="s">
        <v>26</v>
      </c>
      <c r="I2805" s="9" t="s">
        <v>3199</v>
      </c>
      <c r="J2805" s="9" t="s">
        <v>3200</v>
      </c>
      <c r="K2805" s="9" t="s">
        <v>5640</v>
      </c>
      <c r="L2805" s="9" t="s">
        <v>30</v>
      </c>
      <c r="M2805" s="9" t="s">
        <v>31</v>
      </c>
      <c r="N2805" s="9" t="s">
        <v>32</v>
      </c>
      <c r="O2805" s="12" t="s">
        <v>33</v>
      </c>
      <c r="P2805" s="12" t="s">
        <v>34</v>
      </c>
      <c r="Q2805" s="9"/>
      <c r="R2805" s="18"/>
      <c r="S2805" s="18"/>
      <c r="T2805" s="18"/>
      <c r="U2805" s="18"/>
      <c r="V2805" s="18"/>
      <c r="W2805" s="15"/>
      <c r="X2805" s="15"/>
    </row>
    <row r="2806">
      <c r="A2806" s="7">
        <v>2805.0</v>
      </c>
      <c r="B2806" s="8" t="s">
        <v>11804</v>
      </c>
      <c r="C2806" s="9" t="s">
        <v>11805</v>
      </c>
      <c r="D2806" s="10" t="str">
        <f>HYPERLINK("https://facebook.com/367089020688300_530443074352893", "367089020688300_530443074352893")</f>
        <v>367089020688300_530443074352893</v>
      </c>
      <c r="E2806" s="11">
        <v>150.0</v>
      </c>
      <c r="F2806" s="11">
        <v>6.0</v>
      </c>
      <c r="G2806" s="11">
        <v>113.0</v>
      </c>
      <c r="H2806" s="9" t="s">
        <v>26</v>
      </c>
      <c r="I2806" s="9" t="s">
        <v>11806</v>
      </c>
      <c r="J2806" s="16" t="s">
        <v>11807</v>
      </c>
      <c r="K2806" s="9"/>
      <c r="L2806" s="9" t="s">
        <v>30</v>
      </c>
      <c r="M2806" s="9" t="s">
        <v>31</v>
      </c>
      <c r="N2806" s="9" t="s">
        <v>32</v>
      </c>
      <c r="O2806" s="12" t="s">
        <v>33</v>
      </c>
      <c r="P2806" s="12" t="s">
        <v>34</v>
      </c>
      <c r="Q2806" s="9"/>
      <c r="R2806" s="18"/>
      <c r="S2806" s="18"/>
      <c r="T2806" s="18"/>
      <c r="U2806" s="18"/>
      <c r="V2806" s="18"/>
      <c r="W2806" s="15"/>
      <c r="X2806" s="15"/>
    </row>
    <row r="2807">
      <c r="A2807" s="7">
        <v>2806.0</v>
      </c>
      <c r="B2807" s="8" t="s">
        <v>11808</v>
      </c>
      <c r="C2807" s="9" t="s">
        <v>11809</v>
      </c>
      <c r="D2807" s="10" t="str">
        <f>HYPERLINK("https://facebook.com/367089020688300_526608908069643", "367089020688300_526608908069643")</f>
        <v>367089020688300_526608908069643</v>
      </c>
      <c r="E2807" s="11">
        <v>261.0</v>
      </c>
      <c r="F2807" s="11">
        <v>17.0</v>
      </c>
      <c r="G2807" s="11">
        <v>234.0</v>
      </c>
      <c r="H2807" s="9" t="s">
        <v>26</v>
      </c>
      <c r="I2807" s="9" t="s">
        <v>11810</v>
      </c>
      <c r="J2807" s="16" t="s">
        <v>11811</v>
      </c>
      <c r="K2807" s="9"/>
      <c r="L2807" s="9" t="s">
        <v>30</v>
      </c>
      <c r="M2807" s="9" t="s">
        <v>31</v>
      </c>
      <c r="N2807" s="9" t="s">
        <v>32</v>
      </c>
      <c r="O2807" s="12" t="s">
        <v>33</v>
      </c>
      <c r="P2807" s="12" t="s">
        <v>34</v>
      </c>
      <c r="Q2807" s="9"/>
      <c r="R2807" s="18"/>
      <c r="S2807" s="18"/>
      <c r="T2807" s="18"/>
      <c r="U2807" s="18"/>
      <c r="V2807" s="18"/>
      <c r="W2807" s="15"/>
      <c r="X2807" s="15"/>
    </row>
    <row r="2808">
      <c r="A2808" s="7">
        <v>2807.0</v>
      </c>
      <c r="B2808" s="8" t="s">
        <v>11812</v>
      </c>
      <c r="C2808" s="9" t="s">
        <v>11813</v>
      </c>
      <c r="D2808" s="10" t="str">
        <f>HYPERLINK("https://facebook.com/367089020688300_555184151878785", "367089020688300_555184151878785")</f>
        <v>367089020688300_555184151878785</v>
      </c>
      <c r="E2808" s="11">
        <v>13.0</v>
      </c>
      <c r="F2808" s="11">
        <v>0.0</v>
      </c>
      <c r="G2808" s="11">
        <v>9.0</v>
      </c>
      <c r="H2808" s="9" t="s">
        <v>26</v>
      </c>
      <c r="I2808" s="9" t="s">
        <v>11814</v>
      </c>
      <c r="J2808" s="9" t="s">
        <v>11815</v>
      </c>
      <c r="K2808" s="9" t="s">
        <v>11816</v>
      </c>
      <c r="L2808" s="9" t="s">
        <v>30</v>
      </c>
      <c r="M2808" s="9" t="s">
        <v>31</v>
      </c>
      <c r="N2808" s="9" t="s">
        <v>32</v>
      </c>
      <c r="O2808" s="12" t="s">
        <v>33</v>
      </c>
      <c r="P2808" s="12" t="s">
        <v>34</v>
      </c>
      <c r="Q2808" s="9"/>
      <c r="R2808" s="18"/>
      <c r="S2808" s="18"/>
      <c r="T2808" s="18"/>
      <c r="U2808" s="18"/>
      <c r="V2808" s="18"/>
      <c r="W2808" s="15"/>
      <c r="X2808" s="15"/>
    </row>
    <row r="2809">
      <c r="A2809" s="7">
        <v>2808.0</v>
      </c>
      <c r="B2809" s="8" t="s">
        <v>11817</v>
      </c>
      <c r="C2809" s="9" t="s">
        <v>11818</v>
      </c>
      <c r="D2809" s="10" t="str">
        <f>HYPERLINK("https://facebook.com/367089020688300_502231280507406", "367089020688300_502231280507406")</f>
        <v>367089020688300_502231280507406</v>
      </c>
      <c r="E2809" s="11">
        <v>856.0</v>
      </c>
      <c r="F2809" s="11">
        <v>19.0</v>
      </c>
      <c r="G2809" s="11">
        <v>1066.0</v>
      </c>
      <c r="H2809" s="9" t="s">
        <v>26</v>
      </c>
      <c r="I2809" s="9" t="s">
        <v>11819</v>
      </c>
      <c r="J2809" s="9" t="s">
        <v>11820</v>
      </c>
      <c r="K2809" s="9" t="s">
        <v>11821</v>
      </c>
      <c r="L2809" s="9" t="s">
        <v>30</v>
      </c>
      <c r="M2809" s="9" t="s">
        <v>31</v>
      </c>
      <c r="N2809" s="9" t="s">
        <v>32</v>
      </c>
      <c r="O2809" s="12" t="s">
        <v>33</v>
      </c>
      <c r="P2809" s="12" t="s">
        <v>34</v>
      </c>
      <c r="Q2809" s="9"/>
      <c r="R2809" s="18"/>
      <c r="S2809" s="18"/>
      <c r="T2809" s="18"/>
      <c r="U2809" s="18"/>
      <c r="V2809" s="18"/>
      <c r="W2809" s="15"/>
      <c r="X2809" s="15"/>
    </row>
    <row r="2810">
      <c r="A2810" s="7">
        <v>2809.0</v>
      </c>
      <c r="B2810" s="8" t="s">
        <v>11822</v>
      </c>
      <c r="C2810" s="9" t="s">
        <v>11823</v>
      </c>
      <c r="D2810" s="10" t="str">
        <f>HYPERLINK("https://facebook.com/367089020688300_508858893177978", "367089020688300_508858893177978")</f>
        <v>367089020688300_508858893177978</v>
      </c>
      <c r="E2810" s="11">
        <v>115.0</v>
      </c>
      <c r="F2810" s="11">
        <v>11.0</v>
      </c>
      <c r="G2810" s="11">
        <v>107.0</v>
      </c>
      <c r="H2810" s="9" t="s">
        <v>26</v>
      </c>
      <c r="I2810" s="9" t="s">
        <v>11824</v>
      </c>
      <c r="J2810" s="9" t="s">
        <v>11825</v>
      </c>
      <c r="K2810" s="9" t="s">
        <v>11826</v>
      </c>
      <c r="L2810" s="9" t="s">
        <v>30</v>
      </c>
      <c r="M2810" s="9" t="s">
        <v>31</v>
      </c>
      <c r="N2810" s="9" t="s">
        <v>32</v>
      </c>
      <c r="O2810" s="12" t="s">
        <v>33</v>
      </c>
      <c r="P2810" s="12" t="s">
        <v>34</v>
      </c>
      <c r="Q2810" s="9"/>
      <c r="R2810" s="18"/>
      <c r="S2810" s="18"/>
      <c r="T2810" s="18"/>
      <c r="U2810" s="18"/>
      <c r="V2810" s="18"/>
      <c r="W2810" s="15"/>
      <c r="X2810" s="15"/>
    </row>
    <row r="2811">
      <c r="A2811" s="7">
        <v>2810.0</v>
      </c>
      <c r="B2811" s="8" t="s">
        <v>11827</v>
      </c>
      <c r="C2811" s="9" t="s">
        <v>11828</v>
      </c>
      <c r="D2811" s="10" t="str">
        <f>HYPERLINK("https://facebook.com/367089020688300_535651637165370", "367089020688300_535651637165370")</f>
        <v>367089020688300_535651637165370</v>
      </c>
      <c r="E2811" s="11">
        <v>14.0</v>
      </c>
      <c r="F2811" s="11">
        <v>0.0</v>
      </c>
      <c r="G2811" s="11">
        <v>5.0</v>
      </c>
      <c r="H2811" s="9" t="s">
        <v>26</v>
      </c>
      <c r="I2811" s="9" t="s">
        <v>9713</v>
      </c>
      <c r="J2811" s="9" t="s">
        <v>9714</v>
      </c>
      <c r="K2811" s="9" t="s">
        <v>920</v>
      </c>
      <c r="L2811" s="9" t="s">
        <v>30</v>
      </c>
      <c r="M2811" s="9" t="s">
        <v>31</v>
      </c>
      <c r="N2811" s="9" t="s">
        <v>32</v>
      </c>
      <c r="O2811" s="12" t="s">
        <v>33</v>
      </c>
      <c r="P2811" s="12" t="s">
        <v>34</v>
      </c>
      <c r="Q2811" s="9"/>
      <c r="R2811" s="18"/>
      <c r="S2811" s="18"/>
      <c r="T2811" s="18"/>
      <c r="U2811" s="18"/>
      <c r="V2811" s="18"/>
      <c r="W2811" s="15"/>
      <c r="X2811" s="15"/>
    </row>
    <row r="2812">
      <c r="A2812" s="7">
        <v>2811.0</v>
      </c>
      <c r="B2812" s="8" t="s">
        <v>11829</v>
      </c>
      <c r="C2812" s="9" t="s">
        <v>11830</v>
      </c>
      <c r="D2812" s="10" t="str">
        <f>HYPERLINK("https://facebook.com/367089020688300_397261407671061", "367089020688300_397261407671061")</f>
        <v>367089020688300_397261407671061</v>
      </c>
      <c r="E2812" s="11">
        <v>152.0</v>
      </c>
      <c r="F2812" s="11">
        <v>6.0</v>
      </c>
      <c r="G2812" s="11">
        <v>25.0</v>
      </c>
      <c r="H2812" s="9" t="s">
        <v>26</v>
      </c>
      <c r="I2812" s="9" t="s">
        <v>11831</v>
      </c>
      <c r="J2812" s="9" t="s">
        <v>11832</v>
      </c>
      <c r="K2812" s="9" t="s">
        <v>11833</v>
      </c>
      <c r="L2812" s="9" t="s">
        <v>30</v>
      </c>
      <c r="M2812" s="9" t="s">
        <v>31</v>
      </c>
      <c r="N2812" s="9" t="s">
        <v>32</v>
      </c>
      <c r="O2812" s="12" t="s">
        <v>33</v>
      </c>
      <c r="P2812" s="12" t="s">
        <v>34</v>
      </c>
      <c r="Q2812" s="9"/>
      <c r="R2812" s="18"/>
      <c r="S2812" s="18"/>
      <c r="T2812" s="18"/>
      <c r="U2812" s="18"/>
      <c r="V2812" s="18"/>
      <c r="W2812" s="15"/>
      <c r="X2812" s="15"/>
    </row>
    <row r="2813">
      <c r="A2813" s="7">
        <v>2812.0</v>
      </c>
      <c r="B2813" s="8" t="s">
        <v>11834</v>
      </c>
      <c r="C2813" s="9" t="s">
        <v>11835</v>
      </c>
      <c r="D2813" s="10" t="str">
        <f>HYPERLINK("https://facebook.com/367089020688300_544672556263278", "367089020688300_544672556263278")</f>
        <v>367089020688300_544672556263278</v>
      </c>
      <c r="E2813" s="11">
        <v>105.0</v>
      </c>
      <c r="F2813" s="11">
        <v>0.0</v>
      </c>
      <c r="G2813" s="11">
        <v>106.0</v>
      </c>
      <c r="H2813" s="9" t="s">
        <v>26</v>
      </c>
      <c r="I2813" s="9" t="s">
        <v>11836</v>
      </c>
      <c r="J2813" s="16" t="s">
        <v>11837</v>
      </c>
      <c r="K2813" s="9"/>
      <c r="L2813" s="9" t="s">
        <v>30</v>
      </c>
      <c r="M2813" s="9" t="s">
        <v>31</v>
      </c>
      <c r="N2813" s="9" t="s">
        <v>32</v>
      </c>
      <c r="O2813" s="12" t="s">
        <v>33</v>
      </c>
      <c r="P2813" s="12" t="s">
        <v>34</v>
      </c>
      <c r="Q2813" s="9"/>
      <c r="R2813" s="18"/>
      <c r="S2813" s="18"/>
      <c r="T2813" s="18"/>
      <c r="U2813" s="18"/>
      <c r="V2813" s="18"/>
      <c r="W2813" s="15"/>
      <c r="X2813" s="15"/>
    </row>
    <row r="2814">
      <c r="A2814" s="7">
        <v>2813.0</v>
      </c>
      <c r="B2814" s="8" t="s">
        <v>11838</v>
      </c>
      <c r="C2814" s="9" t="s">
        <v>11839</v>
      </c>
      <c r="D2814" s="10" t="str">
        <f>HYPERLINK("https://facebook.com/367089020688300_546782849385582", "367089020688300_546782849385582")</f>
        <v>367089020688300_546782849385582</v>
      </c>
      <c r="E2814" s="11">
        <v>31.0</v>
      </c>
      <c r="F2814" s="11">
        <v>1.0</v>
      </c>
      <c r="G2814" s="11">
        <v>49.0</v>
      </c>
      <c r="H2814" s="9" t="s">
        <v>26</v>
      </c>
      <c r="I2814" s="9" t="s">
        <v>1760</v>
      </c>
      <c r="J2814" s="9" t="s">
        <v>11840</v>
      </c>
      <c r="K2814" s="9" t="s">
        <v>5429</v>
      </c>
      <c r="L2814" s="9" t="s">
        <v>30</v>
      </c>
      <c r="M2814" s="9" t="s">
        <v>31</v>
      </c>
      <c r="N2814" s="9" t="s">
        <v>32</v>
      </c>
      <c r="O2814" s="12" t="s">
        <v>33</v>
      </c>
      <c r="P2814" s="12" t="s">
        <v>34</v>
      </c>
      <c r="Q2814" s="9"/>
      <c r="R2814" s="18"/>
      <c r="S2814" s="18"/>
      <c r="T2814" s="18"/>
      <c r="U2814" s="18"/>
      <c r="V2814" s="18"/>
      <c r="W2814" s="15"/>
      <c r="X2814" s="15"/>
    </row>
    <row r="2815">
      <c r="A2815" s="7">
        <v>2814.0</v>
      </c>
      <c r="B2815" s="8" t="s">
        <v>11841</v>
      </c>
      <c r="C2815" s="9" t="s">
        <v>11842</v>
      </c>
      <c r="D2815" s="10" t="str">
        <f>HYPERLINK("https://facebook.com/367089020688300_532920597438474", "367089020688300_532920597438474")</f>
        <v>367089020688300_532920597438474</v>
      </c>
      <c r="E2815" s="11">
        <v>169.0</v>
      </c>
      <c r="F2815" s="11">
        <v>21.0</v>
      </c>
      <c r="G2815" s="11">
        <v>82.0</v>
      </c>
      <c r="H2815" s="9" t="s">
        <v>26</v>
      </c>
      <c r="I2815" s="9" t="s">
        <v>11843</v>
      </c>
      <c r="J2815" s="16" t="s">
        <v>11844</v>
      </c>
      <c r="K2815" s="9"/>
      <c r="L2815" s="9" t="s">
        <v>30</v>
      </c>
      <c r="M2815" s="9" t="s">
        <v>31</v>
      </c>
      <c r="N2815" s="9" t="s">
        <v>32</v>
      </c>
      <c r="O2815" s="12" t="s">
        <v>33</v>
      </c>
      <c r="P2815" s="12" t="s">
        <v>34</v>
      </c>
      <c r="Q2815" s="9"/>
      <c r="R2815" s="18"/>
      <c r="S2815" s="18"/>
      <c r="T2815" s="18"/>
      <c r="U2815" s="18"/>
      <c r="V2815" s="18"/>
      <c r="W2815" s="15"/>
      <c r="X2815" s="15"/>
    </row>
    <row r="2816">
      <c r="A2816" s="7">
        <v>2815.0</v>
      </c>
      <c r="B2816" s="8" t="s">
        <v>11845</v>
      </c>
      <c r="C2816" s="9" t="s">
        <v>11846</v>
      </c>
      <c r="D2816" s="10" t="str">
        <f>HYPERLINK("https://facebook.com/367089020688300_544589639604903", "367089020688300_544589639604903")</f>
        <v>367089020688300_544589639604903</v>
      </c>
      <c r="E2816" s="11">
        <v>202.0</v>
      </c>
      <c r="F2816" s="11">
        <v>2.0</v>
      </c>
      <c r="G2816" s="11">
        <v>197.0</v>
      </c>
      <c r="H2816" s="9" t="s">
        <v>26</v>
      </c>
      <c r="I2816" s="9" t="s">
        <v>3392</v>
      </c>
      <c r="J2816" s="16" t="s">
        <v>3393</v>
      </c>
      <c r="K2816" s="9"/>
      <c r="L2816" s="9" t="s">
        <v>30</v>
      </c>
      <c r="M2816" s="9" t="s">
        <v>31</v>
      </c>
      <c r="N2816" s="9" t="s">
        <v>32</v>
      </c>
      <c r="O2816" s="12" t="s">
        <v>33</v>
      </c>
      <c r="P2816" s="12" t="s">
        <v>34</v>
      </c>
      <c r="Q2816" s="9"/>
      <c r="R2816" s="18"/>
      <c r="S2816" s="18"/>
      <c r="T2816" s="18"/>
      <c r="U2816" s="18"/>
      <c r="V2816" s="18"/>
      <c r="W2816" s="15"/>
      <c r="X2816" s="15"/>
    </row>
    <row r="2817">
      <c r="A2817" s="7">
        <v>2816.0</v>
      </c>
      <c r="B2817" s="8" t="s">
        <v>11847</v>
      </c>
      <c r="C2817" s="9" t="s">
        <v>11848</v>
      </c>
      <c r="D2817" s="10" t="str">
        <f>HYPERLINK("https://facebook.com/367089020688300_550735508990316", "367089020688300_550735508990316")</f>
        <v>367089020688300_550735508990316</v>
      </c>
      <c r="E2817" s="11">
        <v>35.0</v>
      </c>
      <c r="F2817" s="11">
        <v>0.0</v>
      </c>
      <c r="G2817" s="11">
        <v>17.0</v>
      </c>
      <c r="H2817" s="9" t="s">
        <v>26</v>
      </c>
      <c r="I2817" s="9" t="s">
        <v>4589</v>
      </c>
      <c r="J2817" s="16" t="s">
        <v>4655</v>
      </c>
      <c r="K2817" s="9"/>
      <c r="L2817" s="9" t="s">
        <v>30</v>
      </c>
      <c r="M2817" s="9" t="s">
        <v>31</v>
      </c>
      <c r="N2817" s="9" t="s">
        <v>32</v>
      </c>
      <c r="O2817" s="12" t="s">
        <v>33</v>
      </c>
      <c r="P2817" s="12" t="s">
        <v>34</v>
      </c>
      <c r="Q2817" s="9"/>
      <c r="R2817" s="18"/>
      <c r="S2817" s="18"/>
      <c r="T2817" s="18"/>
      <c r="U2817" s="18"/>
      <c r="V2817" s="18"/>
      <c r="W2817" s="15"/>
      <c r="X2817" s="15"/>
    </row>
    <row r="2818">
      <c r="A2818" s="7">
        <v>2817.0</v>
      </c>
      <c r="B2818" s="8" t="s">
        <v>11849</v>
      </c>
      <c r="C2818" s="9" t="s">
        <v>11850</v>
      </c>
      <c r="D2818" s="10" t="str">
        <f>HYPERLINK("https://facebook.com/367089020688300_526432908087243", "367089020688300_526432908087243")</f>
        <v>367089020688300_526432908087243</v>
      </c>
      <c r="E2818" s="11">
        <v>64.0</v>
      </c>
      <c r="F2818" s="11">
        <v>1.0</v>
      </c>
      <c r="G2818" s="11">
        <v>62.0</v>
      </c>
      <c r="H2818" s="9" t="s">
        <v>26</v>
      </c>
      <c r="I2818" s="9" t="s">
        <v>11851</v>
      </c>
      <c r="J2818" s="9" t="s">
        <v>11852</v>
      </c>
      <c r="K2818" s="9" t="s">
        <v>11853</v>
      </c>
      <c r="L2818" s="9" t="s">
        <v>30</v>
      </c>
      <c r="M2818" s="9" t="s">
        <v>31</v>
      </c>
      <c r="N2818" s="9" t="s">
        <v>32</v>
      </c>
      <c r="O2818" s="12" t="s">
        <v>33</v>
      </c>
      <c r="P2818" s="12" t="s">
        <v>34</v>
      </c>
      <c r="Q2818" s="9"/>
      <c r="R2818" s="18"/>
      <c r="S2818" s="18"/>
      <c r="T2818" s="18"/>
      <c r="U2818" s="18"/>
      <c r="V2818" s="18"/>
      <c r="W2818" s="15"/>
      <c r="X2818" s="15"/>
    </row>
    <row r="2819">
      <c r="A2819" s="7">
        <v>2818.0</v>
      </c>
      <c r="B2819" s="8" t="s">
        <v>11854</v>
      </c>
      <c r="C2819" s="9" t="s">
        <v>11855</v>
      </c>
      <c r="D2819" s="10" t="str">
        <f>HYPERLINK("https://facebook.com/367089020688300_417513968979138", "367089020688300_417513968979138")</f>
        <v>367089020688300_417513968979138</v>
      </c>
      <c r="E2819" s="11">
        <v>87.0</v>
      </c>
      <c r="F2819" s="11">
        <v>2.0</v>
      </c>
      <c r="G2819" s="11">
        <v>26.0</v>
      </c>
      <c r="H2819" s="9" t="s">
        <v>26</v>
      </c>
      <c r="I2819" s="9" t="s">
        <v>11856</v>
      </c>
      <c r="J2819" s="16" t="s">
        <v>11857</v>
      </c>
      <c r="K2819" s="9"/>
      <c r="L2819" s="9" t="s">
        <v>30</v>
      </c>
      <c r="M2819" s="9" t="s">
        <v>31</v>
      </c>
      <c r="N2819" s="9" t="s">
        <v>32</v>
      </c>
      <c r="O2819" s="12" t="s">
        <v>33</v>
      </c>
      <c r="P2819" s="12" t="s">
        <v>34</v>
      </c>
      <c r="Q2819" s="9"/>
      <c r="R2819" s="18"/>
      <c r="S2819" s="18"/>
      <c r="T2819" s="18"/>
      <c r="U2819" s="18"/>
      <c r="V2819" s="18"/>
      <c r="W2819" s="15"/>
      <c r="X2819" s="15"/>
    </row>
    <row r="2820">
      <c r="A2820" s="7">
        <v>2819.0</v>
      </c>
      <c r="B2820" s="8" t="s">
        <v>11858</v>
      </c>
      <c r="C2820" s="9" t="s">
        <v>11859</v>
      </c>
      <c r="D2820" s="10" t="str">
        <f>HYPERLINK("https://facebook.com/367089020688300_561481447915722", "367089020688300_561481447915722")</f>
        <v>367089020688300_561481447915722</v>
      </c>
      <c r="E2820" s="11">
        <v>5.0</v>
      </c>
      <c r="F2820" s="11">
        <v>0.0</v>
      </c>
      <c r="G2820" s="11">
        <v>4.0</v>
      </c>
      <c r="H2820" s="9" t="s">
        <v>26</v>
      </c>
      <c r="I2820" s="9" t="s">
        <v>2700</v>
      </c>
      <c r="J2820" s="16" t="s">
        <v>11860</v>
      </c>
      <c r="K2820" s="9"/>
      <c r="L2820" s="9" t="s">
        <v>30</v>
      </c>
      <c r="M2820" s="9" t="s">
        <v>31</v>
      </c>
      <c r="N2820" s="9" t="s">
        <v>32</v>
      </c>
      <c r="O2820" s="12" t="s">
        <v>33</v>
      </c>
      <c r="P2820" s="12" t="s">
        <v>34</v>
      </c>
      <c r="Q2820" s="9"/>
      <c r="R2820" s="18"/>
      <c r="S2820" s="18"/>
      <c r="T2820" s="18"/>
      <c r="U2820" s="18"/>
      <c r="V2820" s="18"/>
      <c r="W2820" s="15"/>
      <c r="X2820" s="15"/>
    </row>
    <row r="2821">
      <c r="A2821" s="7">
        <v>2820.0</v>
      </c>
      <c r="B2821" s="8" t="s">
        <v>11861</v>
      </c>
      <c r="C2821" s="9" t="s">
        <v>11862</v>
      </c>
      <c r="D2821" s="10" t="str">
        <f>HYPERLINK("https://facebook.com/367089020688300_555622148501652", "367089020688300_555622148501652")</f>
        <v>367089020688300_555622148501652</v>
      </c>
      <c r="E2821" s="11">
        <v>346.0</v>
      </c>
      <c r="F2821" s="11">
        <v>9.0</v>
      </c>
      <c r="G2821" s="11">
        <v>218.0</v>
      </c>
      <c r="H2821" s="9" t="s">
        <v>26</v>
      </c>
      <c r="I2821" s="9" t="s">
        <v>11863</v>
      </c>
      <c r="J2821" s="9" t="s">
        <v>11864</v>
      </c>
      <c r="K2821" s="9" t="s">
        <v>11865</v>
      </c>
      <c r="L2821" s="9" t="s">
        <v>30</v>
      </c>
      <c r="M2821" s="9" t="s">
        <v>31</v>
      </c>
      <c r="N2821" s="9" t="s">
        <v>32</v>
      </c>
      <c r="O2821" s="12" t="s">
        <v>33</v>
      </c>
      <c r="P2821" s="12" t="s">
        <v>34</v>
      </c>
      <c r="Q2821" s="9"/>
      <c r="R2821" s="18"/>
      <c r="S2821" s="18"/>
      <c r="T2821" s="18"/>
      <c r="U2821" s="18"/>
      <c r="V2821" s="18"/>
      <c r="W2821" s="15"/>
      <c r="X2821" s="15"/>
    </row>
    <row r="2822">
      <c r="A2822" s="7">
        <v>2821.0</v>
      </c>
      <c r="B2822" s="8" t="s">
        <v>11866</v>
      </c>
      <c r="C2822" s="9" t="s">
        <v>11867</v>
      </c>
      <c r="D2822" s="10" t="str">
        <f>HYPERLINK("https://facebook.com/367089020688300_530284371035430", "367089020688300_530284371035430")</f>
        <v>367089020688300_530284371035430</v>
      </c>
      <c r="E2822" s="11">
        <v>8.0</v>
      </c>
      <c r="F2822" s="11">
        <v>0.0</v>
      </c>
      <c r="G2822" s="11">
        <v>17.0</v>
      </c>
      <c r="H2822" s="9" t="s">
        <v>26</v>
      </c>
      <c r="I2822" s="9" t="s">
        <v>11868</v>
      </c>
      <c r="J2822" s="16" t="s">
        <v>11869</v>
      </c>
      <c r="K2822" s="9"/>
      <c r="L2822" s="9" t="s">
        <v>30</v>
      </c>
      <c r="M2822" s="9" t="s">
        <v>31</v>
      </c>
      <c r="N2822" s="9" t="s">
        <v>32</v>
      </c>
      <c r="O2822" s="12" t="s">
        <v>33</v>
      </c>
      <c r="P2822" s="12" t="s">
        <v>34</v>
      </c>
      <c r="Q2822" s="9"/>
      <c r="R2822" s="18"/>
      <c r="S2822" s="18"/>
      <c r="T2822" s="18"/>
      <c r="U2822" s="18"/>
      <c r="V2822" s="18"/>
      <c r="W2822" s="15"/>
      <c r="X2822" s="15"/>
    </row>
    <row r="2823">
      <c r="A2823" s="7">
        <v>2822.0</v>
      </c>
      <c r="B2823" s="8" t="s">
        <v>11870</v>
      </c>
      <c r="C2823" s="9" t="s">
        <v>11871</v>
      </c>
      <c r="D2823" s="10" t="str">
        <f>HYPERLINK("https://facebook.com/367089020688300_530868794310321", "367089020688300_530868794310321")</f>
        <v>367089020688300_530868794310321</v>
      </c>
      <c r="E2823" s="11">
        <v>608.0</v>
      </c>
      <c r="F2823" s="11">
        <v>3.0</v>
      </c>
      <c r="G2823" s="11">
        <v>318.0</v>
      </c>
      <c r="H2823" s="9" t="s">
        <v>26</v>
      </c>
      <c r="I2823" s="9" t="s">
        <v>11872</v>
      </c>
      <c r="J2823" s="9" t="s">
        <v>11873</v>
      </c>
      <c r="K2823" s="9" t="s">
        <v>11874</v>
      </c>
      <c r="L2823" s="9" t="s">
        <v>30</v>
      </c>
      <c r="M2823" s="9" t="s">
        <v>31</v>
      </c>
      <c r="N2823" s="9" t="s">
        <v>32</v>
      </c>
      <c r="O2823" s="12" t="s">
        <v>33</v>
      </c>
      <c r="P2823" s="12" t="s">
        <v>34</v>
      </c>
      <c r="Q2823" s="9"/>
      <c r="R2823" s="18"/>
      <c r="S2823" s="18"/>
      <c r="T2823" s="18"/>
      <c r="U2823" s="18"/>
      <c r="V2823" s="18"/>
      <c r="W2823" s="15"/>
      <c r="X2823" s="15"/>
    </row>
    <row r="2824">
      <c r="A2824" s="7">
        <v>2823.0</v>
      </c>
      <c r="B2824" s="8" t="s">
        <v>11875</v>
      </c>
      <c r="C2824" s="9" t="s">
        <v>11876</v>
      </c>
      <c r="D2824" s="10" t="str">
        <f>HYPERLINK("https://facebook.com/367089020688300_540134830050384", "367089020688300_540134830050384")</f>
        <v>367089020688300_540134830050384</v>
      </c>
      <c r="E2824" s="11">
        <v>7.0</v>
      </c>
      <c r="F2824" s="11">
        <v>0.0</v>
      </c>
      <c r="G2824" s="11">
        <v>5.0</v>
      </c>
      <c r="H2824" s="9" t="s">
        <v>26</v>
      </c>
      <c r="I2824" s="9" t="s">
        <v>11877</v>
      </c>
      <c r="J2824" s="16" t="s">
        <v>11878</v>
      </c>
      <c r="K2824" s="9"/>
      <c r="L2824" s="9" t="s">
        <v>30</v>
      </c>
      <c r="M2824" s="9" t="s">
        <v>31</v>
      </c>
      <c r="N2824" s="9" t="s">
        <v>32</v>
      </c>
      <c r="O2824" s="12" t="s">
        <v>33</v>
      </c>
      <c r="P2824" s="12" t="s">
        <v>34</v>
      </c>
      <c r="Q2824" s="9"/>
      <c r="R2824" s="18"/>
      <c r="S2824" s="18"/>
      <c r="T2824" s="18"/>
      <c r="U2824" s="18"/>
      <c r="V2824" s="18"/>
      <c r="W2824" s="15"/>
      <c r="X2824" s="15"/>
    </row>
    <row r="2825">
      <c r="A2825" s="7">
        <v>2824.0</v>
      </c>
      <c r="B2825" s="8" t="s">
        <v>11879</v>
      </c>
      <c r="C2825" s="9" t="s">
        <v>11880</v>
      </c>
      <c r="D2825" s="10" t="str">
        <f>HYPERLINK("https://facebook.com/367089020688300_559224374808096", "367089020688300_559224374808096")</f>
        <v>367089020688300_559224374808096</v>
      </c>
      <c r="E2825" s="11">
        <v>3850.0</v>
      </c>
      <c r="F2825" s="11">
        <v>84.0</v>
      </c>
      <c r="G2825" s="11">
        <v>1538.0</v>
      </c>
      <c r="H2825" s="9" t="s">
        <v>26</v>
      </c>
      <c r="I2825" s="9" t="s">
        <v>1764</v>
      </c>
      <c r="J2825" s="16" t="s">
        <v>1765</v>
      </c>
      <c r="K2825" s="9"/>
      <c r="L2825" s="9" t="s">
        <v>30</v>
      </c>
      <c r="M2825" s="9" t="s">
        <v>31</v>
      </c>
      <c r="N2825" s="9" t="s">
        <v>32</v>
      </c>
      <c r="O2825" s="12" t="s">
        <v>33</v>
      </c>
      <c r="P2825" s="12" t="s">
        <v>34</v>
      </c>
      <c r="Q2825" s="9"/>
      <c r="R2825" s="18"/>
      <c r="S2825" s="18"/>
      <c r="T2825" s="18"/>
      <c r="U2825" s="18"/>
      <c r="V2825" s="18"/>
      <c r="W2825" s="15"/>
      <c r="X2825" s="15"/>
    </row>
    <row r="2826">
      <c r="A2826" s="7">
        <v>2825.0</v>
      </c>
      <c r="B2826" s="8" t="s">
        <v>11881</v>
      </c>
      <c r="C2826" s="9" t="s">
        <v>11882</v>
      </c>
      <c r="D2826" s="10" t="str">
        <f>HYPERLINK("https://facebook.com/367089020688300_539228510141016", "367089020688300_539228510141016")</f>
        <v>367089020688300_539228510141016</v>
      </c>
      <c r="E2826" s="11">
        <v>123.0</v>
      </c>
      <c r="F2826" s="11">
        <v>2.0</v>
      </c>
      <c r="G2826" s="11">
        <v>115.0</v>
      </c>
      <c r="H2826" s="9" t="s">
        <v>26</v>
      </c>
      <c r="I2826" s="9" t="s">
        <v>11883</v>
      </c>
      <c r="J2826" s="9" t="s">
        <v>11884</v>
      </c>
      <c r="K2826" s="9" t="s">
        <v>11885</v>
      </c>
      <c r="L2826" s="9" t="s">
        <v>30</v>
      </c>
      <c r="M2826" s="9" t="s">
        <v>31</v>
      </c>
      <c r="N2826" s="9" t="s">
        <v>32</v>
      </c>
      <c r="O2826" s="12" t="s">
        <v>33</v>
      </c>
      <c r="P2826" s="12" t="s">
        <v>34</v>
      </c>
      <c r="Q2826" s="9"/>
      <c r="R2826" s="18"/>
      <c r="S2826" s="18"/>
      <c r="T2826" s="18"/>
      <c r="U2826" s="18"/>
      <c r="V2826" s="18"/>
      <c r="W2826" s="15"/>
      <c r="X2826" s="15"/>
    </row>
    <row r="2827">
      <c r="A2827" s="7">
        <v>2826.0</v>
      </c>
      <c r="B2827" s="8" t="s">
        <v>11886</v>
      </c>
      <c r="C2827" s="9" t="s">
        <v>11887</v>
      </c>
      <c r="D2827" s="10" t="str">
        <f>HYPERLINK("https://facebook.com/367089020688300_514592899271244", "367089020688300_514592899271244")</f>
        <v>367089020688300_514592899271244</v>
      </c>
      <c r="E2827" s="11">
        <v>27.0</v>
      </c>
      <c r="F2827" s="11">
        <v>0.0</v>
      </c>
      <c r="G2827" s="11">
        <v>21.0</v>
      </c>
      <c r="H2827" s="9" t="s">
        <v>26</v>
      </c>
      <c r="I2827" s="9" t="s">
        <v>11888</v>
      </c>
      <c r="J2827" s="9" t="s">
        <v>11889</v>
      </c>
      <c r="K2827" s="9" t="s">
        <v>11890</v>
      </c>
      <c r="L2827" s="9" t="s">
        <v>30</v>
      </c>
      <c r="M2827" s="9" t="s">
        <v>31</v>
      </c>
      <c r="N2827" s="9" t="s">
        <v>32</v>
      </c>
      <c r="O2827" s="12" t="s">
        <v>33</v>
      </c>
      <c r="P2827" s="12" t="s">
        <v>34</v>
      </c>
      <c r="Q2827" s="9"/>
      <c r="R2827" s="18"/>
      <c r="S2827" s="18"/>
      <c r="T2827" s="18"/>
      <c r="U2827" s="18"/>
      <c r="V2827" s="18"/>
      <c r="W2827" s="15"/>
      <c r="X2827" s="15"/>
    </row>
    <row r="2828">
      <c r="A2828" s="7">
        <v>2827.0</v>
      </c>
      <c r="B2828" s="8" t="s">
        <v>11891</v>
      </c>
      <c r="C2828" s="9" t="s">
        <v>11892</v>
      </c>
      <c r="D2828" s="10" t="str">
        <f>HYPERLINK("https://facebook.com/367089020688300_546074336123100", "367089020688300_546074336123100")</f>
        <v>367089020688300_546074336123100</v>
      </c>
      <c r="E2828" s="11">
        <v>7.0</v>
      </c>
      <c r="F2828" s="11">
        <v>0.0</v>
      </c>
      <c r="G2828" s="11">
        <v>5.0</v>
      </c>
      <c r="H2828" s="9" t="s">
        <v>26</v>
      </c>
      <c r="I2828" s="9" t="s">
        <v>11893</v>
      </c>
      <c r="J2828" s="9" t="s">
        <v>11894</v>
      </c>
      <c r="K2828" s="9" t="s">
        <v>249</v>
      </c>
      <c r="L2828" s="9" t="s">
        <v>30</v>
      </c>
      <c r="M2828" s="9" t="s">
        <v>31</v>
      </c>
      <c r="N2828" s="9" t="s">
        <v>32</v>
      </c>
      <c r="O2828" s="12" t="s">
        <v>33</v>
      </c>
      <c r="P2828" s="12" t="s">
        <v>34</v>
      </c>
      <c r="Q2828" s="9"/>
      <c r="R2828" s="18"/>
      <c r="S2828" s="18"/>
      <c r="T2828" s="18"/>
      <c r="U2828" s="18"/>
      <c r="V2828" s="18"/>
      <c r="W2828" s="15"/>
      <c r="X2828" s="15"/>
    </row>
    <row r="2829">
      <c r="A2829" s="7">
        <v>2828.0</v>
      </c>
      <c r="B2829" s="8" t="s">
        <v>11895</v>
      </c>
      <c r="C2829" s="9" t="s">
        <v>11896</v>
      </c>
      <c r="D2829" s="10" t="str">
        <f>HYPERLINK("https://facebook.com/367089020688300_549406399123227", "367089020688300_549406399123227")</f>
        <v>367089020688300_549406399123227</v>
      </c>
      <c r="E2829" s="11">
        <v>69.0</v>
      </c>
      <c r="F2829" s="11">
        <v>3.0</v>
      </c>
      <c r="G2829" s="11">
        <v>77.0</v>
      </c>
      <c r="H2829" s="9" t="s">
        <v>26</v>
      </c>
      <c r="I2829" s="9" t="s">
        <v>11897</v>
      </c>
      <c r="J2829" s="9" t="s">
        <v>11898</v>
      </c>
      <c r="K2829" s="9" t="s">
        <v>2035</v>
      </c>
      <c r="L2829" s="9" t="s">
        <v>30</v>
      </c>
      <c r="M2829" s="9" t="s">
        <v>31</v>
      </c>
      <c r="N2829" s="9" t="s">
        <v>32</v>
      </c>
      <c r="O2829" s="12" t="s">
        <v>33</v>
      </c>
      <c r="P2829" s="12" t="s">
        <v>34</v>
      </c>
      <c r="Q2829" s="9"/>
      <c r="R2829" s="18"/>
      <c r="S2829" s="18"/>
      <c r="T2829" s="18"/>
      <c r="U2829" s="18"/>
      <c r="V2829" s="18"/>
      <c r="W2829" s="15"/>
      <c r="X2829" s="15"/>
    </row>
    <row r="2830">
      <c r="A2830" s="7">
        <v>2829.0</v>
      </c>
      <c r="B2830" s="8" t="s">
        <v>11899</v>
      </c>
      <c r="C2830" s="9" t="s">
        <v>11900</v>
      </c>
      <c r="D2830" s="10" t="str">
        <f>HYPERLINK("https://facebook.com/367089020688300_557437024986831", "367089020688300_557437024986831")</f>
        <v>367089020688300_557437024986831</v>
      </c>
      <c r="E2830" s="11">
        <v>32.0</v>
      </c>
      <c r="F2830" s="11">
        <v>0.0</v>
      </c>
      <c r="G2830" s="11">
        <v>30.0</v>
      </c>
      <c r="H2830" s="9" t="s">
        <v>26</v>
      </c>
      <c r="I2830" s="9" t="s">
        <v>3325</v>
      </c>
      <c r="J2830" s="9" t="s">
        <v>10283</v>
      </c>
      <c r="K2830" s="9" t="s">
        <v>11901</v>
      </c>
      <c r="L2830" s="9" t="s">
        <v>30</v>
      </c>
      <c r="M2830" s="9" t="s">
        <v>31</v>
      </c>
      <c r="N2830" s="9" t="s">
        <v>32</v>
      </c>
      <c r="O2830" s="12" t="s">
        <v>33</v>
      </c>
      <c r="P2830" s="12" t="s">
        <v>34</v>
      </c>
      <c r="Q2830" s="9"/>
      <c r="R2830" s="18"/>
      <c r="S2830" s="18"/>
      <c r="T2830" s="18"/>
      <c r="U2830" s="18"/>
      <c r="V2830" s="18"/>
      <c r="W2830" s="15"/>
      <c r="X2830" s="15"/>
    </row>
    <row r="2831">
      <c r="A2831" s="7">
        <v>2830.0</v>
      </c>
      <c r="B2831" s="8" t="s">
        <v>11902</v>
      </c>
      <c r="C2831" s="9" t="s">
        <v>11903</v>
      </c>
      <c r="D2831" s="10" t="str">
        <f>HYPERLINK("https://facebook.com/367089020688300_486561115407756", "367089020688300_486561115407756")</f>
        <v>367089020688300_486561115407756</v>
      </c>
      <c r="E2831" s="11">
        <v>32.0</v>
      </c>
      <c r="F2831" s="11">
        <v>0.0</v>
      </c>
      <c r="G2831" s="11">
        <v>35.0</v>
      </c>
      <c r="H2831" s="9" t="s">
        <v>26</v>
      </c>
      <c r="I2831" s="9" t="s">
        <v>11904</v>
      </c>
      <c r="J2831" s="9" t="s">
        <v>11905</v>
      </c>
      <c r="K2831" s="9" t="s">
        <v>11906</v>
      </c>
      <c r="L2831" s="9" t="s">
        <v>30</v>
      </c>
      <c r="M2831" s="9" t="s">
        <v>31</v>
      </c>
      <c r="N2831" s="9" t="s">
        <v>32</v>
      </c>
      <c r="O2831" s="12" t="s">
        <v>33</v>
      </c>
      <c r="P2831" s="12" t="s">
        <v>34</v>
      </c>
      <c r="Q2831" s="9"/>
      <c r="R2831" s="18"/>
      <c r="S2831" s="18"/>
      <c r="T2831" s="18"/>
      <c r="U2831" s="18"/>
      <c r="V2831" s="18"/>
      <c r="W2831" s="15"/>
      <c r="X2831" s="15"/>
    </row>
    <row r="2832">
      <c r="A2832" s="7">
        <v>2831.0</v>
      </c>
      <c r="B2832" s="8" t="s">
        <v>11907</v>
      </c>
      <c r="C2832" s="9" t="s">
        <v>11908</v>
      </c>
      <c r="D2832" s="10" t="str">
        <f>HYPERLINK("https://facebook.com/367089020688300_526032504793950", "367089020688300_526032504793950")</f>
        <v>367089020688300_526032504793950</v>
      </c>
      <c r="E2832" s="11">
        <v>11.0</v>
      </c>
      <c r="F2832" s="11">
        <v>0.0</v>
      </c>
      <c r="G2832" s="11">
        <v>37.0</v>
      </c>
      <c r="H2832" s="9" t="s">
        <v>26</v>
      </c>
      <c r="I2832" s="9" t="s">
        <v>11909</v>
      </c>
      <c r="J2832" s="9" t="s">
        <v>11910</v>
      </c>
      <c r="K2832" s="9" t="s">
        <v>11911</v>
      </c>
      <c r="L2832" s="9" t="s">
        <v>30</v>
      </c>
      <c r="M2832" s="9" t="s">
        <v>31</v>
      </c>
      <c r="N2832" s="9" t="s">
        <v>32</v>
      </c>
      <c r="O2832" s="12" t="s">
        <v>33</v>
      </c>
      <c r="P2832" s="12" t="s">
        <v>34</v>
      </c>
      <c r="Q2832" s="9"/>
      <c r="R2832" s="18"/>
      <c r="S2832" s="18"/>
      <c r="T2832" s="18"/>
      <c r="U2832" s="18"/>
      <c r="V2832" s="18"/>
      <c r="W2832" s="15"/>
      <c r="X2832" s="15"/>
    </row>
    <row r="2833">
      <c r="A2833" s="7">
        <v>2832.0</v>
      </c>
      <c r="B2833" s="8" t="s">
        <v>11912</v>
      </c>
      <c r="C2833" s="9" t="s">
        <v>11913</v>
      </c>
      <c r="D2833" s="10" t="str">
        <f>HYPERLINK("https://facebook.com/367089020688300_561053297958537", "367089020688300_561053297958537")</f>
        <v>367089020688300_561053297958537</v>
      </c>
      <c r="E2833" s="11">
        <v>133.0</v>
      </c>
      <c r="F2833" s="11">
        <v>1.0</v>
      </c>
      <c r="G2833" s="11">
        <v>158.0</v>
      </c>
      <c r="H2833" s="9" t="s">
        <v>26</v>
      </c>
      <c r="I2833" s="9" t="s">
        <v>11914</v>
      </c>
      <c r="J2833" s="16" t="s">
        <v>11915</v>
      </c>
      <c r="K2833" s="9"/>
      <c r="L2833" s="9" t="s">
        <v>30</v>
      </c>
      <c r="M2833" s="9" t="s">
        <v>31</v>
      </c>
      <c r="N2833" s="9" t="s">
        <v>32</v>
      </c>
      <c r="O2833" s="12" t="s">
        <v>33</v>
      </c>
      <c r="P2833" s="12" t="s">
        <v>34</v>
      </c>
      <c r="Q2833" s="9"/>
      <c r="R2833" s="18"/>
      <c r="S2833" s="18"/>
      <c r="T2833" s="18"/>
      <c r="U2833" s="18"/>
      <c r="V2833" s="18"/>
      <c r="W2833" s="15"/>
      <c r="X2833" s="15"/>
    </row>
    <row r="2834">
      <c r="A2834" s="7">
        <v>2833.0</v>
      </c>
      <c r="B2834" s="8" t="s">
        <v>11916</v>
      </c>
      <c r="C2834" s="9" t="s">
        <v>11917</v>
      </c>
      <c r="D2834" s="10" t="str">
        <f>HYPERLINK("https://facebook.com/367089020688300_454825648581303", "367089020688300_454825648581303")</f>
        <v>367089020688300_454825648581303</v>
      </c>
      <c r="E2834" s="11">
        <v>430.0</v>
      </c>
      <c r="F2834" s="11">
        <v>3.0</v>
      </c>
      <c r="G2834" s="11">
        <v>597.0</v>
      </c>
      <c r="H2834" s="9" t="s">
        <v>26</v>
      </c>
      <c r="I2834" s="9" t="s">
        <v>11918</v>
      </c>
      <c r="J2834" s="9" t="s">
        <v>11919</v>
      </c>
      <c r="K2834" s="9" t="s">
        <v>11920</v>
      </c>
      <c r="L2834" s="9" t="s">
        <v>30</v>
      </c>
      <c r="M2834" s="9" t="s">
        <v>31</v>
      </c>
      <c r="N2834" s="9" t="s">
        <v>32</v>
      </c>
      <c r="O2834" s="12" t="s">
        <v>33</v>
      </c>
      <c r="P2834" s="12" t="s">
        <v>34</v>
      </c>
      <c r="Q2834" s="9"/>
      <c r="R2834" s="18"/>
      <c r="S2834" s="18"/>
      <c r="T2834" s="18"/>
      <c r="U2834" s="18"/>
      <c r="V2834" s="18"/>
      <c r="W2834" s="15"/>
      <c r="X2834" s="15"/>
    </row>
    <row r="2835">
      <c r="A2835" s="7">
        <v>2834.0</v>
      </c>
      <c r="B2835" s="8" t="s">
        <v>11921</v>
      </c>
      <c r="C2835" s="9" t="s">
        <v>11922</v>
      </c>
      <c r="D2835" s="10" t="str">
        <f>HYPERLINK("https://facebook.com/367089020688300_550712528992614", "367089020688300_550712528992614")</f>
        <v>367089020688300_550712528992614</v>
      </c>
      <c r="E2835" s="11">
        <v>117.0</v>
      </c>
      <c r="F2835" s="11">
        <v>8.0</v>
      </c>
      <c r="G2835" s="11">
        <v>56.0</v>
      </c>
      <c r="H2835" s="9" t="s">
        <v>26</v>
      </c>
      <c r="I2835" s="9" t="s">
        <v>11923</v>
      </c>
      <c r="J2835" s="16" t="s">
        <v>11924</v>
      </c>
      <c r="K2835" s="9"/>
      <c r="L2835" s="9" t="s">
        <v>30</v>
      </c>
      <c r="M2835" s="9" t="s">
        <v>31</v>
      </c>
      <c r="N2835" s="9" t="s">
        <v>32</v>
      </c>
      <c r="O2835" s="12" t="s">
        <v>33</v>
      </c>
      <c r="P2835" s="12" t="s">
        <v>34</v>
      </c>
      <c r="Q2835" s="9"/>
      <c r="R2835" s="18"/>
      <c r="S2835" s="18"/>
      <c r="T2835" s="18"/>
      <c r="U2835" s="18"/>
      <c r="V2835" s="18"/>
      <c r="W2835" s="15"/>
      <c r="X2835" s="15"/>
    </row>
    <row r="2836">
      <c r="A2836" s="7">
        <v>2835.0</v>
      </c>
      <c r="B2836" s="8" t="s">
        <v>11925</v>
      </c>
      <c r="C2836" s="9" t="s">
        <v>11926</v>
      </c>
      <c r="D2836" s="10" t="str">
        <f>HYPERLINK("https://facebook.com/367089020688300_556484455082088", "367089020688300_556484455082088")</f>
        <v>367089020688300_556484455082088</v>
      </c>
      <c r="E2836" s="11">
        <v>19.0</v>
      </c>
      <c r="F2836" s="11">
        <v>0.0</v>
      </c>
      <c r="G2836" s="11">
        <v>16.0</v>
      </c>
      <c r="H2836" s="9" t="s">
        <v>26</v>
      </c>
      <c r="I2836" s="9" t="s">
        <v>993</v>
      </c>
      <c r="J2836" s="9" t="s">
        <v>11927</v>
      </c>
      <c r="K2836" s="9" t="s">
        <v>11928</v>
      </c>
      <c r="L2836" s="9" t="s">
        <v>30</v>
      </c>
      <c r="M2836" s="9" t="s">
        <v>31</v>
      </c>
      <c r="N2836" s="9" t="s">
        <v>32</v>
      </c>
      <c r="O2836" s="12" t="s">
        <v>33</v>
      </c>
      <c r="P2836" s="12" t="s">
        <v>34</v>
      </c>
      <c r="Q2836" s="9"/>
      <c r="R2836" s="18"/>
      <c r="S2836" s="18"/>
      <c r="T2836" s="18"/>
      <c r="U2836" s="18"/>
      <c r="V2836" s="18"/>
      <c r="W2836" s="15"/>
      <c r="X2836" s="15"/>
    </row>
    <row r="2837">
      <c r="A2837" s="7">
        <v>2836.0</v>
      </c>
      <c r="B2837" s="8" t="s">
        <v>11929</v>
      </c>
      <c r="C2837" s="9" t="s">
        <v>11930</v>
      </c>
      <c r="D2837" s="10" t="str">
        <f>HYPERLINK("https://facebook.com/367089020688300_555397448524122", "367089020688300_555397448524122")</f>
        <v>367089020688300_555397448524122</v>
      </c>
      <c r="E2837" s="11">
        <v>32.0</v>
      </c>
      <c r="F2837" s="11">
        <v>0.0</v>
      </c>
      <c r="G2837" s="11">
        <v>50.0</v>
      </c>
      <c r="H2837" s="9" t="s">
        <v>26</v>
      </c>
      <c r="I2837" s="9" t="s">
        <v>11931</v>
      </c>
      <c r="J2837" s="9" t="s">
        <v>11932</v>
      </c>
      <c r="K2837" s="9" t="s">
        <v>1690</v>
      </c>
      <c r="L2837" s="9" t="s">
        <v>30</v>
      </c>
      <c r="M2837" s="9" t="s">
        <v>31</v>
      </c>
      <c r="N2837" s="9" t="s">
        <v>32</v>
      </c>
      <c r="O2837" s="12" t="s">
        <v>33</v>
      </c>
      <c r="P2837" s="12" t="s">
        <v>34</v>
      </c>
      <c r="Q2837" s="9"/>
      <c r="R2837" s="18"/>
      <c r="S2837" s="18"/>
      <c r="T2837" s="18"/>
      <c r="U2837" s="18"/>
      <c r="V2837" s="18"/>
      <c r="W2837" s="15"/>
      <c r="X2837" s="15"/>
    </row>
    <row r="2838">
      <c r="A2838" s="7">
        <v>2837.0</v>
      </c>
      <c r="B2838" s="8" t="s">
        <v>11933</v>
      </c>
      <c r="C2838" s="9" t="s">
        <v>11934</v>
      </c>
      <c r="D2838" s="10" t="str">
        <f>HYPERLINK("https://facebook.com/367089020688300_541680306562503", "367089020688300_541680306562503")</f>
        <v>367089020688300_541680306562503</v>
      </c>
      <c r="E2838" s="11">
        <v>48.0</v>
      </c>
      <c r="F2838" s="11">
        <v>0.0</v>
      </c>
      <c r="G2838" s="11">
        <v>19.0</v>
      </c>
      <c r="H2838" s="9" t="s">
        <v>26</v>
      </c>
      <c r="I2838" s="9" t="s">
        <v>11935</v>
      </c>
      <c r="J2838" s="9" t="s">
        <v>11936</v>
      </c>
      <c r="K2838" s="9" t="s">
        <v>11937</v>
      </c>
      <c r="L2838" s="9" t="s">
        <v>30</v>
      </c>
      <c r="M2838" s="9" t="s">
        <v>31</v>
      </c>
      <c r="N2838" s="9" t="s">
        <v>32</v>
      </c>
      <c r="O2838" s="12" t="s">
        <v>33</v>
      </c>
      <c r="P2838" s="12" t="s">
        <v>34</v>
      </c>
      <c r="Q2838" s="9"/>
      <c r="R2838" s="18"/>
      <c r="S2838" s="18"/>
      <c r="T2838" s="18"/>
      <c r="U2838" s="18"/>
      <c r="V2838" s="18"/>
      <c r="W2838" s="15"/>
      <c r="X2838" s="15"/>
    </row>
    <row r="2839">
      <c r="A2839" s="7">
        <v>2838.0</v>
      </c>
      <c r="B2839" s="8" t="s">
        <v>11938</v>
      </c>
      <c r="C2839" s="9" t="s">
        <v>11939</v>
      </c>
      <c r="D2839" s="10" t="str">
        <f>HYPERLINK("https://facebook.com/367089020688300_539712230092644", "367089020688300_539712230092644")</f>
        <v>367089020688300_539712230092644</v>
      </c>
      <c r="E2839" s="11">
        <v>1.0</v>
      </c>
      <c r="F2839" s="11">
        <v>0.0</v>
      </c>
      <c r="G2839" s="11">
        <v>1.0</v>
      </c>
      <c r="H2839" s="9" t="s">
        <v>26</v>
      </c>
      <c r="I2839" s="9" t="s">
        <v>275</v>
      </c>
      <c r="J2839" s="9" t="s">
        <v>11940</v>
      </c>
      <c r="K2839" s="9" t="s">
        <v>11941</v>
      </c>
      <c r="L2839" s="9" t="s">
        <v>30</v>
      </c>
      <c r="M2839" s="9" t="s">
        <v>31</v>
      </c>
      <c r="N2839" s="9" t="s">
        <v>32</v>
      </c>
      <c r="O2839" s="12" t="s">
        <v>33</v>
      </c>
      <c r="P2839" s="12" t="s">
        <v>34</v>
      </c>
      <c r="Q2839" s="9"/>
      <c r="R2839" s="18"/>
      <c r="S2839" s="18"/>
      <c r="T2839" s="18"/>
      <c r="U2839" s="18"/>
      <c r="V2839" s="18"/>
      <c r="W2839" s="15"/>
      <c r="X2839" s="15"/>
    </row>
    <row r="2840">
      <c r="A2840" s="7">
        <v>2839.0</v>
      </c>
      <c r="B2840" s="8" t="s">
        <v>11942</v>
      </c>
      <c r="C2840" s="9" t="s">
        <v>11943</v>
      </c>
      <c r="D2840" s="10" t="str">
        <f>HYPERLINK("https://facebook.com/367089020688300_558765778187289", "367089020688300_558765778187289")</f>
        <v>367089020688300_558765778187289</v>
      </c>
      <c r="E2840" s="11">
        <v>3.0</v>
      </c>
      <c r="F2840" s="11">
        <v>0.0</v>
      </c>
      <c r="G2840" s="11">
        <v>1.0</v>
      </c>
      <c r="H2840" s="9" t="s">
        <v>26</v>
      </c>
      <c r="I2840" s="9" t="s">
        <v>11944</v>
      </c>
      <c r="J2840" s="9" t="s">
        <v>11945</v>
      </c>
      <c r="K2840" s="9" t="s">
        <v>363</v>
      </c>
      <c r="L2840" s="9" t="s">
        <v>30</v>
      </c>
      <c r="M2840" s="9" t="s">
        <v>31</v>
      </c>
      <c r="N2840" s="9" t="s">
        <v>32</v>
      </c>
      <c r="O2840" s="12" t="s">
        <v>33</v>
      </c>
      <c r="P2840" s="12" t="s">
        <v>34</v>
      </c>
      <c r="Q2840" s="9"/>
      <c r="R2840" s="18"/>
      <c r="S2840" s="18"/>
      <c r="T2840" s="18"/>
      <c r="U2840" s="18"/>
      <c r="V2840" s="18"/>
      <c r="W2840" s="15"/>
      <c r="X2840" s="15"/>
    </row>
    <row r="2841">
      <c r="A2841" s="7">
        <v>2840.0</v>
      </c>
      <c r="B2841" s="8" t="s">
        <v>11946</v>
      </c>
      <c r="C2841" s="9" t="s">
        <v>11947</v>
      </c>
      <c r="D2841" s="10" t="str">
        <f>HYPERLINK("https://facebook.com/367089020688300_400551394008729", "367089020688300_400551394008729")</f>
        <v>367089020688300_400551394008729</v>
      </c>
      <c r="E2841" s="11">
        <v>1157.0</v>
      </c>
      <c r="F2841" s="11">
        <v>47.0</v>
      </c>
      <c r="G2841" s="11">
        <v>869.0</v>
      </c>
      <c r="H2841" s="9" t="s">
        <v>26</v>
      </c>
      <c r="I2841" s="9" t="s">
        <v>127</v>
      </c>
      <c r="J2841" s="9" t="s">
        <v>128</v>
      </c>
      <c r="K2841" s="9" t="s">
        <v>11948</v>
      </c>
      <c r="L2841" s="9" t="s">
        <v>30</v>
      </c>
      <c r="M2841" s="9" t="s">
        <v>31</v>
      </c>
      <c r="N2841" s="9" t="s">
        <v>32</v>
      </c>
      <c r="O2841" s="12" t="s">
        <v>33</v>
      </c>
      <c r="P2841" s="12" t="s">
        <v>34</v>
      </c>
      <c r="Q2841" s="9"/>
      <c r="R2841" s="18"/>
      <c r="S2841" s="18"/>
      <c r="T2841" s="18"/>
      <c r="U2841" s="18"/>
      <c r="V2841" s="18"/>
      <c r="W2841" s="15"/>
      <c r="X2841" s="15"/>
    </row>
    <row r="2842">
      <c r="A2842" s="7">
        <v>2841.0</v>
      </c>
      <c r="B2842" s="8" t="s">
        <v>11949</v>
      </c>
      <c r="C2842" s="9" t="s">
        <v>11950</v>
      </c>
      <c r="D2842" s="10" t="str">
        <f>HYPERLINK("https://facebook.com/367089020688300_546650299398837", "367089020688300_546650299398837")</f>
        <v>367089020688300_546650299398837</v>
      </c>
      <c r="E2842" s="11">
        <v>74.0</v>
      </c>
      <c r="F2842" s="11">
        <v>3.0</v>
      </c>
      <c r="G2842" s="11">
        <v>35.0</v>
      </c>
      <c r="H2842" s="9" t="s">
        <v>26</v>
      </c>
      <c r="I2842" s="9" t="s">
        <v>979</v>
      </c>
      <c r="J2842" s="16" t="s">
        <v>11951</v>
      </c>
      <c r="K2842" s="9"/>
      <c r="L2842" s="9" t="s">
        <v>30</v>
      </c>
      <c r="M2842" s="9" t="s">
        <v>31</v>
      </c>
      <c r="N2842" s="9" t="s">
        <v>32</v>
      </c>
      <c r="O2842" s="12" t="s">
        <v>33</v>
      </c>
      <c r="P2842" s="12" t="s">
        <v>34</v>
      </c>
      <c r="Q2842" s="9"/>
      <c r="R2842" s="18"/>
      <c r="S2842" s="18"/>
      <c r="T2842" s="18"/>
      <c r="U2842" s="18"/>
      <c r="V2842" s="18"/>
      <c r="W2842" s="15"/>
      <c r="X2842" s="15"/>
    </row>
    <row r="2843">
      <c r="A2843" s="7">
        <v>2842.0</v>
      </c>
      <c r="B2843" s="8" t="s">
        <v>11952</v>
      </c>
      <c r="C2843" s="9" t="s">
        <v>11953</v>
      </c>
      <c r="D2843" s="10" t="str">
        <f>HYPERLINK("https://facebook.com/367089020688300_551356265594907", "367089020688300_551356265594907")</f>
        <v>367089020688300_551356265594907</v>
      </c>
      <c r="E2843" s="11">
        <v>2218.0</v>
      </c>
      <c r="F2843" s="11">
        <v>153.0</v>
      </c>
      <c r="G2843" s="11">
        <v>800.0</v>
      </c>
      <c r="H2843" s="9" t="s">
        <v>26</v>
      </c>
      <c r="I2843" s="9" t="s">
        <v>11954</v>
      </c>
      <c r="J2843" s="9" t="s">
        <v>11955</v>
      </c>
      <c r="K2843" s="9" t="s">
        <v>11956</v>
      </c>
      <c r="L2843" s="9" t="s">
        <v>30</v>
      </c>
      <c r="M2843" s="9" t="s">
        <v>31</v>
      </c>
      <c r="N2843" s="9" t="s">
        <v>32</v>
      </c>
      <c r="O2843" s="12" t="s">
        <v>33</v>
      </c>
      <c r="P2843" s="12" t="s">
        <v>34</v>
      </c>
      <c r="Q2843" s="9"/>
      <c r="R2843" s="18"/>
      <c r="S2843" s="18"/>
      <c r="T2843" s="18"/>
      <c r="U2843" s="18"/>
      <c r="V2843" s="18"/>
      <c r="W2843" s="15"/>
      <c r="X2843" s="15"/>
    </row>
    <row r="2844">
      <c r="A2844" s="7">
        <v>2843.0</v>
      </c>
      <c r="B2844" s="8" t="s">
        <v>11957</v>
      </c>
      <c r="C2844" s="9" t="s">
        <v>11958</v>
      </c>
      <c r="D2844" s="10" t="str">
        <f>HYPERLINK("https://facebook.com/367089020688300_448927982504403", "367089020688300_448927982504403")</f>
        <v>367089020688300_448927982504403</v>
      </c>
      <c r="E2844" s="11">
        <v>3209.0</v>
      </c>
      <c r="F2844" s="11">
        <v>61.0</v>
      </c>
      <c r="G2844" s="11">
        <v>1583.0</v>
      </c>
      <c r="H2844" s="9" t="s">
        <v>26</v>
      </c>
      <c r="I2844" s="9" t="s">
        <v>11959</v>
      </c>
      <c r="J2844" s="9" t="s">
        <v>11960</v>
      </c>
      <c r="K2844" s="9" t="s">
        <v>11961</v>
      </c>
      <c r="L2844" s="9" t="s">
        <v>30</v>
      </c>
      <c r="M2844" s="9" t="s">
        <v>31</v>
      </c>
      <c r="N2844" s="9" t="s">
        <v>32</v>
      </c>
      <c r="O2844" s="12" t="s">
        <v>33</v>
      </c>
      <c r="P2844" s="12" t="s">
        <v>34</v>
      </c>
      <c r="Q2844" s="9"/>
      <c r="R2844" s="18"/>
      <c r="S2844" s="18"/>
      <c r="T2844" s="18"/>
      <c r="U2844" s="18"/>
      <c r="V2844" s="18"/>
      <c r="W2844" s="15"/>
      <c r="X2844" s="15"/>
    </row>
    <row r="2845">
      <c r="A2845" s="7">
        <v>2844.0</v>
      </c>
      <c r="B2845" s="8" t="s">
        <v>11962</v>
      </c>
      <c r="C2845" s="9" t="s">
        <v>11963</v>
      </c>
      <c r="D2845" s="10" t="str">
        <f>HYPERLINK("https://facebook.com/367089020688300_544543706276163", "367089020688300_544543706276163")</f>
        <v>367089020688300_544543706276163</v>
      </c>
      <c r="E2845" s="11">
        <v>76.0</v>
      </c>
      <c r="F2845" s="11">
        <v>2.0</v>
      </c>
      <c r="G2845" s="11">
        <v>57.0</v>
      </c>
      <c r="H2845" s="9" t="s">
        <v>26</v>
      </c>
      <c r="I2845" s="9" t="s">
        <v>1510</v>
      </c>
      <c r="J2845" s="16" t="s">
        <v>11964</v>
      </c>
      <c r="K2845" s="9"/>
      <c r="L2845" s="9" t="s">
        <v>30</v>
      </c>
      <c r="M2845" s="9" t="s">
        <v>31</v>
      </c>
      <c r="N2845" s="9" t="s">
        <v>32</v>
      </c>
      <c r="O2845" s="12" t="s">
        <v>33</v>
      </c>
      <c r="P2845" s="12" t="s">
        <v>34</v>
      </c>
      <c r="Q2845" s="9"/>
      <c r="R2845" s="18"/>
      <c r="S2845" s="18"/>
      <c r="T2845" s="18"/>
      <c r="U2845" s="18"/>
      <c r="V2845" s="18"/>
      <c r="W2845" s="15"/>
      <c r="X2845" s="15"/>
    </row>
    <row r="2846">
      <c r="A2846" s="7">
        <v>2845.0</v>
      </c>
      <c r="B2846" s="8" t="s">
        <v>11965</v>
      </c>
      <c r="C2846" s="9" t="s">
        <v>11966</v>
      </c>
      <c r="D2846" s="10" t="str">
        <f>HYPERLINK("https://facebook.com/367089020688300_563500297713837", "367089020688300_563500297713837")</f>
        <v>367089020688300_563500297713837</v>
      </c>
      <c r="E2846" s="11">
        <v>2.0</v>
      </c>
      <c r="F2846" s="11">
        <v>0.0</v>
      </c>
      <c r="G2846" s="11">
        <v>2.0</v>
      </c>
      <c r="H2846" s="9" t="s">
        <v>26</v>
      </c>
      <c r="I2846" s="9" t="s">
        <v>11967</v>
      </c>
      <c r="J2846" s="9" t="s">
        <v>11968</v>
      </c>
      <c r="K2846" s="9" t="s">
        <v>11969</v>
      </c>
      <c r="L2846" s="9" t="s">
        <v>30</v>
      </c>
      <c r="M2846" s="9" t="s">
        <v>31</v>
      </c>
      <c r="N2846" s="9" t="s">
        <v>32</v>
      </c>
      <c r="O2846" s="12" t="s">
        <v>33</v>
      </c>
      <c r="P2846" s="12" t="s">
        <v>34</v>
      </c>
      <c r="Q2846" s="9"/>
      <c r="R2846" s="18"/>
      <c r="S2846" s="18"/>
      <c r="T2846" s="18"/>
      <c r="U2846" s="18"/>
      <c r="V2846" s="18"/>
      <c r="W2846" s="15"/>
      <c r="X2846" s="15"/>
    </row>
    <row r="2847">
      <c r="A2847" s="7">
        <v>2846.0</v>
      </c>
      <c r="B2847" s="8" t="s">
        <v>11970</v>
      </c>
      <c r="C2847" s="9" t="s">
        <v>11971</v>
      </c>
      <c r="D2847" s="10" t="str">
        <f>HYPERLINK("https://facebook.com/367089020688300_517314668999067", "367089020688300_517314668999067")</f>
        <v>367089020688300_517314668999067</v>
      </c>
      <c r="E2847" s="11">
        <v>495.0</v>
      </c>
      <c r="F2847" s="11">
        <v>12.0</v>
      </c>
      <c r="G2847" s="11">
        <v>339.0</v>
      </c>
      <c r="H2847" s="9" t="s">
        <v>26</v>
      </c>
      <c r="I2847" s="9" t="s">
        <v>11972</v>
      </c>
      <c r="J2847" s="16" t="s">
        <v>11973</v>
      </c>
      <c r="K2847" s="9"/>
      <c r="L2847" s="9" t="s">
        <v>30</v>
      </c>
      <c r="M2847" s="9" t="s">
        <v>31</v>
      </c>
      <c r="N2847" s="9" t="s">
        <v>32</v>
      </c>
      <c r="O2847" s="12" t="s">
        <v>33</v>
      </c>
      <c r="P2847" s="12" t="s">
        <v>34</v>
      </c>
      <c r="Q2847" s="9"/>
      <c r="R2847" s="18"/>
      <c r="S2847" s="18"/>
      <c r="T2847" s="18"/>
      <c r="U2847" s="18"/>
      <c r="V2847" s="18"/>
      <c r="W2847" s="15"/>
      <c r="X2847" s="15"/>
    </row>
    <row r="2848">
      <c r="A2848" s="7">
        <v>2847.0</v>
      </c>
      <c r="B2848" s="8" t="s">
        <v>11974</v>
      </c>
      <c r="C2848" s="9" t="s">
        <v>11975</v>
      </c>
      <c r="D2848" s="10" t="str">
        <f>HYPERLINK("https://facebook.com/367089020688300_415932039137331", "367089020688300_415932039137331")</f>
        <v>367089020688300_415932039137331</v>
      </c>
      <c r="E2848" s="11">
        <v>522.0</v>
      </c>
      <c r="F2848" s="11">
        <v>31.0</v>
      </c>
      <c r="G2848" s="11">
        <v>699.0</v>
      </c>
      <c r="H2848" s="9" t="s">
        <v>26</v>
      </c>
      <c r="I2848" s="9" t="s">
        <v>11976</v>
      </c>
      <c r="J2848" s="9" t="s">
        <v>11977</v>
      </c>
      <c r="K2848" s="9" t="s">
        <v>11978</v>
      </c>
      <c r="L2848" s="9" t="s">
        <v>30</v>
      </c>
      <c r="M2848" s="9" t="s">
        <v>31</v>
      </c>
      <c r="N2848" s="9" t="s">
        <v>32</v>
      </c>
      <c r="O2848" s="12" t="s">
        <v>33</v>
      </c>
      <c r="P2848" s="12" t="s">
        <v>34</v>
      </c>
      <c r="Q2848" s="9"/>
      <c r="R2848" s="18"/>
      <c r="S2848" s="18"/>
      <c r="T2848" s="18"/>
      <c r="U2848" s="18"/>
      <c r="V2848" s="18"/>
      <c r="W2848" s="15"/>
      <c r="X2848" s="15"/>
    </row>
    <row r="2849">
      <c r="A2849" s="7">
        <v>2848.0</v>
      </c>
      <c r="B2849" s="8" t="s">
        <v>11979</v>
      </c>
      <c r="C2849" s="9" t="s">
        <v>11980</v>
      </c>
      <c r="D2849" s="10" t="str">
        <f>HYPERLINK("https://facebook.com/367089020688300_537918086938725", "367089020688300_537918086938725")</f>
        <v>367089020688300_537918086938725</v>
      </c>
      <c r="E2849" s="11">
        <v>51.0</v>
      </c>
      <c r="F2849" s="11">
        <v>0.0</v>
      </c>
      <c r="G2849" s="11">
        <v>8.0</v>
      </c>
      <c r="H2849" s="9" t="s">
        <v>26</v>
      </c>
      <c r="I2849" s="9" t="s">
        <v>11981</v>
      </c>
      <c r="J2849" s="16" t="s">
        <v>11982</v>
      </c>
      <c r="K2849" s="9"/>
      <c r="L2849" s="9" t="s">
        <v>30</v>
      </c>
      <c r="M2849" s="9" t="s">
        <v>31</v>
      </c>
      <c r="N2849" s="9" t="s">
        <v>32</v>
      </c>
      <c r="O2849" s="12" t="s">
        <v>33</v>
      </c>
      <c r="P2849" s="12" t="s">
        <v>34</v>
      </c>
      <c r="Q2849" s="9"/>
      <c r="R2849" s="18"/>
      <c r="S2849" s="18"/>
      <c r="T2849" s="18"/>
      <c r="U2849" s="18"/>
      <c r="V2849" s="18"/>
      <c r="W2849" s="15"/>
      <c r="X2849" s="15"/>
    </row>
    <row r="2850">
      <c r="A2850" s="7">
        <v>2849.0</v>
      </c>
      <c r="B2850" s="8" t="s">
        <v>11983</v>
      </c>
      <c r="C2850" s="9" t="s">
        <v>11984</v>
      </c>
      <c r="D2850" s="10" t="str">
        <f>HYPERLINK("https://facebook.com/367089020688300_548095839254283", "367089020688300_548095839254283")</f>
        <v>367089020688300_548095839254283</v>
      </c>
      <c r="E2850" s="11">
        <v>9.0</v>
      </c>
      <c r="F2850" s="11">
        <v>0.0</v>
      </c>
      <c r="G2850" s="11">
        <v>7.0</v>
      </c>
      <c r="H2850" s="9" t="s">
        <v>26</v>
      </c>
      <c r="I2850" s="9" t="s">
        <v>11985</v>
      </c>
      <c r="J2850" s="9" t="s">
        <v>11986</v>
      </c>
      <c r="K2850" s="9" t="s">
        <v>11987</v>
      </c>
      <c r="L2850" s="9" t="s">
        <v>30</v>
      </c>
      <c r="M2850" s="9" t="s">
        <v>31</v>
      </c>
      <c r="N2850" s="9" t="s">
        <v>32</v>
      </c>
      <c r="O2850" s="12" t="s">
        <v>33</v>
      </c>
      <c r="P2850" s="12" t="s">
        <v>34</v>
      </c>
      <c r="Q2850" s="9"/>
      <c r="R2850" s="18"/>
      <c r="S2850" s="18"/>
      <c r="T2850" s="18"/>
      <c r="U2850" s="18"/>
      <c r="V2850" s="18"/>
      <c r="W2850" s="15"/>
      <c r="X2850" s="15"/>
    </row>
    <row r="2851">
      <c r="A2851" s="7">
        <v>2850.0</v>
      </c>
      <c r="B2851" s="8" t="s">
        <v>11988</v>
      </c>
      <c r="C2851" s="9" t="s">
        <v>11989</v>
      </c>
      <c r="D2851" s="10" t="str">
        <f>HYPERLINK("https://facebook.com/367089020688300_394995777897624", "367089020688300_394995777897624")</f>
        <v>367089020688300_394995777897624</v>
      </c>
      <c r="E2851" s="11">
        <v>83.0</v>
      </c>
      <c r="F2851" s="11">
        <v>0.0</v>
      </c>
      <c r="G2851" s="11">
        <v>64.0</v>
      </c>
      <c r="H2851" s="9" t="s">
        <v>26</v>
      </c>
      <c r="I2851" s="9" t="s">
        <v>11990</v>
      </c>
      <c r="J2851" s="9" t="s">
        <v>11991</v>
      </c>
      <c r="K2851" s="9" t="s">
        <v>9552</v>
      </c>
      <c r="L2851" s="9" t="s">
        <v>30</v>
      </c>
      <c r="M2851" s="9" t="s">
        <v>31</v>
      </c>
      <c r="N2851" s="9" t="s">
        <v>32</v>
      </c>
      <c r="O2851" s="12" t="s">
        <v>33</v>
      </c>
      <c r="P2851" s="12" t="s">
        <v>34</v>
      </c>
      <c r="Q2851" s="9"/>
      <c r="R2851" s="18"/>
      <c r="S2851" s="18"/>
      <c r="T2851" s="18"/>
      <c r="U2851" s="18"/>
      <c r="V2851" s="18"/>
      <c r="W2851" s="15"/>
      <c r="X2851" s="15"/>
    </row>
    <row r="2852">
      <c r="A2852" s="7">
        <v>2851.0</v>
      </c>
      <c r="B2852" s="8" t="s">
        <v>11992</v>
      </c>
      <c r="C2852" s="9" t="s">
        <v>11993</v>
      </c>
      <c r="D2852" s="10" t="str">
        <f>HYPERLINK("https://facebook.com/367089020688300_529050074492193", "367089020688300_529050074492193")</f>
        <v>367089020688300_529050074492193</v>
      </c>
      <c r="E2852" s="11">
        <v>151.0</v>
      </c>
      <c r="F2852" s="11">
        <v>0.0</v>
      </c>
      <c r="G2852" s="11">
        <v>128.0</v>
      </c>
      <c r="H2852" s="9" t="s">
        <v>26</v>
      </c>
      <c r="I2852" s="9" t="s">
        <v>6481</v>
      </c>
      <c r="J2852" s="16" t="s">
        <v>11994</v>
      </c>
      <c r="K2852" s="9"/>
      <c r="L2852" s="9" t="s">
        <v>30</v>
      </c>
      <c r="M2852" s="9" t="s">
        <v>31</v>
      </c>
      <c r="N2852" s="9" t="s">
        <v>32</v>
      </c>
      <c r="O2852" s="12" t="s">
        <v>33</v>
      </c>
      <c r="P2852" s="12" t="s">
        <v>34</v>
      </c>
      <c r="Q2852" s="9"/>
      <c r="R2852" s="18"/>
      <c r="S2852" s="18"/>
      <c r="T2852" s="18"/>
      <c r="U2852" s="18"/>
      <c r="V2852" s="18"/>
      <c r="W2852" s="15"/>
      <c r="X2852" s="15"/>
    </row>
    <row r="2853">
      <c r="A2853" s="7">
        <v>2852.0</v>
      </c>
      <c r="B2853" s="8" t="s">
        <v>11995</v>
      </c>
      <c r="C2853" s="9" t="s">
        <v>11996</v>
      </c>
      <c r="D2853" s="10" t="str">
        <f>HYPERLINK("https://facebook.com/367089020688300_471125290284672", "367089020688300_471125290284672")</f>
        <v>367089020688300_471125290284672</v>
      </c>
      <c r="E2853" s="11">
        <v>248.0</v>
      </c>
      <c r="F2853" s="11">
        <v>6.0</v>
      </c>
      <c r="G2853" s="11">
        <v>263.0</v>
      </c>
      <c r="H2853" s="9" t="s">
        <v>26</v>
      </c>
      <c r="I2853" s="9" t="s">
        <v>11997</v>
      </c>
      <c r="J2853" s="9" t="s">
        <v>11998</v>
      </c>
      <c r="K2853" s="9" t="s">
        <v>9807</v>
      </c>
      <c r="L2853" s="9" t="s">
        <v>30</v>
      </c>
      <c r="M2853" s="9" t="s">
        <v>31</v>
      </c>
      <c r="N2853" s="9" t="s">
        <v>32</v>
      </c>
      <c r="O2853" s="12" t="s">
        <v>33</v>
      </c>
      <c r="P2853" s="12" t="s">
        <v>34</v>
      </c>
      <c r="Q2853" s="9"/>
      <c r="R2853" s="18"/>
      <c r="S2853" s="18"/>
      <c r="T2853" s="18"/>
      <c r="U2853" s="18"/>
      <c r="V2853" s="18"/>
      <c r="W2853" s="15"/>
      <c r="X2853" s="15"/>
    </row>
    <row r="2854">
      <c r="A2854" s="7">
        <v>2853.0</v>
      </c>
      <c r="B2854" s="8" t="s">
        <v>11999</v>
      </c>
      <c r="C2854" s="9" t="s">
        <v>12000</v>
      </c>
      <c r="D2854" s="10" t="str">
        <f>HYPERLINK("https://facebook.com/367089020688300_446371119426756", "367089020688300_446371119426756")</f>
        <v>367089020688300_446371119426756</v>
      </c>
      <c r="E2854" s="11">
        <v>43.0</v>
      </c>
      <c r="F2854" s="11">
        <v>0.0</v>
      </c>
      <c r="G2854" s="11">
        <v>50.0</v>
      </c>
      <c r="H2854" s="9" t="s">
        <v>26</v>
      </c>
      <c r="I2854" s="9" t="s">
        <v>12001</v>
      </c>
      <c r="J2854" s="9" t="s">
        <v>12002</v>
      </c>
      <c r="K2854" s="9" t="s">
        <v>12003</v>
      </c>
      <c r="L2854" s="9" t="s">
        <v>30</v>
      </c>
      <c r="M2854" s="9" t="s">
        <v>31</v>
      </c>
      <c r="N2854" s="9" t="s">
        <v>32</v>
      </c>
      <c r="O2854" s="12" t="s">
        <v>33</v>
      </c>
      <c r="P2854" s="12" t="s">
        <v>34</v>
      </c>
      <c r="Q2854" s="9"/>
      <c r="R2854" s="18"/>
      <c r="S2854" s="18"/>
      <c r="T2854" s="18"/>
      <c r="U2854" s="18"/>
      <c r="V2854" s="18"/>
      <c r="W2854" s="15"/>
      <c r="X2854" s="15"/>
    </row>
    <row r="2855">
      <c r="A2855" s="7">
        <v>2854.0</v>
      </c>
      <c r="B2855" s="8" t="s">
        <v>12004</v>
      </c>
      <c r="C2855" s="9" t="s">
        <v>12005</v>
      </c>
      <c r="D2855" s="10" t="str">
        <f>HYPERLINK("https://facebook.com/367089020688300_544055969658270", "367089020688300_544055969658270")</f>
        <v>367089020688300_544055969658270</v>
      </c>
      <c r="E2855" s="11">
        <v>6.0</v>
      </c>
      <c r="F2855" s="11">
        <v>0.0</v>
      </c>
      <c r="G2855" s="11">
        <v>8.0</v>
      </c>
      <c r="H2855" s="9" t="s">
        <v>26</v>
      </c>
      <c r="I2855" s="9" t="s">
        <v>12006</v>
      </c>
      <c r="J2855" s="16" t="s">
        <v>12007</v>
      </c>
      <c r="K2855" s="9"/>
      <c r="L2855" s="9" t="s">
        <v>30</v>
      </c>
      <c r="M2855" s="9" t="s">
        <v>31</v>
      </c>
      <c r="N2855" s="9" t="s">
        <v>32</v>
      </c>
      <c r="O2855" s="12" t="s">
        <v>33</v>
      </c>
      <c r="P2855" s="12" t="s">
        <v>34</v>
      </c>
      <c r="Q2855" s="9"/>
      <c r="R2855" s="18"/>
      <c r="S2855" s="18"/>
      <c r="T2855" s="18"/>
      <c r="U2855" s="18"/>
      <c r="V2855" s="18"/>
      <c r="W2855" s="15"/>
      <c r="X2855" s="15"/>
    </row>
    <row r="2856">
      <c r="A2856" s="7">
        <v>2855.0</v>
      </c>
      <c r="B2856" s="8" t="s">
        <v>12008</v>
      </c>
      <c r="C2856" s="9" t="s">
        <v>12009</v>
      </c>
      <c r="D2856" s="10" t="str">
        <f>HYPERLINK("https://facebook.com/367089020688300_543564643040736", "367089020688300_543564643040736")</f>
        <v>367089020688300_543564643040736</v>
      </c>
      <c r="E2856" s="11">
        <v>6.0</v>
      </c>
      <c r="F2856" s="11">
        <v>0.0</v>
      </c>
      <c r="G2856" s="11">
        <v>1.0</v>
      </c>
      <c r="H2856" s="9" t="s">
        <v>26</v>
      </c>
      <c r="I2856" s="9" t="s">
        <v>743</v>
      </c>
      <c r="J2856" s="16" t="s">
        <v>12010</v>
      </c>
      <c r="K2856" s="9"/>
      <c r="L2856" s="9" t="s">
        <v>30</v>
      </c>
      <c r="M2856" s="9" t="s">
        <v>31</v>
      </c>
      <c r="N2856" s="9" t="s">
        <v>32</v>
      </c>
      <c r="O2856" s="12" t="s">
        <v>33</v>
      </c>
      <c r="P2856" s="12" t="s">
        <v>34</v>
      </c>
      <c r="Q2856" s="9"/>
      <c r="R2856" s="18"/>
      <c r="S2856" s="18"/>
      <c r="T2856" s="18"/>
      <c r="U2856" s="18"/>
      <c r="V2856" s="18"/>
      <c r="W2856" s="15"/>
      <c r="X2856" s="15"/>
    </row>
    <row r="2857">
      <c r="A2857" s="7">
        <v>2856.0</v>
      </c>
      <c r="B2857" s="8" t="s">
        <v>12011</v>
      </c>
      <c r="C2857" s="9" t="s">
        <v>12012</v>
      </c>
      <c r="D2857" s="10" t="str">
        <f>HYPERLINK("https://facebook.com/367089020688300_500212997375901", "367089020688300_500212997375901")</f>
        <v>367089020688300_500212997375901</v>
      </c>
      <c r="E2857" s="11">
        <v>237.0</v>
      </c>
      <c r="F2857" s="11">
        <v>8.0</v>
      </c>
      <c r="G2857" s="11">
        <v>462.0</v>
      </c>
      <c r="H2857" s="9" t="s">
        <v>26</v>
      </c>
      <c r="I2857" s="9" t="s">
        <v>12013</v>
      </c>
      <c r="J2857" s="9" t="s">
        <v>12014</v>
      </c>
      <c r="K2857" s="9" t="s">
        <v>4812</v>
      </c>
      <c r="L2857" s="9" t="s">
        <v>30</v>
      </c>
      <c r="M2857" s="9" t="s">
        <v>31</v>
      </c>
      <c r="N2857" s="9" t="s">
        <v>32</v>
      </c>
      <c r="O2857" s="12" t="s">
        <v>33</v>
      </c>
      <c r="P2857" s="12" t="s">
        <v>34</v>
      </c>
      <c r="Q2857" s="9"/>
      <c r="R2857" s="18"/>
      <c r="S2857" s="18"/>
      <c r="T2857" s="18"/>
      <c r="U2857" s="18"/>
      <c r="V2857" s="18"/>
      <c r="W2857" s="15"/>
      <c r="X2857" s="15"/>
    </row>
    <row r="2858">
      <c r="A2858" s="7">
        <v>2857.0</v>
      </c>
      <c r="B2858" s="8" t="s">
        <v>12015</v>
      </c>
      <c r="C2858" s="9" t="s">
        <v>12016</v>
      </c>
      <c r="D2858" s="10" t="str">
        <f>HYPERLINK("https://facebook.com/367089020688300_554043545326179", "367089020688300_554043545326179")</f>
        <v>367089020688300_554043545326179</v>
      </c>
      <c r="E2858" s="11">
        <v>41.0</v>
      </c>
      <c r="F2858" s="11">
        <v>0.0</v>
      </c>
      <c r="G2858" s="11">
        <v>47.0</v>
      </c>
      <c r="H2858" s="9" t="s">
        <v>26</v>
      </c>
      <c r="I2858" s="9" t="s">
        <v>12017</v>
      </c>
      <c r="J2858" s="16" t="s">
        <v>12018</v>
      </c>
      <c r="K2858" s="9"/>
      <c r="L2858" s="9" t="s">
        <v>30</v>
      </c>
      <c r="M2858" s="9" t="s">
        <v>31</v>
      </c>
      <c r="N2858" s="9" t="s">
        <v>32</v>
      </c>
      <c r="O2858" s="12" t="s">
        <v>33</v>
      </c>
      <c r="P2858" s="12" t="s">
        <v>34</v>
      </c>
      <c r="Q2858" s="9"/>
      <c r="R2858" s="18"/>
      <c r="S2858" s="18"/>
      <c r="T2858" s="18"/>
      <c r="U2858" s="18"/>
      <c r="V2858" s="18"/>
      <c r="W2858" s="15"/>
      <c r="X2858" s="15"/>
    </row>
    <row r="2859">
      <c r="A2859" s="7">
        <v>2858.0</v>
      </c>
      <c r="B2859" s="8" t="s">
        <v>12019</v>
      </c>
      <c r="C2859" s="9" t="s">
        <v>12020</v>
      </c>
      <c r="D2859" s="10" t="str">
        <f>HYPERLINK("https://facebook.com/367089020688300_368371470560055", "367089020688300_368371470560055")</f>
        <v>367089020688300_368371470560055</v>
      </c>
      <c r="E2859" s="11">
        <v>673.0</v>
      </c>
      <c r="F2859" s="11">
        <v>33.0</v>
      </c>
      <c r="G2859" s="11">
        <v>801.0</v>
      </c>
      <c r="H2859" s="9" t="s">
        <v>26</v>
      </c>
      <c r="I2859" s="9" t="s">
        <v>12021</v>
      </c>
      <c r="J2859" s="9" t="s">
        <v>12022</v>
      </c>
      <c r="K2859" s="9" t="s">
        <v>12023</v>
      </c>
      <c r="L2859" s="9" t="s">
        <v>30</v>
      </c>
      <c r="M2859" s="9" t="s">
        <v>31</v>
      </c>
      <c r="N2859" s="9" t="s">
        <v>32</v>
      </c>
      <c r="O2859" s="12" t="s">
        <v>33</v>
      </c>
      <c r="P2859" s="12" t="s">
        <v>34</v>
      </c>
      <c r="Q2859" s="9"/>
      <c r="R2859" s="18"/>
      <c r="S2859" s="18"/>
      <c r="T2859" s="18"/>
      <c r="U2859" s="18"/>
      <c r="V2859" s="18"/>
      <c r="W2859" s="15"/>
      <c r="X2859" s="15"/>
    </row>
    <row r="2860">
      <c r="A2860" s="7">
        <v>2859.0</v>
      </c>
      <c r="B2860" s="8" t="s">
        <v>12024</v>
      </c>
      <c r="C2860" s="9" t="s">
        <v>12025</v>
      </c>
      <c r="D2860" s="10" t="str">
        <f>HYPERLINK("https://facebook.com/367089020688300_527101774687023", "367089020688300_527101774687023")</f>
        <v>367089020688300_527101774687023</v>
      </c>
      <c r="E2860" s="11">
        <v>57.0</v>
      </c>
      <c r="F2860" s="11">
        <v>2.0</v>
      </c>
      <c r="G2860" s="11">
        <v>19.0</v>
      </c>
      <c r="H2860" s="9" t="s">
        <v>26</v>
      </c>
      <c r="I2860" s="9" t="s">
        <v>12026</v>
      </c>
      <c r="J2860" s="9" t="s">
        <v>12027</v>
      </c>
      <c r="K2860" s="9" t="s">
        <v>12028</v>
      </c>
      <c r="L2860" s="9" t="s">
        <v>30</v>
      </c>
      <c r="M2860" s="9" t="s">
        <v>31</v>
      </c>
      <c r="N2860" s="9" t="s">
        <v>32</v>
      </c>
      <c r="O2860" s="12" t="s">
        <v>33</v>
      </c>
      <c r="P2860" s="12" t="s">
        <v>34</v>
      </c>
      <c r="Q2860" s="9"/>
      <c r="R2860" s="18"/>
      <c r="S2860" s="18"/>
      <c r="T2860" s="18"/>
      <c r="U2860" s="18"/>
      <c r="V2860" s="18"/>
      <c r="W2860" s="15"/>
      <c r="X2860" s="15"/>
    </row>
    <row r="2861">
      <c r="A2861" s="7">
        <v>2860.0</v>
      </c>
      <c r="B2861" s="8" t="s">
        <v>12029</v>
      </c>
      <c r="C2861" s="9" t="s">
        <v>12030</v>
      </c>
      <c r="D2861" s="10" t="str">
        <f>HYPERLINK("https://facebook.com/367089020688300_545827732814427", "367089020688300_545827732814427")</f>
        <v>367089020688300_545827732814427</v>
      </c>
      <c r="E2861" s="11">
        <v>116.0</v>
      </c>
      <c r="F2861" s="11">
        <v>5.0</v>
      </c>
      <c r="G2861" s="11">
        <v>86.0</v>
      </c>
      <c r="H2861" s="9" t="s">
        <v>26</v>
      </c>
      <c r="I2861" s="9" t="s">
        <v>12031</v>
      </c>
      <c r="J2861" s="16" t="s">
        <v>12032</v>
      </c>
      <c r="K2861" s="9"/>
      <c r="L2861" s="9" t="s">
        <v>30</v>
      </c>
      <c r="M2861" s="9" t="s">
        <v>31</v>
      </c>
      <c r="N2861" s="9" t="s">
        <v>32</v>
      </c>
      <c r="O2861" s="12" t="s">
        <v>33</v>
      </c>
      <c r="P2861" s="12" t="s">
        <v>34</v>
      </c>
      <c r="Q2861" s="9"/>
      <c r="R2861" s="18"/>
      <c r="S2861" s="18"/>
      <c r="T2861" s="18"/>
      <c r="U2861" s="18"/>
      <c r="V2861" s="18"/>
      <c r="W2861" s="15"/>
      <c r="X2861" s="15"/>
    </row>
    <row r="2862">
      <c r="A2862" s="7">
        <v>2861.0</v>
      </c>
      <c r="B2862" s="8" t="s">
        <v>12033</v>
      </c>
      <c r="C2862" s="9" t="s">
        <v>12034</v>
      </c>
      <c r="D2862" s="10" t="str">
        <f>HYPERLINK("https://facebook.com/367089020688300_551518008912066", "367089020688300_551518008912066")</f>
        <v>367089020688300_551518008912066</v>
      </c>
      <c r="E2862" s="11">
        <v>144.0</v>
      </c>
      <c r="F2862" s="11">
        <v>14.0</v>
      </c>
      <c r="G2862" s="11">
        <v>55.0</v>
      </c>
      <c r="H2862" s="9" t="s">
        <v>26</v>
      </c>
      <c r="I2862" s="9" t="s">
        <v>12035</v>
      </c>
      <c r="J2862" s="9" t="s">
        <v>12036</v>
      </c>
      <c r="K2862" s="9" t="s">
        <v>12037</v>
      </c>
      <c r="L2862" s="9" t="s">
        <v>30</v>
      </c>
      <c r="M2862" s="9" t="s">
        <v>31</v>
      </c>
      <c r="N2862" s="9" t="s">
        <v>32</v>
      </c>
      <c r="O2862" s="12" t="s">
        <v>33</v>
      </c>
      <c r="P2862" s="12" t="s">
        <v>34</v>
      </c>
      <c r="Q2862" s="9"/>
      <c r="R2862" s="18"/>
      <c r="S2862" s="18"/>
      <c r="T2862" s="18"/>
      <c r="U2862" s="18"/>
      <c r="V2862" s="18"/>
      <c r="W2862" s="15"/>
      <c r="X2862" s="15"/>
    </row>
    <row r="2863">
      <c r="A2863" s="7">
        <v>2862.0</v>
      </c>
      <c r="B2863" s="8" t="s">
        <v>12038</v>
      </c>
      <c r="C2863" s="9" t="s">
        <v>12039</v>
      </c>
      <c r="D2863" s="10" t="str">
        <f>HYPERLINK("https://facebook.com/367089020688300_512582142805653", "367089020688300_512582142805653")</f>
        <v>367089020688300_512582142805653</v>
      </c>
      <c r="E2863" s="11">
        <v>288.0</v>
      </c>
      <c r="F2863" s="11">
        <v>11.0</v>
      </c>
      <c r="G2863" s="11">
        <v>159.0</v>
      </c>
      <c r="H2863" s="9" t="s">
        <v>26</v>
      </c>
      <c r="I2863" s="9" t="s">
        <v>12040</v>
      </c>
      <c r="J2863" s="9" t="s">
        <v>12041</v>
      </c>
      <c r="K2863" s="9" t="s">
        <v>3928</v>
      </c>
      <c r="L2863" s="9" t="s">
        <v>30</v>
      </c>
      <c r="M2863" s="9" t="s">
        <v>31</v>
      </c>
      <c r="N2863" s="9" t="s">
        <v>32</v>
      </c>
      <c r="O2863" s="12" t="s">
        <v>33</v>
      </c>
      <c r="P2863" s="12" t="s">
        <v>34</v>
      </c>
      <c r="Q2863" s="9"/>
      <c r="R2863" s="18"/>
      <c r="S2863" s="18"/>
      <c r="T2863" s="18"/>
      <c r="U2863" s="18"/>
      <c r="V2863" s="18"/>
      <c r="W2863" s="15"/>
      <c r="X2863" s="15"/>
    </row>
    <row r="2864">
      <c r="A2864" s="7">
        <v>2863.0</v>
      </c>
      <c r="B2864" s="8" t="s">
        <v>12042</v>
      </c>
      <c r="C2864" s="9" t="s">
        <v>12043</v>
      </c>
      <c r="D2864" s="10" t="str">
        <f>HYPERLINK("https://facebook.com/367089020688300_515947595802441", "367089020688300_515947595802441")</f>
        <v>367089020688300_515947595802441</v>
      </c>
      <c r="E2864" s="11">
        <v>345.0</v>
      </c>
      <c r="F2864" s="11">
        <v>6.0</v>
      </c>
      <c r="G2864" s="11">
        <v>387.0</v>
      </c>
      <c r="H2864" s="9" t="s">
        <v>26</v>
      </c>
      <c r="I2864" s="9" t="s">
        <v>863</v>
      </c>
      <c r="J2864" s="9" t="s">
        <v>864</v>
      </c>
      <c r="K2864" s="9" t="s">
        <v>12044</v>
      </c>
      <c r="L2864" s="9" t="s">
        <v>30</v>
      </c>
      <c r="M2864" s="9" t="s">
        <v>31</v>
      </c>
      <c r="N2864" s="9" t="s">
        <v>32</v>
      </c>
      <c r="O2864" s="12" t="s">
        <v>33</v>
      </c>
      <c r="P2864" s="12" t="s">
        <v>34</v>
      </c>
      <c r="Q2864" s="9"/>
      <c r="R2864" s="18"/>
      <c r="S2864" s="18"/>
      <c r="T2864" s="18"/>
      <c r="U2864" s="18"/>
      <c r="V2864" s="18"/>
      <c r="W2864" s="15"/>
      <c r="X2864" s="15"/>
    </row>
    <row r="2865">
      <c r="A2865" s="7">
        <v>2864.0</v>
      </c>
      <c r="B2865" s="8" t="s">
        <v>12045</v>
      </c>
      <c r="C2865" s="9" t="s">
        <v>12046</v>
      </c>
      <c r="D2865" s="10" t="str">
        <f>HYPERLINK("https://facebook.com/367089020688300_538809680182899", "367089020688300_538809680182899")</f>
        <v>367089020688300_538809680182899</v>
      </c>
      <c r="E2865" s="11">
        <v>67.0</v>
      </c>
      <c r="F2865" s="11">
        <v>0.0</v>
      </c>
      <c r="G2865" s="11">
        <v>64.0</v>
      </c>
      <c r="H2865" s="9" t="s">
        <v>26</v>
      </c>
      <c r="I2865" s="9" t="s">
        <v>12047</v>
      </c>
      <c r="J2865" s="16" t="s">
        <v>12048</v>
      </c>
      <c r="K2865" s="9"/>
      <c r="L2865" s="9" t="s">
        <v>30</v>
      </c>
      <c r="M2865" s="9" t="s">
        <v>31</v>
      </c>
      <c r="N2865" s="9" t="s">
        <v>32</v>
      </c>
      <c r="O2865" s="12" t="s">
        <v>33</v>
      </c>
      <c r="P2865" s="12" t="s">
        <v>34</v>
      </c>
      <c r="Q2865" s="9"/>
      <c r="R2865" s="18"/>
      <c r="S2865" s="18"/>
      <c r="T2865" s="18"/>
      <c r="U2865" s="18"/>
      <c r="V2865" s="18"/>
      <c r="W2865" s="15"/>
      <c r="X2865" s="15"/>
    </row>
    <row r="2866">
      <c r="A2866" s="7">
        <v>2865.0</v>
      </c>
      <c r="B2866" s="8" t="s">
        <v>12049</v>
      </c>
      <c r="C2866" s="9" t="s">
        <v>12050</v>
      </c>
      <c r="D2866" s="10" t="str">
        <f>HYPERLINK("https://facebook.com/367089020688300_551626918901175", "367089020688300_551626918901175")</f>
        <v>367089020688300_551626918901175</v>
      </c>
      <c r="E2866" s="11">
        <v>28.0</v>
      </c>
      <c r="F2866" s="11">
        <v>0.0</v>
      </c>
      <c r="G2866" s="11">
        <v>48.0</v>
      </c>
      <c r="H2866" s="9" t="s">
        <v>26</v>
      </c>
      <c r="I2866" s="9" t="s">
        <v>706</v>
      </c>
      <c r="J2866" s="9" t="s">
        <v>12051</v>
      </c>
      <c r="K2866" s="9" t="s">
        <v>219</v>
      </c>
      <c r="L2866" s="9" t="s">
        <v>30</v>
      </c>
      <c r="M2866" s="9" t="s">
        <v>31</v>
      </c>
      <c r="N2866" s="9" t="s">
        <v>32</v>
      </c>
      <c r="O2866" s="12" t="s">
        <v>33</v>
      </c>
      <c r="P2866" s="12" t="s">
        <v>34</v>
      </c>
      <c r="Q2866" s="9"/>
      <c r="R2866" s="18"/>
      <c r="S2866" s="18"/>
      <c r="T2866" s="18"/>
      <c r="U2866" s="18"/>
      <c r="V2866" s="18"/>
      <c r="W2866" s="15"/>
      <c r="X2866" s="15"/>
    </row>
    <row r="2867">
      <c r="A2867" s="7">
        <v>2866.0</v>
      </c>
      <c r="B2867" s="8" t="s">
        <v>12052</v>
      </c>
      <c r="C2867" s="9" t="s">
        <v>12053</v>
      </c>
      <c r="D2867" s="10" t="str">
        <f>HYPERLINK("https://facebook.com/367089020688300_535598403837360", "367089020688300_535598403837360")</f>
        <v>367089020688300_535598403837360</v>
      </c>
      <c r="E2867" s="11">
        <v>19.0</v>
      </c>
      <c r="F2867" s="11">
        <v>1.0</v>
      </c>
      <c r="G2867" s="11">
        <v>23.0</v>
      </c>
      <c r="H2867" s="9" t="s">
        <v>26</v>
      </c>
      <c r="I2867" s="9" t="s">
        <v>12054</v>
      </c>
      <c r="J2867" s="9" t="s">
        <v>12055</v>
      </c>
      <c r="K2867" s="9" t="s">
        <v>12056</v>
      </c>
      <c r="L2867" s="9" t="s">
        <v>30</v>
      </c>
      <c r="M2867" s="9" t="s">
        <v>31</v>
      </c>
      <c r="N2867" s="9" t="s">
        <v>32</v>
      </c>
      <c r="O2867" s="12" t="s">
        <v>33</v>
      </c>
      <c r="P2867" s="12" t="s">
        <v>34</v>
      </c>
      <c r="Q2867" s="9"/>
      <c r="R2867" s="18"/>
      <c r="S2867" s="18"/>
      <c r="T2867" s="18"/>
      <c r="U2867" s="18"/>
      <c r="V2867" s="18"/>
      <c r="W2867" s="15"/>
      <c r="X2867" s="15"/>
    </row>
    <row r="2868">
      <c r="A2868" s="7">
        <v>2867.0</v>
      </c>
      <c r="B2868" s="8" t="s">
        <v>12057</v>
      </c>
      <c r="C2868" s="9" t="s">
        <v>12058</v>
      </c>
      <c r="D2868" s="10" t="str">
        <f>HYPERLINK("https://facebook.com/367089020688300_544070199656847", "367089020688300_544070199656847")</f>
        <v>367089020688300_544070199656847</v>
      </c>
      <c r="E2868" s="11">
        <v>30.0</v>
      </c>
      <c r="F2868" s="11">
        <v>0.0</v>
      </c>
      <c r="G2868" s="11">
        <v>20.0</v>
      </c>
      <c r="H2868" s="9" t="s">
        <v>26</v>
      </c>
      <c r="I2868" s="9" t="s">
        <v>12059</v>
      </c>
      <c r="J2868" s="16" t="s">
        <v>12060</v>
      </c>
      <c r="K2868" s="9"/>
      <c r="L2868" s="9" t="s">
        <v>30</v>
      </c>
      <c r="M2868" s="9" t="s">
        <v>31</v>
      </c>
      <c r="N2868" s="9" t="s">
        <v>32</v>
      </c>
      <c r="O2868" s="12" t="s">
        <v>33</v>
      </c>
      <c r="P2868" s="12" t="s">
        <v>34</v>
      </c>
      <c r="Q2868" s="9"/>
      <c r="R2868" s="18"/>
      <c r="S2868" s="18"/>
      <c r="T2868" s="18"/>
      <c r="U2868" s="18"/>
      <c r="V2868" s="18"/>
      <c r="W2868" s="15"/>
      <c r="X2868" s="15"/>
    </row>
    <row r="2869">
      <c r="A2869" s="7">
        <v>2868.0</v>
      </c>
      <c r="B2869" s="8" t="s">
        <v>12061</v>
      </c>
      <c r="C2869" s="9" t="s">
        <v>12062</v>
      </c>
      <c r="D2869" s="10" t="str">
        <f>HYPERLINK("https://facebook.com/367089020688300_454982628565605", "367089020688300_454982628565605")</f>
        <v>367089020688300_454982628565605</v>
      </c>
      <c r="E2869" s="11">
        <v>841.0</v>
      </c>
      <c r="F2869" s="11">
        <v>66.0</v>
      </c>
      <c r="G2869" s="11">
        <v>1041.0</v>
      </c>
      <c r="H2869" s="9" t="s">
        <v>26</v>
      </c>
      <c r="I2869" s="9" t="s">
        <v>11814</v>
      </c>
      <c r="J2869" s="9" t="s">
        <v>11815</v>
      </c>
      <c r="K2869" s="9" t="s">
        <v>12063</v>
      </c>
      <c r="L2869" s="9" t="s">
        <v>30</v>
      </c>
      <c r="M2869" s="9" t="s">
        <v>31</v>
      </c>
      <c r="N2869" s="9" t="s">
        <v>32</v>
      </c>
      <c r="O2869" s="12" t="s">
        <v>33</v>
      </c>
      <c r="P2869" s="12" t="s">
        <v>34</v>
      </c>
      <c r="Q2869" s="9"/>
      <c r="R2869" s="18"/>
      <c r="S2869" s="18"/>
      <c r="T2869" s="18"/>
      <c r="U2869" s="18"/>
      <c r="V2869" s="18"/>
      <c r="W2869" s="15"/>
      <c r="X2869" s="15"/>
    </row>
    <row r="2870">
      <c r="A2870" s="7">
        <v>2869.0</v>
      </c>
      <c r="B2870" s="8" t="s">
        <v>12064</v>
      </c>
      <c r="C2870" s="9" t="s">
        <v>12065</v>
      </c>
      <c r="D2870" s="10" t="str">
        <f>HYPERLINK("https://facebook.com/367089020688300_546792762717924", "367089020688300_546792762717924")</f>
        <v>367089020688300_546792762717924</v>
      </c>
      <c r="E2870" s="11">
        <v>31.0</v>
      </c>
      <c r="F2870" s="11">
        <v>0.0</v>
      </c>
      <c r="G2870" s="11">
        <v>14.0</v>
      </c>
      <c r="H2870" s="9" t="s">
        <v>26</v>
      </c>
      <c r="I2870" s="9" t="s">
        <v>12066</v>
      </c>
      <c r="J2870" s="9" t="s">
        <v>12067</v>
      </c>
      <c r="K2870" s="9" t="s">
        <v>2271</v>
      </c>
      <c r="L2870" s="9" t="s">
        <v>30</v>
      </c>
      <c r="M2870" s="9" t="s">
        <v>31</v>
      </c>
      <c r="N2870" s="9" t="s">
        <v>32</v>
      </c>
      <c r="O2870" s="12" t="s">
        <v>33</v>
      </c>
      <c r="P2870" s="12" t="s">
        <v>34</v>
      </c>
      <c r="Q2870" s="9"/>
      <c r="R2870" s="18"/>
      <c r="S2870" s="18"/>
      <c r="T2870" s="18"/>
      <c r="U2870" s="18"/>
      <c r="V2870" s="18"/>
      <c r="W2870" s="15"/>
      <c r="X2870" s="15"/>
    </row>
    <row r="2871">
      <c r="A2871" s="7">
        <v>2870.0</v>
      </c>
      <c r="B2871" s="8" t="s">
        <v>12068</v>
      </c>
      <c r="C2871" s="9" t="s">
        <v>12069</v>
      </c>
      <c r="D2871" s="10" t="str">
        <f>HYPERLINK("https://facebook.com/367089020688300_395125434551325", "367089020688300_395125434551325")</f>
        <v>367089020688300_395125434551325</v>
      </c>
      <c r="E2871" s="11">
        <v>33.0</v>
      </c>
      <c r="F2871" s="11">
        <v>1.0</v>
      </c>
      <c r="G2871" s="11">
        <v>52.0</v>
      </c>
      <c r="H2871" s="9" t="s">
        <v>26</v>
      </c>
      <c r="I2871" s="9" t="s">
        <v>12070</v>
      </c>
      <c r="J2871" s="9" t="s">
        <v>12071</v>
      </c>
      <c r="K2871" s="9" t="s">
        <v>12072</v>
      </c>
      <c r="L2871" s="9" t="s">
        <v>30</v>
      </c>
      <c r="M2871" s="9" t="s">
        <v>31</v>
      </c>
      <c r="N2871" s="9" t="s">
        <v>32</v>
      </c>
      <c r="O2871" s="12" t="s">
        <v>33</v>
      </c>
      <c r="P2871" s="12" t="s">
        <v>34</v>
      </c>
      <c r="Q2871" s="9"/>
      <c r="R2871" s="18"/>
      <c r="S2871" s="18"/>
      <c r="T2871" s="18"/>
      <c r="U2871" s="18"/>
      <c r="V2871" s="18"/>
      <c r="W2871" s="15"/>
      <c r="X2871" s="15"/>
    </row>
    <row r="2872">
      <c r="A2872" s="7">
        <v>2871.0</v>
      </c>
      <c r="B2872" s="8" t="s">
        <v>12073</v>
      </c>
      <c r="C2872" s="9" t="s">
        <v>12074</v>
      </c>
      <c r="D2872" s="10" t="str">
        <f>HYPERLINK("https://facebook.com/367089020688300_553851142012086", "367089020688300_553851142012086")</f>
        <v>367089020688300_553851142012086</v>
      </c>
      <c r="E2872" s="11">
        <v>28.0</v>
      </c>
      <c r="F2872" s="11">
        <v>0.0</v>
      </c>
      <c r="G2872" s="11">
        <v>28.0</v>
      </c>
      <c r="H2872" s="9" t="s">
        <v>26</v>
      </c>
      <c r="I2872" s="9" t="s">
        <v>12075</v>
      </c>
      <c r="J2872" s="9" t="s">
        <v>12076</v>
      </c>
      <c r="K2872" s="9" t="s">
        <v>3855</v>
      </c>
      <c r="L2872" s="9" t="s">
        <v>30</v>
      </c>
      <c r="M2872" s="9" t="s">
        <v>31</v>
      </c>
      <c r="N2872" s="9" t="s">
        <v>32</v>
      </c>
      <c r="O2872" s="12" t="s">
        <v>33</v>
      </c>
      <c r="P2872" s="12" t="s">
        <v>34</v>
      </c>
      <c r="Q2872" s="9"/>
      <c r="R2872" s="18"/>
      <c r="S2872" s="18"/>
      <c r="T2872" s="18"/>
      <c r="U2872" s="18"/>
      <c r="V2872" s="18"/>
      <c r="W2872" s="15"/>
      <c r="X2872" s="15"/>
    </row>
    <row r="2873">
      <c r="A2873" s="7">
        <v>2872.0</v>
      </c>
      <c r="B2873" s="8" t="s">
        <v>12077</v>
      </c>
      <c r="C2873" s="9" t="s">
        <v>12078</v>
      </c>
      <c r="D2873" s="10" t="str">
        <f>HYPERLINK("https://facebook.com/367089020688300_491512718245929", "367089020688300_491512718245929")</f>
        <v>367089020688300_491512718245929</v>
      </c>
      <c r="E2873" s="11">
        <v>709.0</v>
      </c>
      <c r="F2873" s="11">
        <v>12.0</v>
      </c>
      <c r="G2873" s="11">
        <v>710.0</v>
      </c>
      <c r="H2873" s="9" t="s">
        <v>26</v>
      </c>
      <c r="I2873" s="9" t="s">
        <v>12079</v>
      </c>
      <c r="J2873" s="9" t="s">
        <v>12080</v>
      </c>
      <c r="K2873" s="9" t="s">
        <v>12081</v>
      </c>
      <c r="L2873" s="9" t="s">
        <v>30</v>
      </c>
      <c r="M2873" s="9" t="s">
        <v>31</v>
      </c>
      <c r="N2873" s="9" t="s">
        <v>32</v>
      </c>
      <c r="O2873" s="12" t="s">
        <v>33</v>
      </c>
      <c r="P2873" s="12" t="s">
        <v>34</v>
      </c>
      <c r="Q2873" s="9"/>
      <c r="R2873" s="18"/>
      <c r="S2873" s="18"/>
      <c r="T2873" s="18"/>
      <c r="U2873" s="18"/>
      <c r="V2873" s="18"/>
      <c r="W2873" s="15"/>
      <c r="X2873" s="15"/>
    </row>
    <row r="2874">
      <c r="A2874" s="7">
        <v>2873.0</v>
      </c>
      <c r="B2874" s="8" t="s">
        <v>12082</v>
      </c>
      <c r="C2874" s="9" t="s">
        <v>12083</v>
      </c>
      <c r="D2874" s="10" t="str">
        <f>HYPERLINK("https://facebook.com/367089020688300_525874501476417", "367089020688300_525874501476417")</f>
        <v>367089020688300_525874501476417</v>
      </c>
      <c r="E2874" s="11">
        <v>567.0</v>
      </c>
      <c r="F2874" s="11">
        <v>2.0</v>
      </c>
      <c r="G2874" s="11">
        <v>656.0</v>
      </c>
      <c r="H2874" s="9" t="s">
        <v>26</v>
      </c>
      <c r="I2874" s="9" t="s">
        <v>12084</v>
      </c>
      <c r="J2874" s="16" t="s">
        <v>12085</v>
      </c>
      <c r="K2874" s="9"/>
      <c r="L2874" s="9" t="s">
        <v>30</v>
      </c>
      <c r="M2874" s="9" t="s">
        <v>31</v>
      </c>
      <c r="N2874" s="9" t="s">
        <v>32</v>
      </c>
      <c r="O2874" s="12" t="s">
        <v>33</v>
      </c>
      <c r="P2874" s="12" t="s">
        <v>34</v>
      </c>
      <c r="Q2874" s="9"/>
      <c r="R2874" s="18"/>
      <c r="S2874" s="18"/>
      <c r="T2874" s="18"/>
      <c r="U2874" s="18"/>
      <c r="V2874" s="18"/>
      <c r="W2874" s="15"/>
      <c r="X2874" s="15"/>
    </row>
    <row r="2875">
      <c r="A2875" s="7">
        <v>2874.0</v>
      </c>
      <c r="B2875" s="8" t="s">
        <v>12086</v>
      </c>
      <c r="C2875" s="9" t="s">
        <v>12087</v>
      </c>
      <c r="D2875" s="10" t="str">
        <f>HYPERLINK("https://facebook.com/367089020688300_558455241551676", "367089020688300_558455241551676")</f>
        <v>367089020688300_558455241551676</v>
      </c>
      <c r="E2875" s="11">
        <v>8.0</v>
      </c>
      <c r="F2875" s="11">
        <v>0.0</v>
      </c>
      <c r="G2875" s="11">
        <v>2.0</v>
      </c>
      <c r="H2875" s="9" t="s">
        <v>26</v>
      </c>
      <c r="I2875" s="9" t="s">
        <v>12088</v>
      </c>
      <c r="J2875" s="16" t="s">
        <v>12089</v>
      </c>
      <c r="K2875" s="9"/>
      <c r="L2875" s="9" t="s">
        <v>30</v>
      </c>
      <c r="M2875" s="9" t="s">
        <v>31</v>
      </c>
      <c r="N2875" s="9" t="s">
        <v>32</v>
      </c>
      <c r="O2875" s="12" t="s">
        <v>33</v>
      </c>
      <c r="P2875" s="12" t="s">
        <v>34</v>
      </c>
      <c r="Q2875" s="9"/>
      <c r="R2875" s="18"/>
      <c r="S2875" s="18"/>
      <c r="T2875" s="18"/>
      <c r="U2875" s="18"/>
      <c r="V2875" s="18"/>
      <c r="W2875" s="15"/>
      <c r="X2875" s="15"/>
    </row>
    <row r="2876">
      <c r="A2876" s="7">
        <v>2875.0</v>
      </c>
      <c r="B2876" s="8" t="s">
        <v>12090</v>
      </c>
      <c r="C2876" s="9" t="s">
        <v>12091</v>
      </c>
      <c r="D2876" s="10" t="str">
        <f>HYPERLINK("https://facebook.com/367089020688300_547273232669877", "367089020688300_547273232669877")</f>
        <v>367089020688300_547273232669877</v>
      </c>
      <c r="E2876" s="11">
        <v>2330.0</v>
      </c>
      <c r="F2876" s="11">
        <v>3.0</v>
      </c>
      <c r="G2876" s="11">
        <v>960.0</v>
      </c>
      <c r="H2876" s="9" t="s">
        <v>26</v>
      </c>
      <c r="I2876" s="9" t="s">
        <v>11954</v>
      </c>
      <c r="J2876" s="9" t="s">
        <v>11955</v>
      </c>
      <c r="K2876" s="9" t="s">
        <v>12092</v>
      </c>
      <c r="L2876" s="9" t="s">
        <v>30</v>
      </c>
      <c r="M2876" s="9" t="s">
        <v>31</v>
      </c>
      <c r="N2876" s="9" t="s">
        <v>32</v>
      </c>
      <c r="O2876" s="12" t="s">
        <v>33</v>
      </c>
      <c r="P2876" s="12" t="s">
        <v>34</v>
      </c>
      <c r="Q2876" s="9"/>
      <c r="R2876" s="18"/>
      <c r="S2876" s="18"/>
      <c r="T2876" s="18"/>
      <c r="U2876" s="18"/>
      <c r="V2876" s="18"/>
      <c r="W2876" s="15"/>
      <c r="X2876" s="15"/>
    </row>
    <row r="2877">
      <c r="A2877" s="7">
        <v>2876.0</v>
      </c>
      <c r="B2877" s="8" t="s">
        <v>12093</v>
      </c>
      <c r="C2877" s="9" t="s">
        <v>12094</v>
      </c>
      <c r="D2877" s="10" t="str">
        <f>HYPERLINK("https://facebook.com/367089020688300_562542967809570", "367089020688300_562542967809570")</f>
        <v>367089020688300_562542967809570</v>
      </c>
      <c r="E2877" s="11">
        <v>91.0</v>
      </c>
      <c r="F2877" s="11">
        <v>2.0</v>
      </c>
      <c r="G2877" s="11">
        <v>197.0</v>
      </c>
      <c r="H2877" s="9" t="s">
        <v>26</v>
      </c>
      <c r="I2877" s="9" t="s">
        <v>12095</v>
      </c>
      <c r="J2877" s="9" t="s">
        <v>12096</v>
      </c>
      <c r="K2877" s="9" t="s">
        <v>214</v>
      </c>
      <c r="L2877" s="9" t="s">
        <v>30</v>
      </c>
      <c r="M2877" s="9" t="s">
        <v>31</v>
      </c>
      <c r="N2877" s="9" t="s">
        <v>32</v>
      </c>
      <c r="O2877" s="12" t="s">
        <v>33</v>
      </c>
      <c r="P2877" s="12" t="s">
        <v>34</v>
      </c>
      <c r="Q2877" s="9"/>
      <c r="R2877" s="18"/>
      <c r="S2877" s="18"/>
      <c r="T2877" s="18"/>
      <c r="U2877" s="18"/>
      <c r="V2877" s="18"/>
      <c r="W2877" s="15"/>
      <c r="X2877" s="15"/>
    </row>
    <row r="2878">
      <c r="A2878" s="7">
        <v>2877.0</v>
      </c>
      <c r="B2878" s="8" t="s">
        <v>12097</v>
      </c>
      <c r="C2878" s="9" t="s">
        <v>12098</v>
      </c>
      <c r="D2878" s="10" t="str">
        <f>HYPERLINK("https://facebook.com/367089020688300_415658525831349", "367089020688300_415658525831349")</f>
        <v>367089020688300_415658525831349</v>
      </c>
      <c r="E2878" s="11">
        <v>480.0</v>
      </c>
      <c r="F2878" s="11">
        <v>14.0</v>
      </c>
      <c r="G2878" s="11">
        <v>831.0</v>
      </c>
      <c r="H2878" s="9" t="s">
        <v>26</v>
      </c>
      <c r="I2878" s="9" t="s">
        <v>6607</v>
      </c>
      <c r="J2878" s="9" t="s">
        <v>12099</v>
      </c>
      <c r="K2878" s="9" t="s">
        <v>12100</v>
      </c>
      <c r="L2878" s="9" t="s">
        <v>30</v>
      </c>
      <c r="M2878" s="9" t="s">
        <v>31</v>
      </c>
      <c r="N2878" s="9" t="s">
        <v>32</v>
      </c>
      <c r="O2878" s="12" t="s">
        <v>33</v>
      </c>
      <c r="P2878" s="12" t="s">
        <v>34</v>
      </c>
      <c r="Q2878" s="9"/>
      <c r="R2878" s="18"/>
      <c r="S2878" s="18"/>
      <c r="T2878" s="18"/>
      <c r="U2878" s="18"/>
      <c r="V2878" s="18"/>
      <c r="W2878" s="15"/>
      <c r="X2878" s="15"/>
    </row>
    <row r="2879">
      <c r="A2879" s="7">
        <v>2878.0</v>
      </c>
      <c r="B2879" s="8" t="s">
        <v>12101</v>
      </c>
      <c r="C2879" s="9" t="s">
        <v>12102</v>
      </c>
      <c r="D2879" s="10" t="str">
        <f>HYPERLINK("https://facebook.com/367089020688300_559532061443994", "367089020688300_559532061443994")</f>
        <v>367089020688300_559532061443994</v>
      </c>
      <c r="E2879" s="11">
        <v>12.0</v>
      </c>
      <c r="F2879" s="11">
        <v>0.0</v>
      </c>
      <c r="G2879" s="11">
        <v>1.0</v>
      </c>
      <c r="H2879" s="9" t="s">
        <v>26</v>
      </c>
      <c r="I2879" s="9" t="s">
        <v>9739</v>
      </c>
      <c r="J2879" s="16" t="s">
        <v>9740</v>
      </c>
      <c r="K2879" s="9"/>
      <c r="L2879" s="9" t="s">
        <v>30</v>
      </c>
      <c r="M2879" s="9" t="s">
        <v>31</v>
      </c>
      <c r="N2879" s="9" t="s">
        <v>32</v>
      </c>
      <c r="O2879" s="12" t="s">
        <v>33</v>
      </c>
      <c r="P2879" s="12" t="s">
        <v>34</v>
      </c>
      <c r="Q2879" s="9"/>
      <c r="R2879" s="18"/>
      <c r="S2879" s="18"/>
      <c r="T2879" s="18"/>
      <c r="U2879" s="18"/>
      <c r="V2879" s="18"/>
      <c r="W2879" s="15"/>
      <c r="X2879" s="15"/>
    </row>
    <row r="2880">
      <c r="A2880" s="7">
        <v>2879.0</v>
      </c>
      <c r="B2880" s="8" t="s">
        <v>12103</v>
      </c>
      <c r="C2880" s="9" t="s">
        <v>12104</v>
      </c>
      <c r="D2880" s="10" t="str">
        <f>HYPERLINK("https://facebook.com/367089020688300_553429148720952", "367089020688300_553429148720952")</f>
        <v>367089020688300_553429148720952</v>
      </c>
      <c r="E2880" s="11">
        <v>55.0</v>
      </c>
      <c r="F2880" s="11">
        <v>0.0</v>
      </c>
      <c r="G2880" s="11">
        <v>58.0</v>
      </c>
      <c r="H2880" s="9" t="s">
        <v>26</v>
      </c>
      <c r="I2880" s="9" t="s">
        <v>12105</v>
      </c>
      <c r="J2880" s="9" t="s">
        <v>12106</v>
      </c>
      <c r="K2880" s="9" t="s">
        <v>12107</v>
      </c>
      <c r="L2880" s="9" t="s">
        <v>30</v>
      </c>
      <c r="M2880" s="9" t="s">
        <v>31</v>
      </c>
      <c r="N2880" s="9" t="s">
        <v>32</v>
      </c>
      <c r="O2880" s="12" t="s">
        <v>33</v>
      </c>
      <c r="P2880" s="12" t="s">
        <v>34</v>
      </c>
      <c r="Q2880" s="9"/>
      <c r="R2880" s="18"/>
      <c r="S2880" s="18"/>
      <c r="T2880" s="18"/>
      <c r="U2880" s="18"/>
      <c r="V2880" s="18"/>
      <c r="W2880" s="15"/>
      <c r="X2880" s="15"/>
    </row>
    <row r="2881">
      <c r="A2881" s="7">
        <v>2880.0</v>
      </c>
      <c r="B2881" s="8" t="s">
        <v>12108</v>
      </c>
      <c r="C2881" s="9" t="s">
        <v>12109</v>
      </c>
      <c r="D2881" s="10" t="str">
        <f>HYPERLINK("https://facebook.com/367089020688300_558785591518641", "367089020688300_558785591518641")</f>
        <v>367089020688300_558785591518641</v>
      </c>
      <c r="E2881" s="11">
        <v>40.0</v>
      </c>
      <c r="F2881" s="11">
        <v>0.0</v>
      </c>
      <c r="G2881" s="11">
        <v>20.0</v>
      </c>
      <c r="H2881" s="9" t="s">
        <v>26</v>
      </c>
      <c r="I2881" s="9" t="s">
        <v>12110</v>
      </c>
      <c r="J2881" s="16" t="s">
        <v>12111</v>
      </c>
      <c r="K2881" s="9"/>
      <c r="L2881" s="9" t="s">
        <v>30</v>
      </c>
      <c r="M2881" s="9" t="s">
        <v>31</v>
      </c>
      <c r="N2881" s="9" t="s">
        <v>32</v>
      </c>
      <c r="O2881" s="12" t="s">
        <v>33</v>
      </c>
      <c r="P2881" s="12" t="s">
        <v>34</v>
      </c>
      <c r="Q2881" s="9"/>
      <c r="R2881" s="18"/>
      <c r="S2881" s="18"/>
      <c r="T2881" s="18"/>
      <c r="U2881" s="18"/>
      <c r="V2881" s="18"/>
      <c r="W2881" s="15"/>
      <c r="X2881" s="15"/>
    </row>
    <row r="2882">
      <c r="A2882" s="7">
        <v>2881.0</v>
      </c>
      <c r="B2882" s="8" t="s">
        <v>12112</v>
      </c>
      <c r="C2882" s="9" t="s">
        <v>12113</v>
      </c>
      <c r="D2882" s="10" t="str">
        <f>HYPERLINK("https://facebook.com/367089020688300_376385609758641", "367089020688300_376385609758641")</f>
        <v>367089020688300_376385609758641</v>
      </c>
      <c r="E2882" s="11">
        <v>764.0</v>
      </c>
      <c r="F2882" s="11">
        <v>6.0</v>
      </c>
      <c r="G2882" s="11">
        <v>384.0</v>
      </c>
      <c r="H2882" s="9" t="s">
        <v>26</v>
      </c>
      <c r="I2882" s="9" t="s">
        <v>12114</v>
      </c>
      <c r="J2882" s="9" t="s">
        <v>12115</v>
      </c>
      <c r="K2882" s="9" t="s">
        <v>12116</v>
      </c>
      <c r="L2882" s="9" t="s">
        <v>30</v>
      </c>
      <c r="M2882" s="9" t="s">
        <v>31</v>
      </c>
      <c r="N2882" s="9" t="s">
        <v>32</v>
      </c>
      <c r="O2882" s="12" t="s">
        <v>33</v>
      </c>
      <c r="P2882" s="12" t="s">
        <v>34</v>
      </c>
      <c r="Q2882" s="9"/>
      <c r="R2882" s="18"/>
      <c r="S2882" s="18"/>
      <c r="T2882" s="18"/>
      <c r="U2882" s="18"/>
      <c r="V2882" s="18"/>
      <c r="W2882" s="15"/>
      <c r="X2882" s="15"/>
    </row>
    <row r="2883">
      <c r="A2883" s="7">
        <v>2882.0</v>
      </c>
      <c r="B2883" s="8" t="s">
        <v>12117</v>
      </c>
      <c r="C2883" s="9" t="s">
        <v>12118</v>
      </c>
      <c r="D2883" s="10" t="str">
        <f>HYPERLINK("https://facebook.com/367089020688300_511788039551730", "367089020688300_511788039551730")</f>
        <v>367089020688300_511788039551730</v>
      </c>
      <c r="E2883" s="11">
        <v>17.0</v>
      </c>
      <c r="F2883" s="11">
        <v>0.0</v>
      </c>
      <c r="G2883" s="11">
        <v>11.0</v>
      </c>
      <c r="H2883" s="9" t="s">
        <v>26</v>
      </c>
      <c r="I2883" s="9" t="s">
        <v>12119</v>
      </c>
      <c r="J2883" s="16" t="s">
        <v>12120</v>
      </c>
      <c r="K2883" s="9"/>
      <c r="L2883" s="9" t="s">
        <v>30</v>
      </c>
      <c r="M2883" s="9" t="s">
        <v>31</v>
      </c>
      <c r="N2883" s="9" t="s">
        <v>32</v>
      </c>
      <c r="O2883" s="12" t="s">
        <v>33</v>
      </c>
      <c r="P2883" s="12" t="s">
        <v>34</v>
      </c>
      <c r="Q2883" s="9"/>
      <c r="R2883" s="18"/>
      <c r="S2883" s="18"/>
      <c r="T2883" s="18"/>
      <c r="U2883" s="18"/>
      <c r="V2883" s="18"/>
      <c r="W2883" s="15"/>
      <c r="X2883" s="15"/>
    </row>
    <row r="2884">
      <c r="A2884" s="7">
        <v>2883.0</v>
      </c>
      <c r="B2884" s="8" t="s">
        <v>12121</v>
      </c>
      <c r="C2884" s="9" t="s">
        <v>12122</v>
      </c>
      <c r="D2884" s="10" t="str">
        <f>HYPERLINK("https://facebook.com/367089020688300_518201778910356", "367089020688300_518201778910356")</f>
        <v>367089020688300_518201778910356</v>
      </c>
      <c r="E2884" s="11">
        <v>599.0</v>
      </c>
      <c r="F2884" s="11">
        <v>17.0</v>
      </c>
      <c r="G2884" s="11">
        <v>345.0</v>
      </c>
      <c r="H2884" s="9" t="s">
        <v>26</v>
      </c>
      <c r="I2884" s="9" t="s">
        <v>12123</v>
      </c>
      <c r="J2884" s="16" t="s">
        <v>12124</v>
      </c>
      <c r="K2884" s="9"/>
      <c r="L2884" s="9" t="s">
        <v>30</v>
      </c>
      <c r="M2884" s="9" t="s">
        <v>31</v>
      </c>
      <c r="N2884" s="9" t="s">
        <v>32</v>
      </c>
      <c r="O2884" s="12" t="s">
        <v>33</v>
      </c>
      <c r="P2884" s="12" t="s">
        <v>34</v>
      </c>
      <c r="Q2884" s="9"/>
      <c r="R2884" s="18"/>
      <c r="S2884" s="18"/>
      <c r="T2884" s="18"/>
      <c r="U2884" s="18"/>
      <c r="V2884" s="18"/>
      <c r="W2884" s="15"/>
      <c r="X2884" s="15"/>
    </row>
    <row r="2885">
      <c r="A2885" s="7">
        <v>2884.0</v>
      </c>
      <c r="B2885" s="8" t="s">
        <v>12125</v>
      </c>
      <c r="C2885" s="9" t="s">
        <v>12126</v>
      </c>
      <c r="D2885" s="10" t="str">
        <f>HYPERLINK("https://facebook.com/367089020688300_426658501398018", "367089020688300_426658501398018")</f>
        <v>367089020688300_426658501398018</v>
      </c>
      <c r="E2885" s="11">
        <v>661.0</v>
      </c>
      <c r="F2885" s="11">
        <v>48.0</v>
      </c>
      <c r="G2885" s="11">
        <v>598.0</v>
      </c>
      <c r="H2885" s="9" t="s">
        <v>26</v>
      </c>
      <c r="I2885" s="9" t="s">
        <v>1099</v>
      </c>
      <c r="J2885" s="9" t="s">
        <v>1100</v>
      </c>
      <c r="K2885" s="9" t="s">
        <v>12127</v>
      </c>
      <c r="L2885" s="9" t="s">
        <v>30</v>
      </c>
      <c r="M2885" s="9" t="s">
        <v>31</v>
      </c>
      <c r="N2885" s="9" t="s">
        <v>32</v>
      </c>
      <c r="O2885" s="12" t="s">
        <v>33</v>
      </c>
      <c r="P2885" s="12" t="s">
        <v>34</v>
      </c>
      <c r="Q2885" s="9"/>
      <c r="R2885" s="18"/>
      <c r="S2885" s="18"/>
      <c r="T2885" s="18"/>
      <c r="U2885" s="18"/>
      <c r="V2885" s="18"/>
      <c r="W2885" s="15"/>
      <c r="X2885" s="15"/>
    </row>
    <row r="2886">
      <c r="A2886" s="7">
        <v>2885.0</v>
      </c>
      <c r="B2886" s="8" t="s">
        <v>12128</v>
      </c>
      <c r="C2886" s="9" t="s">
        <v>12129</v>
      </c>
      <c r="D2886" s="10" t="str">
        <f>HYPERLINK("https://facebook.com/367089020688300_562848154445718", "367089020688300_562848154445718")</f>
        <v>367089020688300_562848154445718</v>
      </c>
      <c r="E2886" s="11">
        <v>1805.0</v>
      </c>
      <c r="F2886" s="11">
        <v>13.0</v>
      </c>
      <c r="G2886" s="11">
        <v>432.0</v>
      </c>
      <c r="H2886" s="9" t="s">
        <v>26</v>
      </c>
      <c r="I2886" s="9" t="s">
        <v>12130</v>
      </c>
      <c r="J2886" s="16" t="s">
        <v>12131</v>
      </c>
      <c r="K2886" s="9"/>
      <c r="L2886" s="9" t="s">
        <v>30</v>
      </c>
      <c r="M2886" s="9" t="s">
        <v>31</v>
      </c>
      <c r="N2886" s="9" t="s">
        <v>32</v>
      </c>
      <c r="O2886" s="12" t="s">
        <v>33</v>
      </c>
      <c r="P2886" s="12" t="s">
        <v>34</v>
      </c>
      <c r="Q2886" s="9"/>
      <c r="R2886" s="18"/>
      <c r="S2886" s="18"/>
      <c r="T2886" s="18"/>
      <c r="U2886" s="18"/>
      <c r="V2886" s="18"/>
      <c r="W2886" s="15"/>
      <c r="X2886" s="15"/>
    </row>
    <row r="2887">
      <c r="A2887" s="7">
        <v>2886.0</v>
      </c>
      <c r="B2887" s="8" t="s">
        <v>12132</v>
      </c>
      <c r="C2887" s="9" t="s">
        <v>12133</v>
      </c>
      <c r="D2887" s="10" t="str">
        <f>HYPERLINK("https://facebook.com/367089020688300_517260829004451", "367089020688300_517260829004451")</f>
        <v>367089020688300_517260829004451</v>
      </c>
      <c r="E2887" s="11">
        <v>244.0</v>
      </c>
      <c r="F2887" s="11">
        <v>9.0</v>
      </c>
      <c r="G2887" s="11">
        <v>406.0</v>
      </c>
      <c r="H2887" s="9" t="s">
        <v>26</v>
      </c>
      <c r="I2887" s="9" t="s">
        <v>12134</v>
      </c>
      <c r="J2887" s="16" t="s">
        <v>12135</v>
      </c>
      <c r="K2887" s="9"/>
      <c r="L2887" s="9" t="s">
        <v>30</v>
      </c>
      <c r="M2887" s="9" t="s">
        <v>31</v>
      </c>
      <c r="N2887" s="9" t="s">
        <v>32</v>
      </c>
      <c r="O2887" s="12" t="s">
        <v>33</v>
      </c>
      <c r="P2887" s="12" t="s">
        <v>34</v>
      </c>
      <c r="Q2887" s="9"/>
      <c r="R2887" s="18"/>
      <c r="S2887" s="18"/>
      <c r="T2887" s="18"/>
      <c r="U2887" s="18"/>
      <c r="V2887" s="18"/>
      <c r="W2887" s="15"/>
      <c r="X2887" s="15"/>
    </row>
    <row r="2888">
      <c r="A2888" s="7">
        <v>2887.0</v>
      </c>
      <c r="B2888" s="8" t="s">
        <v>12136</v>
      </c>
      <c r="C2888" s="9" t="s">
        <v>12137</v>
      </c>
      <c r="D2888" s="10" t="str">
        <f>HYPERLINK("https://facebook.com/367089020688300_525541054843095", "367089020688300_525541054843095")</f>
        <v>367089020688300_525541054843095</v>
      </c>
      <c r="E2888" s="11">
        <v>1758.0</v>
      </c>
      <c r="F2888" s="11">
        <v>23.0</v>
      </c>
      <c r="G2888" s="11">
        <v>836.0</v>
      </c>
      <c r="H2888" s="9" t="s">
        <v>26</v>
      </c>
      <c r="I2888" s="9" t="s">
        <v>4960</v>
      </c>
      <c r="J2888" s="9" t="s">
        <v>4961</v>
      </c>
      <c r="K2888" s="9" t="s">
        <v>12138</v>
      </c>
      <c r="L2888" s="9" t="s">
        <v>30</v>
      </c>
      <c r="M2888" s="9" t="s">
        <v>31</v>
      </c>
      <c r="N2888" s="9" t="s">
        <v>32</v>
      </c>
      <c r="O2888" s="12" t="s">
        <v>33</v>
      </c>
      <c r="P2888" s="12" t="s">
        <v>34</v>
      </c>
      <c r="Q2888" s="9"/>
      <c r="R2888" s="18"/>
      <c r="S2888" s="18"/>
      <c r="T2888" s="18"/>
      <c r="U2888" s="18"/>
      <c r="V2888" s="18"/>
      <c r="W2888" s="15"/>
      <c r="X2888" s="15"/>
    </row>
    <row r="2889">
      <c r="A2889" s="7">
        <v>2888.0</v>
      </c>
      <c r="B2889" s="8" t="s">
        <v>12139</v>
      </c>
      <c r="C2889" s="9" t="s">
        <v>12140</v>
      </c>
      <c r="D2889" s="10" t="str">
        <f>HYPERLINK("https://facebook.com/367089020688300_555923661804834", "367089020688300_555923661804834")</f>
        <v>367089020688300_555923661804834</v>
      </c>
      <c r="E2889" s="11">
        <v>139.0</v>
      </c>
      <c r="F2889" s="11">
        <v>0.0</v>
      </c>
      <c r="G2889" s="11">
        <v>82.0</v>
      </c>
      <c r="H2889" s="9" t="s">
        <v>26</v>
      </c>
      <c r="I2889" s="9" t="s">
        <v>12141</v>
      </c>
      <c r="J2889" s="9" t="s">
        <v>12142</v>
      </c>
      <c r="K2889" s="9" t="s">
        <v>12143</v>
      </c>
      <c r="L2889" s="9" t="s">
        <v>30</v>
      </c>
      <c r="M2889" s="9" t="s">
        <v>31</v>
      </c>
      <c r="N2889" s="9" t="s">
        <v>32</v>
      </c>
      <c r="O2889" s="12" t="s">
        <v>33</v>
      </c>
      <c r="P2889" s="12" t="s">
        <v>34</v>
      </c>
      <c r="Q2889" s="9"/>
      <c r="R2889" s="18"/>
      <c r="S2889" s="18"/>
      <c r="T2889" s="18"/>
      <c r="U2889" s="18"/>
      <c r="V2889" s="18"/>
      <c r="W2889" s="15"/>
      <c r="X2889" s="15"/>
    </row>
    <row r="2890">
      <c r="A2890" s="7">
        <v>2889.0</v>
      </c>
      <c r="B2890" s="8" t="s">
        <v>12144</v>
      </c>
      <c r="C2890" s="9" t="s">
        <v>12145</v>
      </c>
      <c r="D2890" s="10" t="str">
        <f>HYPERLINK("https://facebook.com/367089020688300_493133991417135", "367089020688300_493133991417135")</f>
        <v>367089020688300_493133991417135</v>
      </c>
      <c r="E2890" s="11">
        <v>1564.0</v>
      </c>
      <c r="F2890" s="11">
        <v>19.0</v>
      </c>
      <c r="G2890" s="11">
        <v>687.0</v>
      </c>
      <c r="H2890" s="9" t="s">
        <v>26</v>
      </c>
      <c r="I2890" s="9" t="s">
        <v>12146</v>
      </c>
      <c r="J2890" s="16" t="s">
        <v>12147</v>
      </c>
      <c r="K2890" s="9"/>
      <c r="L2890" s="9" t="s">
        <v>30</v>
      </c>
      <c r="M2890" s="9" t="s">
        <v>31</v>
      </c>
      <c r="N2890" s="9" t="s">
        <v>32</v>
      </c>
      <c r="O2890" s="12" t="s">
        <v>33</v>
      </c>
      <c r="P2890" s="12" t="s">
        <v>34</v>
      </c>
      <c r="Q2890" s="9"/>
      <c r="R2890" s="18"/>
      <c r="S2890" s="18"/>
      <c r="T2890" s="18"/>
      <c r="U2890" s="18"/>
      <c r="V2890" s="18"/>
      <c r="W2890" s="15"/>
      <c r="X2890" s="15"/>
    </row>
    <row r="2891">
      <c r="A2891" s="7">
        <v>2890.0</v>
      </c>
      <c r="B2891" s="8" t="s">
        <v>12148</v>
      </c>
      <c r="C2891" s="9" t="s">
        <v>12149</v>
      </c>
      <c r="D2891" s="10" t="str">
        <f>HYPERLINK("https://facebook.com/367089020688300_530560457674488", "367089020688300_530560457674488")</f>
        <v>367089020688300_530560457674488</v>
      </c>
      <c r="E2891" s="11">
        <v>195.0</v>
      </c>
      <c r="F2891" s="11">
        <v>5.0</v>
      </c>
      <c r="G2891" s="11">
        <v>108.0</v>
      </c>
      <c r="H2891" s="9" t="s">
        <v>26</v>
      </c>
      <c r="I2891" s="9" t="s">
        <v>12150</v>
      </c>
      <c r="J2891" s="16" t="s">
        <v>12151</v>
      </c>
      <c r="K2891" s="9"/>
      <c r="L2891" s="9" t="s">
        <v>30</v>
      </c>
      <c r="M2891" s="9" t="s">
        <v>31</v>
      </c>
      <c r="N2891" s="9" t="s">
        <v>32</v>
      </c>
      <c r="O2891" s="12" t="s">
        <v>33</v>
      </c>
      <c r="P2891" s="12" t="s">
        <v>34</v>
      </c>
      <c r="Q2891" s="9"/>
      <c r="R2891" s="18"/>
      <c r="S2891" s="18"/>
      <c r="T2891" s="18"/>
      <c r="U2891" s="18"/>
      <c r="V2891" s="18"/>
      <c r="W2891" s="15"/>
      <c r="X2891" s="15"/>
    </row>
    <row r="2892">
      <c r="A2892" s="7">
        <v>2891.0</v>
      </c>
      <c r="B2892" s="8" t="s">
        <v>12152</v>
      </c>
      <c r="C2892" s="9" t="s">
        <v>12153</v>
      </c>
      <c r="D2892" s="10" t="str">
        <f>HYPERLINK("https://facebook.com/367089020688300_544309069632960", "367089020688300_544309069632960")</f>
        <v>367089020688300_544309069632960</v>
      </c>
      <c r="E2892" s="11">
        <v>163.0</v>
      </c>
      <c r="F2892" s="11">
        <v>5.0</v>
      </c>
      <c r="G2892" s="11">
        <v>148.0</v>
      </c>
      <c r="H2892" s="9" t="s">
        <v>26</v>
      </c>
      <c r="I2892" s="9" t="s">
        <v>12154</v>
      </c>
      <c r="J2892" s="16" t="s">
        <v>12155</v>
      </c>
      <c r="K2892" s="9"/>
      <c r="L2892" s="9" t="s">
        <v>30</v>
      </c>
      <c r="M2892" s="9" t="s">
        <v>31</v>
      </c>
      <c r="N2892" s="9" t="s">
        <v>32</v>
      </c>
      <c r="O2892" s="12" t="s">
        <v>33</v>
      </c>
      <c r="P2892" s="12" t="s">
        <v>34</v>
      </c>
      <c r="Q2892" s="9"/>
      <c r="R2892" s="18"/>
      <c r="S2892" s="18"/>
      <c r="T2892" s="18"/>
      <c r="U2892" s="18"/>
      <c r="V2892" s="18"/>
      <c r="W2892" s="15"/>
      <c r="X2892" s="15"/>
    </row>
    <row r="2893">
      <c r="A2893" s="7">
        <v>2892.0</v>
      </c>
      <c r="B2893" s="8" t="s">
        <v>12156</v>
      </c>
      <c r="C2893" s="9" t="s">
        <v>12157</v>
      </c>
      <c r="D2893" s="10" t="str">
        <f>HYPERLINK("https://facebook.com/367089020688300_478242042906330", "367089020688300_478242042906330")</f>
        <v>367089020688300_478242042906330</v>
      </c>
      <c r="E2893" s="11">
        <v>186.0</v>
      </c>
      <c r="F2893" s="11">
        <v>5.0</v>
      </c>
      <c r="G2893" s="11">
        <v>143.0</v>
      </c>
      <c r="H2893" s="9" t="s">
        <v>26</v>
      </c>
      <c r="I2893" s="9" t="s">
        <v>847</v>
      </c>
      <c r="J2893" s="9" t="s">
        <v>848</v>
      </c>
      <c r="K2893" s="9" t="s">
        <v>12158</v>
      </c>
      <c r="L2893" s="9" t="s">
        <v>30</v>
      </c>
      <c r="M2893" s="9" t="s">
        <v>31</v>
      </c>
      <c r="N2893" s="9" t="s">
        <v>32</v>
      </c>
      <c r="O2893" s="12" t="s">
        <v>33</v>
      </c>
      <c r="P2893" s="12" t="s">
        <v>34</v>
      </c>
      <c r="Q2893" s="9"/>
      <c r="R2893" s="18"/>
      <c r="S2893" s="18"/>
      <c r="T2893" s="18"/>
      <c r="U2893" s="18"/>
      <c r="V2893" s="18"/>
      <c r="W2893" s="15"/>
      <c r="X2893" s="15"/>
    </row>
    <row r="2894">
      <c r="A2894" s="7">
        <v>2893.0</v>
      </c>
      <c r="B2894" s="8" t="s">
        <v>12159</v>
      </c>
      <c r="C2894" s="9" t="s">
        <v>12160</v>
      </c>
      <c r="D2894" s="10" t="str">
        <f>HYPERLINK("https://facebook.com/367089020688300_541860549877812", "367089020688300_541860549877812")</f>
        <v>367089020688300_541860549877812</v>
      </c>
      <c r="E2894" s="11">
        <v>9.0</v>
      </c>
      <c r="F2894" s="11">
        <v>0.0</v>
      </c>
      <c r="G2894" s="11">
        <v>7.0</v>
      </c>
      <c r="H2894" s="9" t="s">
        <v>26</v>
      </c>
      <c r="I2894" s="9" t="s">
        <v>12161</v>
      </c>
      <c r="J2894" s="16" t="s">
        <v>12162</v>
      </c>
      <c r="K2894" s="9"/>
      <c r="L2894" s="9" t="s">
        <v>30</v>
      </c>
      <c r="M2894" s="9" t="s">
        <v>31</v>
      </c>
      <c r="N2894" s="9" t="s">
        <v>32</v>
      </c>
      <c r="O2894" s="12" t="s">
        <v>33</v>
      </c>
      <c r="P2894" s="12" t="s">
        <v>34</v>
      </c>
      <c r="Q2894" s="9"/>
      <c r="R2894" s="18"/>
      <c r="S2894" s="18"/>
      <c r="T2894" s="18"/>
      <c r="U2894" s="18"/>
      <c r="V2894" s="18"/>
      <c r="W2894" s="15"/>
      <c r="X2894" s="15"/>
    </row>
    <row r="2895">
      <c r="A2895" s="7">
        <v>2894.0</v>
      </c>
      <c r="B2895" s="8" t="s">
        <v>12163</v>
      </c>
      <c r="C2895" s="9" t="s">
        <v>12164</v>
      </c>
      <c r="D2895" s="10" t="str">
        <f>HYPERLINK("https://facebook.com/367089020688300_511756509554883", "367089020688300_511756509554883")</f>
        <v>367089020688300_511756509554883</v>
      </c>
      <c r="E2895" s="11">
        <v>235.0</v>
      </c>
      <c r="F2895" s="11">
        <v>7.0</v>
      </c>
      <c r="G2895" s="11">
        <v>626.0</v>
      </c>
      <c r="H2895" s="9" t="s">
        <v>26</v>
      </c>
      <c r="I2895" s="9" t="s">
        <v>2365</v>
      </c>
      <c r="J2895" s="16" t="s">
        <v>12165</v>
      </c>
      <c r="K2895" s="9"/>
      <c r="L2895" s="9" t="s">
        <v>30</v>
      </c>
      <c r="M2895" s="9" t="s">
        <v>31</v>
      </c>
      <c r="N2895" s="9" t="s">
        <v>32</v>
      </c>
      <c r="O2895" s="12" t="s">
        <v>33</v>
      </c>
      <c r="P2895" s="12" t="s">
        <v>34</v>
      </c>
      <c r="Q2895" s="9"/>
      <c r="R2895" s="18"/>
      <c r="S2895" s="18"/>
      <c r="T2895" s="18"/>
      <c r="U2895" s="18"/>
      <c r="V2895" s="18"/>
      <c r="W2895" s="15"/>
      <c r="X2895" s="15"/>
    </row>
    <row r="2896">
      <c r="A2896" s="7">
        <v>2895.0</v>
      </c>
      <c r="B2896" s="8" t="s">
        <v>12166</v>
      </c>
      <c r="C2896" s="9" t="s">
        <v>12167</v>
      </c>
      <c r="D2896" s="10" t="str">
        <f>HYPERLINK("https://facebook.com/367089020688300_460329091364292", "367089020688300_460329091364292")</f>
        <v>367089020688300_460329091364292</v>
      </c>
      <c r="E2896" s="11">
        <v>632.0</v>
      </c>
      <c r="F2896" s="11">
        <v>28.0</v>
      </c>
      <c r="G2896" s="11">
        <v>258.0</v>
      </c>
      <c r="H2896" s="9" t="s">
        <v>26</v>
      </c>
      <c r="I2896" s="9" t="s">
        <v>275</v>
      </c>
      <c r="J2896" s="9" t="s">
        <v>276</v>
      </c>
      <c r="K2896" s="9" t="s">
        <v>249</v>
      </c>
      <c r="L2896" s="9" t="s">
        <v>30</v>
      </c>
      <c r="M2896" s="9" t="s">
        <v>31</v>
      </c>
      <c r="N2896" s="9" t="s">
        <v>32</v>
      </c>
      <c r="O2896" s="12" t="s">
        <v>33</v>
      </c>
      <c r="P2896" s="12" t="s">
        <v>34</v>
      </c>
      <c r="Q2896" s="9"/>
      <c r="R2896" s="18"/>
      <c r="S2896" s="18"/>
      <c r="T2896" s="18"/>
      <c r="U2896" s="18"/>
      <c r="V2896" s="18"/>
      <c r="W2896" s="15"/>
      <c r="X2896" s="15"/>
    </row>
    <row r="2897">
      <c r="A2897" s="7">
        <v>2896.0</v>
      </c>
      <c r="B2897" s="8" t="s">
        <v>12168</v>
      </c>
      <c r="C2897" s="9" t="s">
        <v>12169</v>
      </c>
      <c r="D2897" s="10" t="str">
        <f>HYPERLINK("https://facebook.com/367089020688300_477042976359570", "367089020688300_477042976359570")</f>
        <v>367089020688300_477042976359570</v>
      </c>
      <c r="E2897" s="11">
        <v>462.0</v>
      </c>
      <c r="F2897" s="11">
        <v>22.0</v>
      </c>
      <c r="G2897" s="11">
        <v>401.0</v>
      </c>
      <c r="H2897" s="9" t="s">
        <v>26</v>
      </c>
      <c r="I2897" s="9" t="s">
        <v>12170</v>
      </c>
      <c r="J2897" s="9" t="s">
        <v>12171</v>
      </c>
      <c r="K2897" s="9" t="s">
        <v>12172</v>
      </c>
      <c r="L2897" s="9" t="s">
        <v>30</v>
      </c>
      <c r="M2897" s="9" t="s">
        <v>31</v>
      </c>
      <c r="N2897" s="9" t="s">
        <v>32</v>
      </c>
      <c r="O2897" s="12" t="s">
        <v>33</v>
      </c>
      <c r="P2897" s="12" t="s">
        <v>34</v>
      </c>
      <c r="Q2897" s="9"/>
      <c r="R2897" s="18"/>
      <c r="S2897" s="18"/>
      <c r="T2897" s="18"/>
      <c r="U2897" s="18"/>
      <c r="V2897" s="18"/>
      <c r="W2897" s="15"/>
      <c r="X2897" s="15"/>
    </row>
    <row r="2898">
      <c r="A2898" s="7">
        <v>2897.0</v>
      </c>
      <c r="B2898" s="8" t="s">
        <v>12173</v>
      </c>
      <c r="C2898" s="9" t="s">
        <v>12174</v>
      </c>
      <c r="D2898" s="10" t="str">
        <f>HYPERLINK("https://facebook.com/367089020688300_448486855881849", "367089020688300_448486855881849")</f>
        <v>367089020688300_448486855881849</v>
      </c>
      <c r="E2898" s="11">
        <v>1034.0</v>
      </c>
      <c r="F2898" s="11">
        <v>7.0</v>
      </c>
      <c r="G2898" s="11">
        <v>1113.0</v>
      </c>
      <c r="H2898" s="9" t="s">
        <v>26</v>
      </c>
      <c r="I2898" s="9" t="s">
        <v>12175</v>
      </c>
      <c r="J2898" s="9" t="s">
        <v>12176</v>
      </c>
      <c r="K2898" s="9" t="s">
        <v>12177</v>
      </c>
      <c r="L2898" s="9" t="s">
        <v>30</v>
      </c>
      <c r="M2898" s="9" t="s">
        <v>31</v>
      </c>
      <c r="N2898" s="9" t="s">
        <v>32</v>
      </c>
      <c r="O2898" s="12" t="s">
        <v>33</v>
      </c>
      <c r="P2898" s="12" t="s">
        <v>34</v>
      </c>
      <c r="Q2898" s="9"/>
      <c r="R2898" s="18"/>
      <c r="S2898" s="18"/>
      <c r="T2898" s="18"/>
      <c r="U2898" s="18"/>
      <c r="V2898" s="18"/>
      <c r="W2898" s="15"/>
      <c r="X2898" s="15"/>
    </row>
    <row r="2899">
      <c r="A2899" s="7">
        <v>2898.0</v>
      </c>
      <c r="B2899" s="8" t="s">
        <v>12178</v>
      </c>
      <c r="C2899" s="9" t="s">
        <v>12179</v>
      </c>
      <c r="D2899" s="10" t="str">
        <f>HYPERLINK("https://facebook.com/367089020688300_506303493433518", "367089020688300_506303493433518")</f>
        <v>367089020688300_506303493433518</v>
      </c>
      <c r="E2899" s="11">
        <v>419.0</v>
      </c>
      <c r="F2899" s="11">
        <v>18.0</v>
      </c>
      <c r="G2899" s="11">
        <v>564.0</v>
      </c>
      <c r="H2899" s="9" t="s">
        <v>26</v>
      </c>
      <c r="I2899" s="9" t="s">
        <v>6837</v>
      </c>
      <c r="J2899" s="16" t="s">
        <v>6838</v>
      </c>
      <c r="K2899" s="9"/>
      <c r="L2899" s="9" t="s">
        <v>30</v>
      </c>
      <c r="M2899" s="9" t="s">
        <v>31</v>
      </c>
      <c r="N2899" s="9" t="s">
        <v>32</v>
      </c>
      <c r="O2899" s="12" t="s">
        <v>33</v>
      </c>
      <c r="P2899" s="12" t="s">
        <v>34</v>
      </c>
      <c r="Q2899" s="9"/>
      <c r="R2899" s="18"/>
      <c r="S2899" s="18"/>
      <c r="T2899" s="18"/>
      <c r="U2899" s="18"/>
      <c r="V2899" s="18"/>
      <c r="W2899" s="15"/>
      <c r="X2899" s="15"/>
    </row>
    <row r="2900">
      <c r="A2900" s="7">
        <v>2899.0</v>
      </c>
      <c r="B2900" s="8" t="s">
        <v>12180</v>
      </c>
      <c r="C2900" s="9" t="s">
        <v>12181</v>
      </c>
      <c r="D2900" s="10" t="str">
        <f>HYPERLINK("https://facebook.com/367089020688300_529416074455593", "367089020688300_529416074455593")</f>
        <v>367089020688300_529416074455593</v>
      </c>
      <c r="E2900" s="11">
        <v>26.0</v>
      </c>
      <c r="F2900" s="11">
        <v>0.0</v>
      </c>
      <c r="G2900" s="11">
        <v>7.0</v>
      </c>
      <c r="H2900" s="9" t="s">
        <v>26</v>
      </c>
      <c r="I2900" s="9" t="s">
        <v>1965</v>
      </c>
      <c r="J2900" s="9" t="s">
        <v>1966</v>
      </c>
      <c r="K2900" s="9" t="s">
        <v>663</v>
      </c>
      <c r="L2900" s="9" t="s">
        <v>30</v>
      </c>
      <c r="M2900" s="9" t="s">
        <v>31</v>
      </c>
      <c r="N2900" s="9" t="s">
        <v>32</v>
      </c>
      <c r="O2900" s="12" t="s">
        <v>33</v>
      </c>
      <c r="P2900" s="12" t="s">
        <v>34</v>
      </c>
      <c r="Q2900" s="9"/>
      <c r="R2900" s="18"/>
      <c r="S2900" s="18"/>
      <c r="T2900" s="18"/>
      <c r="U2900" s="18"/>
      <c r="V2900" s="18"/>
      <c r="W2900" s="15"/>
      <c r="X2900" s="15"/>
    </row>
    <row r="2901">
      <c r="A2901" s="7">
        <v>2900.0</v>
      </c>
      <c r="B2901" s="8" t="s">
        <v>12182</v>
      </c>
      <c r="C2901" s="9" t="s">
        <v>12183</v>
      </c>
      <c r="D2901" s="10" t="str">
        <f>HYPERLINK("https://facebook.com/367089020688300_536618287068705", "367089020688300_536618287068705")</f>
        <v>367089020688300_536618287068705</v>
      </c>
      <c r="E2901" s="11">
        <v>18.0</v>
      </c>
      <c r="F2901" s="11">
        <v>0.0</v>
      </c>
      <c r="G2901" s="11">
        <v>12.0</v>
      </c>
      <c r="H2901" s="9" t="s">
        <v>26</v>
      </c>
      <c r="I2901" s="9" t="s">
        <v>12184</v>
      </c>
      <c r="J2901" s="9" t="s">
        <v>12185</v>
      </c>
      <c r="K2901" s="9" t="s">
        <v>219</v>
      </c>
      <c r="L2901" s="9" t="s">
        <v>30</v>
      </c>
      <c r="M2901" s="9" t="s">
        <v>31</v>
      </c>
      <c r="N2901" s="9" t="s">
        <v>32</v>
      </c>
      <c r="O2901" s="12" t="s">
        <v>33</v>
      </c>
      <c r="P2901" s="12" t="s">
        <v>34</v>
      </c>
      <c r="Q2901" s="9"/>
      <c r="R2901" s="18"/>
      <c r="S2901" s="18"/>
      <c r="T2901" s="18"/>
      <c r="U2901" s="18"/>
      <c r="V2901" s="18"/>
      <c r="W2901" s="15"/>
      <c r="X2901" s="15"/>
    </row>
    <row r="2902">
      <c r="A2902" s="7">
        <v>2901.0</v>
      </c>
      <c r="B2902" s="8" t="s">
        <v>12186</v>
      </c>
      <c r="C2902" s="9" t="s">
        <v>12187</v>
      </c>
      <c r="D2902" s="10" t="str">
        <f>HYPERLINK("https://facebook.com/367089020688300_471062770290924", "367089020688300_471062770290924")</f>
        <v>367089020688300_471062770290924</v>
      </c>
      <c r="E2902" s="11">
        <v>1357.0</v>
      </c>
      <c r="F2902" s="11">
        <v>37.0</v>
      </c>
      <c r="G2902" s="11">
        <v>996.0</v>
      </c>
      <c r="H2902" s="9" t="s">
        <v>26</v>
      </c>
      <c r="I2902" s="9" t="s">
        <v>12188</v>
      </c>
      <c r="J2902" s="9" t="s">
        <v>12189</v>
      </c>
      <c r="K2902" s="9" t="s">
        <v>12190</v>
      </c>
      <c r="L2902" s="9" t="s">
        <v>30</v>
      </c>
      <c r="M2902" s="9" t="s">
        <v>31</v>
      </c>
      <c r="N2902" s="9" t="s">
        <v>32</v>
      </c>
      <c r="O2902" s="12" t="s">
        <v>33</v>
      </c>
      <c r="P2902" s="12" t="s">
        <v>34</v>
      </c>
      <c r="Q2902" s="9"/>
      <c r="R2902" s="18"/>
      <c r="S2902" s="18"/>
      <c r="T2902" s="18"/>
      <c r="U2902" s="18"/>
      <c r="V2902" s="18"/>
      <c r="W2902" s="15"/>
      <c r="X2902" s="15"/>
    </row>
    <row r="2903">
      <c r="A2903" s="7">
        <v>2902.0</v>
      </c>
      <c r="B2903" s="8" t="s">
        <v>12191</v>
      </c>
      <c r="C2903" s="9" t="s">
        <v>12192</v>
      </c>
      <c r="D2903" s="10" t="str">
        <f>HYPERLINK("https://facebook.com/367089020688300_562402444490289", "367089020688300_562402444490289")</f>
        <v>367089020688300_562402444490289</v>
      </c>
      <c r="E2903" s="11">
        <v>11.0</v>
      </c>
      <c r="F2903" s="11">
        <v>0.0</v>
      </c>
      <c r="G2903" s="11">
        <v>8.0</v>
      </c>
      <c r="H2903" s="9" t="s">
        <v>26</v>
      </c>
      <c r="I2903" s="9" t="s">
        <v>12193</v>
      </c>
      <c r="J2903" s="16" t="s">
        <v>12194</v>
      </c>
      <c r="K2903" s="9"/>
      <c r="L2903" s="9" t="s">
        <v>30</v>
      </c>
      <c r="M2903" s="9" t="s">
        <v>31</v>
      </c>
      <c r="N2903" s="9" t="s">
        <v>32</v>
      </c>
      <c r="O2903" s="12" t="s">
        <v>33</v>
      </c>
      <c r="P2903" s="12" t="s">
        <v>34</v>
      </c>
      <c r="Q2903" s="9"/>
      <c r="R2903" s="18"/>
      <c r="S2903" s="18"/>
      <c r="T2903" s="18"/>
      <c r="U2903" s="18"/>
      <c r="V2903" s="18"/>
      <c r="W2903" s="15"/>
      <c r="X2903" s="15"/>
    </row>
    <row r="2904">
      <c r="A2904" s="7">
        <v>2903.0</v>
      </c>
      <c r="B2904" s="8" t="s">
        <v>12195</v>
      </c>
      <c r="C2904" s="9" t="s">
        <v>12196</v>
      </c>
      <c r="D2904" s="10" t="str">
        <f>HYPERLINK("https://facebook.com/367089020688300_559721341425066", "367089020688300_559721341425066")</f>
        <v>367089020688300_559721341425066</v>
      </c>
      <c r="E2904" s="11">
        <v>40.0</v>
      </c>
      <c r="F2904" s="11">
        <v>0.0</v>
      </c>
      <c r="G2904" s="11">
        <v>51.0</v>
      </c>
      <c r="H2904" s="9" t="s">
        <v>26</v>
      </c>
      <c r="I2904" s="9" t="s">
        <v>6014</v>
      </c>
      <c r="J2904" s="16" t="s">
        <v>12197</v>
      </c>
      <c r="K2904" s="9"/>
      <c r="L2904" s="9" t="s">
        <v>30</v>
      </c>
      <c r="M2904" s="9" t="s">
        <v>31</v>
      </c>
      <c r="N2904" s="9" t="s">
        <v>32</v>
      </c>
      <c r="O2904" s="12" t="s">
        <v>33</v>
      </c>
      <c r="P2904" s="12" t="s">
        <v>34</v>
      </c>
      <c r="Q2904" s="9"/>
      <c r="R2904" s="18"/>
      <c r="S2904" s="18"/>
      <c r="T2904" s="18"/>
      <c r="U2904" s="18"/>
      <c r="V2904" s="18"/>
      <c r="W2904" s="15"/>
      <c r="X2904" s="15"/>
    </row>
    <row r="2905">
      <c r="A2905" s="7">
        <v>2904.0</v>
      </c>
      <c r="B2905" s="8" t="s">
        <v>12198</v>
      </c>
      <c r="C2905" s="9" t="s">
        <v>12199</v>
      </c>
      <c r="D2905" s="10" t="str">
        <f>HYPERLINK("https://facebook.com/367089020688300_458736681523533", "367089020688300_458736681523533")</f>
        <v>367089020688300_458736681523533</v>
      </c>
      <c r="E2905" s="11">
        <v>1027.0</v>
      </c>
      <c r="F2905" s="11">
        <v>24.0</v>
      </c>
      <c r="G2905" s="11">
        <v>540.0</v>
      </c>
      <c r="H2905" s="9" t="s">
        <v>26</v>
      </c>
      <c r="I2905" s="9" t="s">
        <v>12200</v>
      </c>
      <c r="J2905" s="9" t="s">
        <v>12201</v>
      </c>
      <c r="K2905" s="9" t="s">
        <v>12202</v>
      </c>
      <c r="L2905" s="9" t="s">
        <v>30</v>
      </c>
      <c r="M2905" s="9" t="s">
        <v>31</v>
      </c>
      <c r="N2905" s="9" t="s">
        <v>32</v>
      </c>
      <c r="O2905" s="12" t="s">
        <v>33</v>
      </c>
      <c r="P2905" s="12" t="s">
        <v>34</v>
      </c>
      <c r="Q2905" s="9"/>
      <c r="R2905" s="18"/>
      <c r="S2905" s="18"/>
      <c r="T2905" s="18"/>
      <c r="U2905" s="18"/>
      <c r="V2905" s="18"/>
      <c r="W2905" s="15"/>
      <c r="X2905" s="15"/>
    </row>
    <row r="2906">
      <c r="A2906" s="7">
        <v>2905.0</v>
      </c>
      <c r="B2906" s="8" t="s">
        <v>12203</v>
      </c>
      <c r="C2906" s="9" t="s">
        <v>12204</v>
      </c>
      <c r="D2906" s="10" t="str">
        <f>HYPERLINK("https://facebook.com/367089020688300_539246530139214", "367089020688300_539246530139214")</f>
        <v>367089020688300_539246530139214</v>
      </c>
      <c r="E2906" s="11">
        <v>588.0</v>
      </c>
      <c r="F2906" s="11">
        <v>75.0</v>
      </c>
      <c r="G2906" s="11">
        <v>233.0</v>
      </c>
      <c r="H2906" s="9" t="s">
        <v>26</v>
      </c>
      <c r="I2906" s="9" t="s">
        <v>12205</v>
      </c>
      <c r="J2906" s="9" t="s">
        <v>12206</v>
      </c>
      <c r="K2906" s="9" t="s">
        <v>12207</v>
      </c>
      <c r="L2906" s="9" t="s">
        <v>30</v>
      </c>
      <c r="M2906" s="9" t="s">
        <v>31</v>
      </c>
      <c r="N2906" s="9" t="s">
        <v>32</v>
      </c>
      <c r="O2906" s="12" t="s">
        <v>33</v>
      </c>
      <c r="P2906" s="12" t="s">
        <v>34</v>
      </c>
      <c r="Q2906" s="9"/>
      <c r="R2906" s="18"/>
      <c r="S2906" s="18"/>
      <c r="T2906" s="18"/>
      <c r="U2906" s="18"/>
      <c r="V2906" s="18"/>
      <c r="W2906" s="15"/>
      <c r="X2906" s="15"/>
    </row>
    <row r="2907">
      <c r="A2907" s="7">
        <v>2906.0</v>
      </c>
      <c r="B2907" s="8" t="s">
        <v>12208</v>
      </c>
      <c r="C2907" s="9" t="s">
        <v>12209</v>
      </c>
      <c r="D2907" s="10" t="str">
        <f>HYPERLINK("https://facebook.com/367089020688300_535698110494056", "367089020688300_535698110494056")</f>
        <v>367089020688300_535698110494056</v>
      </c>
      <c r="E2907" s="11">
        <v>83.0</v>
      </c>
      <c r="F2907" s="11">
        <v>1.0</v>
      </c>
      <c r="G2907" s="11">
        <v>35.0</v>
      </c>
      <c r="H2907" s="9" t="s">
        <v>26</v>
      </c>
      <c r="I2907" s="9" t="s">
        <v>9713</v>
      </c>
      <c r="J2907" s="16" t="s">
        <v>9714</v>
      </c>
      <c r="K2907" s="9"/>
      <c r="L2907" s="9" t="s">
        <v>30</v>
      </c>
      <c r="M2907" s="9" t="s">
        <v>31</v>
      </c>
      <c r="N2907" s="9" t="s">
        <v>32</v>
      </c>
      <c r="O2907" s="12" t="s">
        <v>33</v>
      </c>
      <c r="P2907" s="12" t="s">
        <v>34</v>
      </c>
      <c r="Q2907" s="9"/>
      <c r="R2907" s="18"/>
      <c r="S2907" s="18"/>
      <c r="T2907" s="18"/>
      <c r="U2907" s="18"/>
      <c r="V2907" s="18"/>
      <c r="W2907" s="15"/>
      <c r="X2907" s="15"/>
    </row>
    <row r="2908">
      <c r="A2908" s="7">
        <v>2907.0</v>
      </c>
      <c r="B2908" s="8" t="s">
        <v>12210</v>
      </c>
      <c r="C2908" s="9" t="s">
        <v>12211</v>
      </c>
      <c r="D2908" s="10" t="str">
        <f>HYPERLINK("https://facebook.com/367089020688300_535551547175379", "367089020688300_535551547175379")</f>
        <v>367089020688300_535551547175379</v>
      </c>
      <c r="E2908" s="11">
        <v>301.0</v>
      </c>
      <c r="F2908" s="11">
        <v>24.0</v>
      </c>
      <c r="G2908" s="11">
        <v>473.0</v>
      </c>
      <c r="H2908" s="9" t="s">
        <v>26</v>
      </c>
      <c r="I2908" s="9" t="s">
        <v>12212</v>
      </c>
      <c r="J2908" s="16" t="s">
        <v>12213</v>
      </c>
      <c r="K2908" s="9"/>
      <c r="L2908" s="9" t="s">
        <v>30</v>
      </c>
      <c r="M2908" s="9" t="s">
        <v>31</v>
      </c>
      <c r="N2908" s="9" t="s">
        <v>32</v>
      </c>
      <c r="O2908" s="12" t="s">
        <v>33</v>
      </c>
      <c r="P2908" s="12" t="s">
        <v>34</v>
      </c>
      <c r="Q2908" s="9"/>
      <c r="R2908" s="18"/>
      <c r="S2908" s="18"/>
      <c r="T2908" s="18"/>
      <c r="U2908" s="18"/>
      <c r="V2908" s="18"/>
      <c r="W2908" s="15"/>
      <c r="X2908" s="15"/>
    </row>
    <row r="2909">
      <c r="A2909" s="7">
        <v>2908.0</v>
      </c>
      <c r="B2909" s="8" t="s">
        <v>12214</v>
      </c>
      <c r="C2909" s="9" t="s">
        <v>12215</v>
      </c>
      <c r="D2909" s="10" t="str">
        <f>HYPERLINK("https://facebook.com/367089020688300_543350076395526", "367089020688300_543350076395526")</f>
        <v>367089020688300_543350076395526</v>
      </c>
      <c r="E2909" s="11">
        <v>4.0</v>
      </c>
      <c r="F2909" s="11">
        <v>0.0</v>
      </c>
      <c r="G2909" s="11">
        <v>0.0</v>
      </c>
      <c r="H2909" s="9" t="s">
        <v>26</v>
      </c>
      <c r="I2909" s="9" t="s">
        <v>12216</v>
      </c>
      <c r="J2909" s="9" t="s">
        <v>12217</v>
      </c>
      <c r="K2909" s="9" t="s">
        <v>12218</v>
      </c>
      <c r="L2909" s="9" t="s">
        <v>30</v>
      </c>
      <c r="M2909" s="9" t="s">
        <v>31</v>
      </c>
      <c r="N2909" s="9" t="s">
        <v>32</v>
      </c>
      <c r="O2909" s="12" t="s">
        <v>33</v>
      </c>
      <c r="P2909" s="12" t="s">
        <v>34</v>
      </c>
      <c r="Q2909" s="9"/>
      <c r="R2909" s="18"/>
      <c r="S2909" s="18"/>
      <c r="T2909" s="18"/>
      <c r="U2909" s="18"/>
      <c r="V2909" s="18"/>
      <c r="W2909" s="15"/>
      <c r="X2909" s="15"/>
    </row>
    <row r="2910">
      <c r="A2910" s="7">
        <v>2909.0</v>
      </c>
      <c r="B2910" s="8" t="s">
        <v>12219</v>
      </c>
      <c r="C2910" s="9" t="s">
        <v>12220</v>
      </c>
      <c r="D2910" s="10" t="str">
        <f>HYPERLINK("https://facebook.com/367089020688300_530151397715394", "367089020688300_530151397715394")</f>
        <v>367089020688300_530151397715394</v>
      </c>
      <c r="E2910" s="11">
        <v>130.0</v>
      </c>
      <c r="F2910" s="11">
        <v>1.0</v>
      </c>
      <c r="G2910" s="11">
        <v>84.0</v>
      </c>
      <c r="H2910" s="9" t="s">
        <v>26</v>
      </c>
      <c r="I2910" s="9" t="s">
        <v>12221</v>
      </c>
      <c r="J2910" s="9" t="s">
        <v>12222</v>
      </c>
      <c r="K2910" s="9" t="s">
        <v>12223</v>
      </c>
      <c r="L2910" s="9" t="s">
        <v>30</v>
      </c>
      <c r="M2910" s="9" t="s">
        <v>31</v>
      </c>
      <c r="N2910" s="9" t="s">
        <v>32</v>
      </c>
      <c r="O2910" s="12" t="s">
        <v>33</v>
      </c>
      <c r="P2910" s="12" t="s">
        <v>34</v>
      </c>
      <c r="Q2910" s="9"/>
      <c r="R2910" s="18"/>
      <c r="S2910" s="18"/>
      <c r="T2910" s="18"/>
      <c r="U2910" s="18"/>
      <c r="V2910" s="18"/>
      <c r="W2910" s="15"/>
      <c r="X2910" s="15"/>
    </row>
    <row r="2911">
      <c r="A2911" s="7">
        <v>2910.0</v>
      </c>
      <c r="B2911" s="8" t="s">
        <v>12224</v>
      </c>
      <c r="C2911" s="9" t="s">
        <v>12225</v>
      </c>
      <c r="D2911" s="10" t="str">
        <f>HYPERLINK("https://facebook.com/367089020688300_539162940147573", "367089020688300_539162940147573")</f>
        <v>367089020688300_539162940147573</v>
      </c>
      <c r="E2911" s="11">
        <v>74.0</v>
      </c>
      <c r="F2911" s="11">
        <v>0.0</v>
      </c>
      <c r="G2911" s="11">
        <v>68.0</v>
      </c>
      <c r="H2911" s="9" t="s">
        <v>26</v>
      </c>
      <c r="I2911" s="9" t="s">
        <v>12226</v>
      </c>
      <c r="J2911" s="16" t="s">
        <v>12227</v>
      </c>
      <c r="K2911" s="9"/>
      <c r="L2911" s="9" t="s">
        <v>30</v>
      </c>
      <c r="M2911" s="9" t="s">
        <v>31</v>
      </c>
      <c r="N2911" s="9" t="s">
        <v>32</v>
      </c>
      <c r="O2911" s="12" t="s">
        <v>33</v>
      </c>
      <c r="P2911" s="12" t="s">
        <v>34</v>
      </c>
      <c r="Q2911" s="9"/>
      <c r="R2911" s="18"/>
      <c r="S2911" s="18"/>
      <c r="T2911" s="18"/>
      <c r="U2911" s="18"/>
      <c r="V2911" s="18"/>
      <c r="W2911" s="15"/>
      <c r="X2911" s="15"/>
    </row>
    <row r="2912">
      <c r="A2912" s="7">
        <v>2911.0</v>
      </c>
      <c r="B2912" s="8" t="s">
        <v>12228</v>
      </c>
      <c r="C2912" s="9" t="s">
        <v>12229</v>
      </c>
      <c r="D2912" s="10" t="str">
        <f>HYPERLINK("https://facebook.com/367089020688300_476105046453363", "367089020688300_476105046453363")</f>
        <v>367089020688300_476105046453363</v>
      </c>
      <c r="E2912" s="11">
        <v>59.0</v>
      </c>
      <c r="F2912" s="11">
        <v>1.0</v>
      </c>
      <c r="G2912" s="11">
        <v>133.0</v>
      </c>
      <c r="H2912" s="9" t="s">
        <v>26</v>
      </c>
      <c r="I2912" s="9" t="s">
        <v>12230</v>
      </c>
      <c r="J2912" s="9" t="s">
        <v>12231</v>
      </c>
      <c r="K2912" s="9" t="s">
        <v>3662</v>
      </c>
      <c r="L2912" s="9" t="s">
        <v>30</v>
      </c>
      <c r="M2912" s="9" t="s">
        <v>31</v>
      </c>
      <c r="N2912" s="9" t="s">
        <v>32</v>
      </c>
      <c r="O2912" s="12" t="s">
        <v>33</v>
      </c>
      <c r="P2912" s="12" t="s">
        <v>34</v>
      </c>
      <c r="Q2912" s="9"/>
      <c r="R2912" s="18"/>
      <c r="S2912" s="18"/>
      <c r="T2912" s="18"/>
      <c r="U2912" s="18"/>
      <c r="V2912" s="18"/>
      <c r="W2912" s="15"/>
      <c r="X2912" s="15"/>
    </row>
    <row r="2913">
      <c r="A2913" s="7">
        <v>2912.0</v>
      </c>
      <c r="B2913" s="8" t="s">
        <v>12232</v>
      </c>
      <c r="C2913" s="9" t="s">
        <v>12233</v>
      </c>
      <c r="D2913" s="10" t="str">
        <f>HYPERLINK("https://facebook.com/367089020688300_540097213387479", "367089020688300_540097213387479")</f>
        <v>367089020688300_540097213387479</v>
      </c>
      <c r="E2913" s="11">
        <v>32.0</v>
      </c>
      <c r="F2913" s="11">
        <v>0.0</v>
      </c>
      <c r="G2913" s="11">
        <v>4.0</v>
      </c>
      <c r="H2913" s="9" t="s">
        <v>26</v>
      </c>
      <c r="I2913" s="9" t="s">
        <v>12234</v>
      </c>
      <c r="J2913" s="9" t="s">
        <v>12235</v>
      </c>
      <c r="K2913" s="9" t="s">
        <v>476</v>
      </c>
      <c r="L2913" s="9" t="s">
        <v>30</v>
      </c>
      <c r="M2913" s="9" t="s">
        <v>31</v>
      </c>
      <c r="N2913" s="9" t="s">
        <v>32</v>
      </c>
      <c r="O2913" s="12" t="s">
        <v>33</v>
      </c>
      <c r="P2913" s="12" t="s">
        <v>34</v>
      </c>
      <c r="Q2913" s="9"/>
      <c r="R2913" s="18"/>
      <c r="S2913" s="18"/>
      <c r="T2913" s="18"/>
      <c r="U2913" s="18"/>
      <c r="V2913" s="18"/>
      <c r="W2913" s="15"/>
      <c r="X2913" s="15"/>
    </row>
    <row r="2914">
      <c r="A2914" s="7">
        <v>2913.0</v>
      </c>
      <c r="B2914" s="8" t="s">
        <v>12236</v>
      </c>
      <c r="C2914" s="9" t="s">
        <v>12237</v>
      </c>
      <c r="D2914" s="10" t="str">
        <f>HYPERLINK("https://facebook.com/367089020688300_416746255722576", "367089020688300_416746255722576")</f>
        <v>367089020688300_416746255722576</v>
      </c>
      <c r="E2914" s="11">
        <v>214.0</v>
      </c>
      <c r="F2914" s="11">
        <v>1.0</v>
      </c>
      <c r="G2914" s="11">
        <v>108.0</v>
      </c>
      <c r="H2914" s="9" t="s">
        <v>26</v>
      </c>
      <c r="I2914" s="9" t="s">
        <v>12238</v>
      </c>
      <c r="J2914" s="9" t="s">
        <v>12239</v>
      </c>
      <c r="K2914" s="9" t="s">
        <v>219</v>
      </c>
      <c r="L2914" s="9" t="s">
        <v>30</v>
      </c>
      <c r="M2914" s="9" t="s">
        <v>31</v>
      </c>
      <c r="N2914" s="9" t="s">
        <v>32</v>
      </c>
      <c r="O2914" s="12" t="s">
        <v>33</v>
      </c>
      <c r="P2914" s="12" t="s">
        <v>34</v>
      </c>
      <c r="Q2914" s="9"/>
      <c r="R2914" s="18"/>
      <c r="S2914" s="18"/>
      <c r="T2914" s="18"/>
      <c r="U2914" s="18"/>
      <c r="V2914" s="18"/>
      <c r="W2914" s="15"/>
      <c r="X2914" s="15"/>
    </row>
    <row r="2915">
      <c r="A2915" s="7">
        <v>2914.0</v>
      </c>
      <c r="B2915" s="8" t="s">
        <v>12240</v>
      </c>
      <c r="C2915" s="9" t="s">
        <v>12241</v>
      </c>
      <c r="D2915" s="10" t="str">
        <f>HYPERLINK("https://facebook.com/367089020688300_536646517065882", "367089020688300_536646517065882")</f>
        <v>367089020688300_536646517065882</v>
      </c>
      <c r="E2915" s="11">
        <v>18.0</v>
      </c>
      <c r="F2915" s="11">
        <v>0.0</v>
      </c>
      <c r="G2915" s="11">
        <v>7.0</v>
      </c>
      <c r="H2915" s="9" t="s">
        <v>26</v>
      </c>
      <c r="I2915" s="9" t="s">
        <v>2951</v>
      </c>
      <c r="J2915" s="16" t="s">
        <v>2952</v>
      </c>
      <c r="K2915" s="9"/>
      <c r="L2915" s="9" t="s">
        <v>30</v>
      </c>
      <c r="M2915" s="9" t="s">
        <v>31</v>
      </c>
      <c r="N2915" s="9" t="s">
        <v>32</v>
      </c>
      <c r="O2915" s="12" t="s">
        <v>33</v>
      </c>
      <c r="P2915" s="12" t="s">
        <v>34</v>
      </c>
      <c r="Q2915" s="9"/>
      <c r="R2915" s="18"/>
      <c r="S2915" s="18"/>
      <c r="T2915" s="18"/>
      <c r="U2915" s="18"/>
      <c r="V2915" s="18"/>
      <c r="W2915" s="15"/>
      <c r="X2915" s="15"/>
    </row>
    <row r="2916">
      <c r="A2916" s="7">
        <v>2915.0</v>
      </c>
      <c r="B2916" s="8" t="s">
        <v>12242</v>
      </c>
      <c r="C2916" s="9" t="s">
        <v>12243</v>
      </c>
      <c r="D2916" s="10" t="str">
        <f>HYPERLINK("https://facebook.com/367089020688300_547595282637672", "367089020688300_547595282637672")</f>
        <v>367089020688300_547595282637672</v>
      </c>
      <c r="E2916" s="11">
        <v>278.0</v>
      </c>
      <c r="F2916" s="11">
        <v>7.0</v>
      </c>
      <c r="G2916" s="11">
        <v>205.0</v>
      </c>
      <c r="H2916" s="9" t="s">
        <v>26</v>
      </c>
      <c r="I2916" s="9" t="s">
        <v>12244</v>
      </c>
      <c r="J2916" s="16" t="s">
        <v>12245</v>
      </c>
      <c r="K2916" s="9"/>
      <c r="L2916" s="9" t="s">
        <v>30</v>
      </c>
      <c r="M2916" s="9" t="s">
        <v>31</v>
      </c>
      <c r="N2916" s="9" t="s">
        <v>32</v>
      </c>
      <c r="O2916" s="12" t="s">
        <v>33</v>
      </c>
      <c r="P2916" s="12" t="s">
        <v>34</v>
      </c>
      <c r="Q2916" s="9"/>
      <c r="R2916" s="18"/>
      <c r="S2916" s="18"/>
      <c r="T2916" s="18"/>
      <c r="U2916" s="18"/>
      <c r="V2916" s="18"/>
      <c r="W2916" s="15"/>
      <c r="X2916" s="15"/>
    </row>
    <row r="2917">
      <c r="A2917" s="7">
        <v>2916.0</v>
      </c>
      <c r="B2917" s="8" t="s">
        <v>12246</v>
      </c>
      <c r="C2917" s="9" t="s">
        <v>12247</v>
      </c>
      <c r="D2917" s="10" t="str">
        <f>HYPERLINK("https://facebook.com/367089020688300_469159793814555", "367089020688300_469159793814555")</f>
        <v>367089020688300_469159793814555</v>
      </c>
      <c r="E2917" s="11">
        <v>196.0</v>
      </c>
      <c r="F2917" s="11">
        <v>19.0</v>
      </c>
      <c r="G2917" s="11">
        <v>241.0</v>
      </c>
      <c r="H2917" s="9" t="s">
        <v>26</v>
      </c>
      <c r="I2917" s="9" t="s">
        <v>12248</v>
      </c>
      <c r="J2917" s="9" t="s">
        <v>12249</v>
      </c>
      <c r="K2917" s="9" t="s">
        <v>9694</v>
      </c>
      <c r="L2917" s="9" t="s">
        <v>30</v>
      </c>
      <c r="M2917" s="9" t="s">
        <v>31</v>
      </c>
      <c r="N2917" s="9" t="s">
        <v>32</v>
      </c>
      <c r="O2917" s="12" t="s">
        <v>33</v>
      </c>
      <c r="P2917" s="12" t="s">
        <v>34</v>
      </c>
      <c r="Q2917" s="9"/>
      <c r="R2917" s="18"/>
      <c r="S2917" s="18"/>
      <c r="T2917" s="18"/>
      <c r="U2917" s="18"/>
      <c r="V2917" s="18"/>
      <c r="W2917" s="15"/>
      <c r="X2917" s="15"/>
    </row>
    <row r="2918">
      <c r="A2918" s="7">
        <v>2917.0</v>
      </c>
      <c r="B2918" s="8" t="s">
        <v>12250</v>
      </c>
      <c r="C2918" s="9" t="s">
        <v>12251</v>
      </c>
      <c r="D2918" s="10" t="str">
        <f>HYPERLINK("https://facebook.com/367089020688300_535454390518428", "367089020688300_535454390518428")</f>
        <v>367089020688300_535454390518428</v>
      </c>
      <c r="E2918" s="11">
        <v>148.0</v>
      </c>
      <c r="F2918" s="11">
        <v>1.0</v>
      </c>
      <c r="G2918" s="11">
        <v>92.0</v>
      </c>
      <c r="H2918" s="9" t="s">
        <v>26</v>
      </c>
      <c r="I2918" s="9" t="s">
        <v>12252</v>
      </c>
      <c r="J2918" s="16" t="s">
        <v>12253</v>
      </c>
      <c r="K2918" s="9"/>
      <c r="L2918" s="9" t="s">
        <v>30</v>
      </c>
      <c r="M2918" s="9" t="s">
        <v>31</v>
      </c>
      <c r="N2918" s="9" t="s">
        <v>32</v>
      </c>
      <c r="O2918" s="12" t="s">
        <v>33</v>
      </c>
      <c r="P2918" s="12" t="s">
        <v>34</v>
      </c>
      <c r="Q2918" s="9"/>
      <c r="R2918" s="18"/>
      <c r="S2918" s="18"/>
      <c r="T2918" s="18"/>
      <c r="U2918" s="18"/>
      <c r="V2918" s="18"/>
      <c r="W2918" s="15"/>
      <c r="X2918" s="15"/>
    </row>
    <row r="2919">
      <c r="A2919" s="7">
        <v>2918.0</v>
      </c>
      <c r="B2919" s="8" t="s">
        <v>12254</v>
      </c>
      <c r="C2919" s="9" t="s">
        <v>12255</v>
      </c>
      <c r="D2919" s="10" t="str">
        <f>HYPERLINK("https://facebook.com/367089020688300_446352819428586", "367089020688300_446352819428586")</f>
        <v>367089020688300_446352819428586</v>
      </c>
      <c r="E2919" s="11">
        <v>62.0</v>
      </c>
      <c r="F2919" s="11">
        <v>0.0</v>
      </c>
      <c r="G2919" s="11">
        <v>53.0</v>
      </c>
      <c r="H2919" s="9" t="s">
        <v>26</v>
      </c>
      <c r="I2919" s="9" t="s">
        <v>12256</v>
      </c>
      <c r="J2919" s="9" t="s">
        <v>12257</v>
      </c>
      <c r="K2919" s="9" t="s">
        <v>12258</v>
      </c>
      <c r="L2919" s="9" t="s">
        <v>30</v>
      </c>
      <c r="M2919" s="9" t="s">
        <v>31</v>
      </c>
      <c r="N2919" s="9" t="s">
        <v>32</v>
      </c>
      <c r="O2919" s="12" t="s">
        <v>33</v>
      </c>
      <c r="P2919" s="12" t="s">
        <v>34</v>
      </c>
      <c r="Q2919" s="9"/>
      <c r="R2919" s="18"/>
      <c r="S2919" s="18"/>
      <c r="T2919" s="18"/>
      <c r="U2919" s="18"/>
      <c r="V2919" s="18"/>
      <c r="W2919" s="15"/>
      <c r="X2919" s="15"/>
    </row>
    <row r="2920">
      <c r="A2920" s="7">
        <v>2919.0</v>
      </c>
      <c r="B2920" s="8" t="s">
        <v>12259</v>
      </c>
      <c r="C2920" s="9" t="s">
        <v>12260</v>
      </c>
      <c r="D2920" s="10" t="str">
        <f>HYPERLINK("https://facebook.com/367089020688300_517844435612757", "367089020688300_517844435612757")</f>
        <v>367089020688300_517844435612757</v>
      </c>
      <c r="E2920" s="11">
        <v>436.0</v>
      </c>
      <c r="F2920" s="11">
        <v>36.0</v>
      </c>
      <c r="G2920" s="11">
        <v>287.0</v>
      </c>
      <c r="H2920" s="9" t="s">
        <v>26</v>
      </c>
      <c r="I2920" s="9" t="s">
        <v>12261</v>
      </c>
      <c r="J2920" s="9" t="s">
        <v>12262</v>
      </c>
      <c r="K2920" s="9" t="s">
        <v>1345</v>
      </c>
      <c r="L2920" s="9" t="s">
        <v>30</v>
      </c>
      <c r="M2920" s="9" t="s">
        <v>31</v>
      </c>
      <c r="N2920" s="9" t="s">
        <v>32</v>
      </c>
      <c r="O2920" s="12" t="s">
        <v>33</v>
      </c>
      <c r="P2920" s="12" t="s">
        <v>34</v>
      </c>
      <c r="Q2920" s="9"/>
      <c r="R2920" s="18"/>
      <c r="S2920" s="18"/>
      <c r="T2920" s="18"/>
      <c r="U2920" s="18"/>
      <c r="V2920" s="18"/>
      <c r="W2920" s="15"/>
      <c r="X2920" s="15"/>
    </row>
    <row r="2921">
      <c r="A2921" s="7">
        <v>2920.0</v>
      </c>
      <c r="B2921" s="8" t="s">
        <v>12263</v>
      </c>
      <c r="C2921" s="9" t="s">
        <v>12264</v>
      </c>
      <c r="D2921" s="10" t="str">
        <f>HYPERLINK("https://facebook.com/367089020688300_553861442011056", "367089020688300_553861442011056")</f>
        <v>367089020688300_553861442011056</v>
      </c>
      <c r="E2921" s="11">
        <v>127.0</v>
      </c>
      <c r="F2921" s="11">
        <v>2.0</v>
      </c>
      <c r="G2921" s="11">
        <v>107.0</v>
      </c>
      <c r="H2921" s="9" t="s">
        <v>26</v>
      </c>
      <c r="I2921" s="9" t="s">
        <v>12265</v>
      </c>
      <c r="J2921" s="9" t="s">
        <v>12266</v>
      </c>
      <c r="K2921" s="9" t="s">
        <v>249</v>
      </c>
      <c r="L2921" s="9" t="s">
        <v>30</v>
      </c>
      <c r="M2921" s="9" t="s">
        <v>31</v>
      </c>
      <c r="N2921" s="9" t="s">
        <v>32</v>
      </c>
      <c r="O2921" s="12" t="s">
        <v>33</v>
      </c>
      <c r="P2921" s="12" t="s">
        <v>34</v>
      </c>
      <c r="Q2921" s="9"/>
      <c r="R2921" s="18"/>
      <c r="S2921" s="18"/>
      <c r="T2921" s="18"/>
      <c r="U2921" s="18"/>
      <c r="V2921" s="18"/>
      <c r="W2921" s="15"/>
      <c r="X2921" s="15"/>
    </row>
    <row r="2922">
      <c r="A2922" s="7">
        <v>2921.0</v>
      </c>
      <c r="B2922" s="8" t="s">
        <v>12267</v>
      </c>
      <c r="C2922" s="9" t="s">
        <v>12268</v>
      </c>
      <c r="D2922" s="10" t="str">
        <f>HYPERLINK("https://facebook.com/367089020688300_557561171641083", "367089020688300_557561171641083")</f>
        <v>367089020688300_557561171641083</v>
      </c>
      <c r="E2922" s="11">
        <v>42.0</v>
      </c>
      <c r="F2922" s="11">
        <v>0.0</v>
      </c>
      <c r="G2922" s="11">
        <v>45.0</v>
      </c>
      <c r="H2922" s="9" t="s">
        <v>26</v>
      </c>
      <c r="I2922" s="9" t="s">
        <v>12269</v>
      </c>
      <c r="J2922" s="9" t="s">
        <v>12270</v>
      </c>
      <c r="K2922" s="9" t="s">
        <v>12271</v>
      </c>
      <c r="L2922" s="9" t="s">
        <v>30</v>
      </c>
      <c r="M2922" s="9" t="s">
        <v>31</v>
      </c>
      <c r="N2922" s="9" t="s">
        <v>32</v>
      </c>
      <c r="O2922" s="12" t="s">
        <v>33</v>
      </c>
      <c r="P2922" s="12" t="s">
        <v>34</v>
      </c>
      <c r="Q2922" s="9"/>
      <c r="R2922" s="18"/>
      <c r="S2922" s="18"/>
      <c r="T2922" s="18"/>
      <c r="U2922" s="18"/>
      <c r="V2922" s="18"/>
      <c r="W2922" s="15"/>
      <c r="X2922" s="15"/>
    </row>
    <row r="2923">
      <c r="A2923" s="7">
        <v>2922.0</v>
      </c>
      <c r="B2923" s="8" t="s">
        <v>12272</v>
      </c>
      <c r="C2923" s="9" t="s">
        <v>12273</v>
      </c>
      <c r="D2923" s="10" t="str">
        <f>HYPERLINK("https://facebook.com/367089020688300_546320979431769", "367089020688300_546320979431769")</f>
        <v>367089020688300_546320979431769</v>
      </c>
      <c r="E2923" s="11">
        <v>678.0</v>
      </c>
      <c r="F2923" s="11">
        <v>1.0</v>
      </c>
      <c r="G2923" s="11">
        <v>104.0</v>
      </c>
      <c r="H2923" s="9" t="s">
        <v>26</v>
      </c>
      <c r="I2923" s="9" t="s">
        <v>12274</v>
      </c>
      <c r="J2923" s="16" t="s">
        <v>12275</v>
      </c>
      <c r="K2923" s="9"/>
      <c r="L2923" s="9" t="s">
        <v>30</v>
      </c>
      <c r="M2923" s="9" t="s">
        <v>31</v>
      </c>
      <c r="N2923" s="9" t="s">
        <v>32</v>
      </c>
      <c r="O2923" s="12" t="s">
        <v>33</v>
      </c>
      <c r="P2923" s="12" t="s">
        <v>34</v>
      </c>
      <c r="Q2923" s="9"/>
      <c r="R2923" s="18"/>
      <c r="S2923" s="18"/>
      <c r="T2923" s="18"/>
      <c r="U2923" s="18"/>
      <c r="V2923" s="18"/>
      <c r="W2923" s="15"/>
      <c r="X2923" s="15"/>
    </row>
    <row r="2924">
      <c r="A2924" s="7">
        <v>2923.0</v>
      </c>
      <c r="B2924" s="8" t="s">
        <v>12276</v>
      </c>
      <c r="C2924" s="9" t="s">
        <v>12277</v>
      </c>
      <c r="D2924" s="10" t="str">
        <f>HYPERLINK("https://facebook.com/367089020688300_524179601645907", "367089020688300_524179601645907")</f>
        <v>367089020688300_524179601645907</v>
      </c>
      <c r="E2924" s="11">
        <v>2.0</v>
      </c>
      <c r="F2924" s="11">
        <v>0.0</v>
      </c>
      <c r="G2924" s="11">
        <v>8.0</v>
      </c>
      <c r="H2924" s="9" t="s">
        <v>26</v>
      </c>
      <c r="I2924" s="9" t="s">
        <v>12278</v>
      </c>
      <c r="J2924" s="16" t="s">
        <v>12279</v>
      </c>
      <c r="K2924" s="9"/>
      <c r="L2924" s="9" t="s">
        <v>30</v>
      </c>
      <c r="M2924" s="9" t="s">
        <v>31</v>
      </c>
      <c r="N2924" s="9" t="s">
        <v>32</v>
      </c>
      <c r="O2924" s="12" t="s">
        <v>33</v>
      </c>
      <c r="P2924" s="12" t="s">
        <v>34</v>
      </c>
      <c r="Q2924" s="9"/>
      <c r="R2924" s="18"/>
      <c r="S2924" s="18"/>
      <c r="T2924" s="18"/>
      <c r="U2924" s="18"/>
      <c r="V2924" s="18"/>
      <c r="W2924" s="15"/>
      <c r="X2924" s="15"/>
    </row>
    <row r="2925">
      <c r="A2925" s="7">
        <v>2924.0</v>
      </c>
      <c r="B2925" s="8" t="s">
        <v>12280</v>
      </c>
      <c r="C2925" s="9" t="s">
        <v>12281</v>
      </c>
      <c r="D2925" s="10" t="str">
        <f>HYPERLINK("https://facebook.com/367089020688300_504286026968598", "367089020688300_504286026968598")</f>
        <v>367089020688300_504286026968598</v>
      </c>
      <c r="E2925" s="11">
        <v>175.0</v>
      </c>
      <c r="F2925" s="11">
        <v>4.0</v>
      </c>
      <c r="G2925" s="11">
        <v>107.0</v>
      </c>
      <c r="H2925" s="9" t="s">
        <v>26</v>
      </c>
      <c r="I2925" s="9" t="s">
        <v>9199</v>
      </c>
      <c r="J2925" s="9" t="s">
        <v>9200</v>
      </c>
      <c r="K2925" s="9" t="s">
        <v>7336</v>
      </c>
      <c r="L2925" s="9" t="s">
        <v>30</v>
      </c>
      <c r="M2925" s="9" t="s">
        <v>31</v>
      </c>
      <c r="N2925" s="9" t="s">
        <v>32</v>
      </c>
      <c r="O2925" s="12" t="s">
        <v>33</v>
      </c>
      <c r="P2925" s="12" t="s">
        <v>34</v>
      </c>
      <c r="Q2925" s="9"/>
      <c r="R2925" s="18"/>
      <c r="S2925" s="18"/>
      <c r="T2925" s="18"/>
      <c r="U2925" s="18"/>
      <c r="V2925" s="18"/>
      <c r="W2925" s="15"/>
      <c r="X2925" s="15"/>
    </row>
    <row r="2926">
      <c r="A2926" s="7">
        <v>2925.0</v>
      </c>
      <c r="B2926" s="8" t="s">
        <v>12282</v>
      </c>
      <c r="C2926" s="9" t="s">
        <v>12283</v>
      </c>
      <c r="D2926" s="10" t="str">
        <f>HYPERLINK("https://facebook.com/367089020688300_534636770600190", "367089020688300_534636770600190")</f>
        <v>367089020688300_534636770600190</v>
      </c>
      <c r="E2926" s="11">
        <v>378.0</v>
      </c>
      <c r="F2926" s="11">
        <v>1.0</v>
      </c>
      <c r="G2926" s="11">
        <v>207.0</v>
      </c>
      <c r="H2926" s="9" t="s">
        <v>26</v>
      </c>
      <c r="I2926" s="9" t="s">
        <v>2743</v>
      </c>
      <c r="J2926" s="16" t="s">
        <v>12284</v>
      </c>
      <c r="K2926" s="9"/>
      <c r="L2926" s="9" t="s">
        <v>30</v>
      </c>
      <c r="M2926" s="9" t="s">
        <v>31</v>
      </c>
      <c r="N2926" s="9" t="s">
        <v>32</v>
      </c>
      <c r="O2926" s="12" t="s">
        <v>33</v>
      </c>
      <c r="P2926" s="12" t="s">
        <v>34</v>
      </c>
      <c r="Q2926" s="9"/>
      <c r="R2926" s="18"/>
      <c r="S2926" s="18"/>
      <c r="T2926" s="18"/>
      <c r="U2926" s="18"/>
      <c r="V2926" s="18"/>
      <c r="W2926" s="15"/>
      <c r="X2926" s="15"/>
    </row>
    <row r="2927">
      <c r="A2927" s="7">
        <v>2926.0</v>
      </c>
      <c r="B2927" s="8" t="s">
        <v>12285</v>
      </c>
      <c r="C2927" s="9" t="s">
        <v>12286</v>
      </c>
      <c r="D2927" s="10" t="str">
        <f>HYPERLINK("https://facebook.com/367089020688300_488278845235983", "367089020688300_488278845235983")</f>
        <v>367089020688300_488278845235983</v>
      </c>
      <c r="E2927" s="11">
        <v>802.0</v>
      </c>
      <c r="F2927" s="11">
        <v>16.0</v>
      </c>
      <c r="G2927" s="11">
        <v>323.0</v>
      </c>
      <c r="H2927" s="9" t="s">
        <v>26</v>
      </c>
      <c r="I2927" s="9" t="s">
        <v>3584</v>
      </c>
      <c r="J2927" s="9" t="s">
        <v>12287</v>
      </c>
      <c r="K2927" s="9" t="s">
        <v>663</v>
      </c>
      <c r="L2927" s="9" t="s">
        <v>30</v>
      </c>
      <c r="M2927" s="9" t="s">
        <v>31</v>
      </c>
      <c r="N2927" s="9" t="s">
        <v>32</v>
      </c>
      <c r="O2927" s="12" t="s">
        <v>33</v>
      </c>
      <c r="P2927" s="12" t="s">
        <v>34</v>
      </c>
      <c r="Q2927" s="9"/>
      <c r="R2927" s="18"/>
      <c r="S2927" s="18"/>
      <c r="T2927" s="18"/>
      <c r="U2927" s="18"/>
      <c r="V2927" s="18"/>
      <c r="W2927" s="15"/>
      <c r="X2927" s="15"/>
    </row>
    <row r="2928">
      <c r="A2928" s="7">
        <v>2927.0</v>
      </c>
      <c r="B2928" s="8" t="s">
        <v>12288</v>
      </c>
      <c r="C2928" s="9" t="s">
        <v>12289</v>
      </c>
      <c r="D2928" s="10" t="str">
        <f>HYPERLINK("https://facebook.com/367089020688300_548264359237431", "367089020688300_548264359237431")</f>
        <v>367089020688300_548264359237431</v>
      </c>
      <c r="E2928" s="11">
        <v>62.0</v>
      </c>
      <c r="F2928" s="11">
        <v>0.0</v>
      </c>
      <c r="G2928" s="11">
        <v>73.0</v>
      </c>
      <c r="H2928" s="9" t="s">
        <v>26</v>
      </c>
      <c r="I2928" s="9" t="s">
        <v>12290</v>
      </c>
      <c r="J2928" s="9" t="s">
        <v>12291</v>
      </c>
      <c r="K2928" s="9" t="s">
        <v>12292</v>
      </c>
      <c r="L2928" s="9" t="s">
        <v>30</v>
      </c>
      <c r="M2928" s="9" t="s">
        <v>31</v>
      </c>
      <c r="N2928" s="9" t="s">
        <v>32</v>
      </c>
      <c r="O2928" s="12" t="s">
        <v>33</v>
      </c>
      <c r="P2928" s="12" t="s">
        <v>34</v>
      </c>
      <c r="Q2928" s="9"/>
      <c r="R2928" s="18"/>
      <c r="S2928" s="18"/>
      <c r="T2928" s="18"/>
      <c r="U2928" s="18"/>
      <c r="V2928" s="18"/>
      <c r="W2928" s="15"/>
      <c r="X2928" s="15"/>
    </row>
    <row r="2929">
      <c r="A2929" s="7">
        <v>2928.0</v>
      </c>
      <c r="B2929" s="8" t="s">
        <v>12293</v>
      </c>
      <c r="C2929" s="9" t="s">
        <v>12294</v>
      </c>
      <c r="D2929" s="10" t="str">
        <f>HYPERLINK("https://facebook.com/367089020688300_486519495411918", "367089020688300_486519495411918")</f>
        <v>367089020688300_486519495411918</v>
      </c>
      <c r="E2929" s="11">
        <v>268.0</v>
      </c>
      <c r="F2929" s="11">
        <v>12.0</v>
      </c>
      <c r="G2929" s="11">
        <v>218.0</v>
      </c>
      <c r="H2929" s="9" t="s">
        <v>26</v>
      </c>
      <c r="I2929" s="9" t="s">
        <v>12295</v>
      </c>
      <c r="J2929" s="9" t="s">
        <v>12296</v>
      </c>
      <c r="K2929" s="9" t="s">
        <v>12297</v>
      </c>
      <c r="L2929" s="9" t="s">
        <v>30</v>
      </c>
      <c r="M2929" s="9" t="s">
        <v>31</v>
      </c>
      <c r="N2929" s="9" t="s">
        <v>32</v>
      </c>
      <c r="O2929" s="12" t="s">
        <v>33</v>
      </c>
      <c r="P2929" s="12" t="s">
        <v>34</v>
      </c>
      <c r="Q2929" s="9"/>
      <c r="R2929" s="18"/>
      <c r="S2929" s="18"/>
      <c r="T2929" s="18"/>
      <c r="U2929" s="18"/>
      <c r="V2929" s="18"/>
      <c r="W2929" s="15"/>
      <c r="X2929" s="15"/>
    </row>
    <row r="2930">
      <c r="A2930" s="7">
        <v>2929.0</v>
      </c>
      <c r="B2930" s="8" t="s">
        <v>12298</v>
      </c>
      <c r="C2930" s="9" t="s">
        <v>12299</v>
      </c>
      <c r="D2930" s="10" t="str">
        <f>HYPERLINK("https://facebook.com/367089020688300_463671537696714", "367089020688300_463671537696714")</f>
        <v>367089020688300_463671537696714</v>
      </c>
      <c r="E2930" s="11">
        <v>2106.0</v>
      </c>
      <c r="F2930" s="11">
        <v>20.0</v>
      </c>
      <c r="G2930" s="11">
        <v>893.0</v>
      </c>
      <c r="H2930" s="9" t="s">
        <v>26</v>
      </c>
      <c r="I2930" s="9" t="s">
        <v>12300</v>
      </c>
      <c r="J2930" s="9" t="s">
        <v>12301</v>
      </c>
      <c r="K2930" s="9" t="s">
        <v>249</v>
      </c>
      <c r="L2930" s="9" t="s">
        <v>30</v>
      </c>
      <c r="M2930" s="9" t="s">
        <v>31</v>
      </c>
      <c r="N2930" s="9" t="s">
        <v>32</v>
      </c>
      <c r="O2930" s="12" t="s">
        <v>33</v>
      </c>
      <c r="P2930" s="12" t="s">
        <v>34</v>
      </c>
      <c r="Q2930" s="9"/>
      <c r="R2930" s="18"/>
      <c r="S2930" s="18"/>
      <c r="T2930" s="18"/>
      <c r="U2930" s="18"/>
      <c r="V2930" s="18"/>
      <c r="W2930" s="15"/>
      <c r="X2930" s="15"/>
    </row>
    <row r="2931">
      <c r="A2931" s="7">
        <v>2930.0</v>
      </c>
      <c r="B2931" s="8" t="s">
        <v>12302</v>
      </c>
      <c r="C2931" s="9" t="s">
        <v>12303</v>
      </c>
      <c r="D2931" s="10" t="str">
        <f>HYPERLINK("https://facebook.com/367089020688300_506368076760393", "367089020688300_506368076760393")</f>
        <v>367089020688300_506368076760393</v>
      </c>
      <c r="E2931" s="11">
        <v>17.0</v>
      </c>
      <c r="F2931" s="11">
        <v>0.0</v>
      </c>
      <c r="G2931" s="11">
        <v>10.0</v>
      </c>
      <c r="H2931" s="9" t="s">
        <v>26</v>
      </c>
      <c r="I2931" s="9" t="s">
        <v>6900</v>
      </c>
      <c r="J2931" s="9" t="s">
        <v>6901</v>
      </c>
      <c r="K2931" s="9" t="s">
        <v>2622</v>
      </c>
      <c r="L2931" s="9" t="s">
        <v>30</v>
      </c>
      <c r="M2931" s="9" t="s">
        <v>31</v>
      </c>
      <c r="N2931" s="9" t="s">
        <v>32</v>
      </c>
      <c r="O2931" s="12" t="s">
        <v>33</v>
      </c>
      <c r="P2931" s="12" t="s">
        <v>34</v>
      </c>
      <c r="Q2931" s="9"/>
      <c r="R2931" s="18"/>
      <c r="S2931" s="18"/>
      <c r="T2931" s="18"/>
      <c r="U2931" s="18"/>
      <c r="V2931" s="18"/>
      <c r="W2931" s="15"/>
      <c r="X2931" s="15"/>
    </row>
    <row r="2932">
      <c r="A2932" s="7">
        <v>2931.0</v>
      </c>
      <c r="B2932" s="8" t="s">
        <v>12304</v>
      </c>
      <c r="C2932" s="9" t="s">
        <v>12305</v>
      </c>
      <c r="D2932" s="10" t="str">
        <f>HYPERLINK("https://facebook.com/367089020688300_562192467844620", "367089020688300_562192467844620")</f>
        <v>367089020688300_562192467844620</v>
      </c>
      <c r="E2932" s="11">
        <v>14.0</v>
      </c>
      <c r="F2932" s="11">
        <v>0.0</v>
      </c>
      <c r="G2932" s="11">
        <v>3.0</v>
      </c>
      <c r="H2932" s="9" t="s">
        <v>26</v>
      </c>
      <c r="I2932" s="9" t="s">
        <v>12306</v>
      </c>
      <c r="J2932" s="16" t="s">
        <v>12307</v>
      </c>
      <c r="K2932" s="9"/>
      <c r="L2932" s="9" t="s">
        <v>30</v>
      </c>
      <c r="M2932" s="9" t="s">
        <v>31</v>
      </c>
      <c r="N2932" s="9" t="s">
        <v>32</v>
      </c>
      <c r="O2932" s="12" t="s">
        <v>33</v>
      </c>
      <c r="P2932" s="12" t="s">
        <v>34</v>
      </c>
      <c r="Q2932" s="9"/>
      <c r="R2932" s="18"/>
      <c r="S2932" s="18"/>
      <c r="T2932" s="18"/>
      <c r="U2932" s="18"/>
      <c r="V2932" s="18"/>
      <c r="W2932" s="15"/>
      <c r="X2932" s="15"/>
    </row>
    <row r="2933">
      <c r="A2933" s="7">
        <v>2932.0</v>
      </c>
      <c r="B2933" s="8" t="s">
        <v>12308</v>
      </c>
      <c r="C2933" s="9" t="s">
        <v>12309</v>
      </c>
      <c r="D2933" s="10" t="str">
        <f>HYPERLINK("https://facebook.com/367089020688300_558007491596451", "367089020688300_558007491596451")</f>
        <v>367089020688300_558007491596451</v>
      </c>
      <c r="E2933" s="11">
        <v>6.0</v>
      </c>
      <c r="F2933" s="11">
        <v>0.0</v>
      </c>
      <c r="G2933" s="11">
        <v>0.0</v>
      </c>
      <c r="H2933" s="9" t="s">
        <v>26</v>
      </c>
      <c r="I2933" s="9" t="s">
        <v>8234</v>
      </c>
      <c r="J2933" s="16" t="s">
        <v>12310</v>
      </c>
      <c r="K2933" s="9"/>
      <c r="L2933" s="9" t="s">
        <v>30</v>
      </c>
      <c r="M2933" s="9" t="s">
        <v>31</v>
      </c>
      <c r="N2933" s="9" t="s">
        <v>32</v>
      </c>
      <c r="O2933" s="12" t="s">
        <v>33</v>
      </c>
      <c r="P2933" s="12" t="s">
        <v>34</v>
      </c>
      <c r="Q2933" s="9"/>
      <c r="R2933" s="18"/>
      <c r="S2933" s="18"/>
      <c r="T2933" s="18"/>
      <c r="U2933" s="18"/>
      <c r="V2933" s="18"/>
      <c r="W2933" s="15"/>
      <c r="X2933" s="15"/>
    </row>
    <row r="2934">
      <c r="A2934" s="7">
        <v>2933.0</v>
      </c>
      <c r="B2934" s="8" t="s">
        <v>12311</v>
      </c>
      <c r="C2934" s="9" t="s">
        <v>12312</v>
      </c>
      <c r="D2934" s="10" t="str">
        <f>HYPERLINK("https://facebook.com/367089020688300_397250381005497", "367089020688300_397250381005497")</f>
        <v>367089020688300_397250381005497</v>
      </c>
      <c r="E2934" s="11">
        <v>217.0</v>
      </c>
      <c r="F2934" s="11">
        <v>5.0</v>
      </c>
      <c r="G2934" s="11">
        <v>353.0</v>
      </c>
      <c r="H2934" s="9" t="s">
        <v>26</v>
      </c>
      <c r="I2934" s="9" t="s">
        <v>12313</v>
      </c>
      <c r="J2934" s="9" t="s">
        <v>12314</v>
      </c>
      <c r="K2934" s="9" t="s">
        <v>3984</v>
      </c>
      <c r="L2934" s="9" t="s">
        <v>30</v>
      </c>
      <c r="M2934" s="9" t="s">
        <v>31</v>
      </c>
      <c r="N2934" s="9" t="s">
        <v>32</v>
      </c>
      <c r="O2934" s="12" t="s">
        <v>33</v>
      </c>
      <c r="P2934" s="12" t="s">
        <v>34</v>
      </c>
      <c r="Q2934" s="9"/>
      <c r="R2934" s="18"/>
      <c r="S2934" s="18"/>
      <c r="T2934" s="18"/>
      <c r="U2934" s="18"/>
      <c r="V2934" s="18"/>
      <c r="W2934" s="15"/>
      <c r="X2934" s="15"/>
    </row>
    <row r="2935">
      <c r="A2935" s="7">
        <v>2934.0</v>
      </c>
      <c r="B2935" s="8" t="s">
        <v>12315</v>
      </c>
      <c r="C2935" s="9" t="s">
        <v>12316</v>
      </c>
      <c r="D2935" s="10" t="str">
        <f>HYPERLINK("https://facebook.com/367089020688300_554800268583840", "367089020688300_554800268583840")</f>
        <v>367089020688300_554800268583840</v>
      </c>
      <c r="E2935" s="11">
        <v>21.0</v>
      </c>
      <c r="F2935" s="11">
        <v>0.0</v>
      </c>
      <c r="G2935" s="11">
        <v>13.0</v>
      </c>
      <c r="H2935" s="9" t="s">
        <v>26</v>
      </c>
      <c r="I2935" s="9" t="s">
        <v>12317</v>
      </c>
      <c r="J2935" s="9" t="s">
        <v>12318</v>
      </c>
      <c r="K2935" s="9" t="s">
        <v>1250</v>
      </c>
      <c r="L2935" s="9" t="s">
        <v>30</v>
      </c>
      <c r="M2935" s="9" t="s">
        <v>31</v>
      </c>
      <c r="N2935" s="9" t="s">
        <v>32</v>
      </c>
      <c r="O2935" s="12" t="s">
        <v>33</v>
      </c>
      <c r="P2935" s="12" t="s">
        <v>34</v>
      </c>
      <c r="Q2935" s="9"/>
      <c r="R2935" s="18"/>
      <c r="S2935" s="18"/>
      <c r="T2935" s="18"/>
      <c r="U2935" s="18"/>
      <c r="V2935" s="18"/>
      <c r="W2935" s="15"/>
      <c r="X2935" s="15"/>
    </row>
    <row r="2936">
      <c r="A2936" s="7">
        <v>2935.0</v>
      </c>
      <c r="B2936" s="8" t="s">
        <v>12319</v>
      </c>
      <c r="C2936" s="9" t="s">
        <v>12320</v>
      </c>
      <c r="D2936" s="10" t="str">
        <f>HYPERLINK("https://facebook.com/367089020688300_478956399501561", "367089020688300_478956399501561")</f>
        <v>367089020688300_478956399501561</v>
      </c>
      <c r="E2936" s="11">
        <v>913.0</v>
      </c>
      <c r="F2936" s="11">
        <v>27.0</v>
      </c>
      <c r="G2936" s="11">
        <v>589.0</v>
      </c>
      <c r="H2936" s="9" t="s">
        <v>26</v>
      </c>
      <c r="I2936" s="9" t="s">
        <v>3340</v>
      </c>
      <c r="J2936" s="9" t="s">
        <v>12321</v>
      </c>
      <c r="K2936" s="9" t="s">
        <v>12322</v>
      </c>
      <c r="L2936" s="9" t="s">
        <v>30</v>
      </c>
      <c r="M2936" s="9" t="s">
        <v>31</v>
      </c>
      <c r="N2936" s="9" t="s">
        <v>32</v>
      </c>
      <c r="O2936" s="12" t="s">
        <v>33</v>
      </c>
      <c r="P2936" s="12" t="s">
        <v>34</v>
      </c>
      <c r="Q2936" s="9"/>
      <c r="R2936" s="18"/>
      <c r="S2936" s="18"/>
      <c r="T2936" s="18"/>
      <c r="U2936" s="18"/>
      <c r="V2936" s="18"/>
      <c r="W2936" s="15"/>
      <c r="X2936" s="15"/>
    </row>
    <row r="2937">
      <c r="A2937" s="7">
        <v>2936.0</v>
      </c>
      <c r="B2937" s="8" t="s">
        <v>12323</v>
      </c>
      <c r="C2937" s="9" t="s">
        <v>12324</v>
      </c>
      <c r="D2937" s="10" t="str">
        <f>HYPERLINK("https://facebook.com/367089020688300_560350458028821", "367089020688300_560350458028821")</f>
        <v>367089020688300_560350458028821</v>
      </c>
      <c r="E2937" s="11">
        <v>7.0</v>
      </c>
      <c r="F2937" s="11">
        <v>0.0</v>
      </c>
      <c r="G2937" s="11">
        <v>14.0</v>
      </c>
      <c r="H2937" s="9" t="s">
        <v>26</v>
      </c>
      <c r="I2937" s="9" t="s">
        <v>12325</v>
      </c>
      <c r="J2937" s="9" t="s">
        <v>12326</v>
      </c>
      <c r="K2937" s="9" t="s">
        <v>12327</v>
      </c>
      <c r="L2937" s="9" t="s">
        <v>30</v>
      </c>
      <c r="M2937" s="9" t="s">
        <v>31</v>
      </c>
      <c r="N2937" s="9" t="s">
        <v>32</v>
      </c>
      <c r="O2937" s="12" t="s">
        <v>33</v>
      </c>
      <c r="P2937" s="12" t="s">
        <v>34</v>
      </c>
      <c r="Q2937" s="9"/>
      <c r="R2937" s="18"/>
      <c r="S2937" s="18"/>
      <c r="T2937" s="18"/>
      <c r="U2937" s="18"/>
      <c r="V2937" s="18"/>
      <c r="W2937" s="15"/>
      <c r="X2937" s="15"/>
    </row>
    <row r="2938">
      <c r="A2938" s="7">
        <v>2937.0</v>
      </c>
      <c r="B2938" s="8" t="s">
        <v>12328</v>
      </c>
      <c r="C2938" s="9" t="s">
        <v>12329</v>
      </c>
      <c r="D2938" s="10" t="str">
        <f>HYPERLINK("https://facebook.com/367089020688300_540452166685317", "367089020688300_540452166685317")</f>
        <v>367089020688300_540452166685317</v>
      </c>
      <c r="E2938" s="11">
        <v>40.0</v>
      </c>
      <c r="F2938" s="11">
        <v>0.0</v>
      </c>
      <c r="G2938" s="11">
        <v>3.0</v>
      </c>
      <c r="H2938" s="9" t="s">
        <v>26</v>
      </c>
      <c r="I2938" s="9" t="s">
        <v>12330</v>
      </c>
      <c r="J2938" s="16" t="s">
        <v>12331</v>
      </c>
      <c r="K2938" s="9"/>
      <c r="L2938" s="9" t="s">
        <v>30</v>
      </c>
      <c r="M2938" s="9" t="s">
        <v>31</v>
      </c>
      <c r="N2938" s="9" t="s">
        <v>32</v>
      </c>
      <c r="O2938" s="12" t="s">
        <v>33</v>
      </c>
      <c r="P2938" s="12" t="s">
        <v>34</v>
      </c>
      <c r="Q2938" s="9"/>
      <c r="R2938" s="18"/>
      <c r="S2938" s="18"/>
      <c r="T2938" s="18"/>
      <c r="U2938" s="18"/>
      <c r="V2938" s="18"/>
      <c r="W2938" s="15"/>
      <c r="X2938" s="15"/>
    </row>
    <row r="2939">
      <c r="A2939" s="7">
        <v>2938.0</v>
      </c>
      <c r="B2939" s="8" t="s">
        <v>12332</v>
      </c>
      <c r="C2939" s="9" t="s">
        <v>12333</v>
      </c>
      <c r="D2939" s="10" t="str">
        <f>HYPERLINK("https://facebook.com/367089020688300_559216991475501", "367089020688300_559216991475501")</f>
        <v>367089020688300_559216991475501</v>
      </c>
      <c r="E2939" s="11">
        <v>554.0</v>
      </c>
      <c r="F2939" s="11">
        <v>4.0</v>
      </c>
      <c r="G2939" s="11">
        <v>388.0</v>
      </c>
      <c r="H2939" s="9" t="s">
        <v>26</v>
      </c>
      <c r="I2939" s="9" t="s">
        <v>12334</v>
      </c>
      <c r="J2939" s="16" t="s">
        <v>12335</v>
      </c>
      <c r="K2939" s="9"/>
      <c r="L2939" s="9" t="s">
        <v>30</v>
      </c>
      <c r="M2939" s="9" t="s">
        <v>31</v>
      </c>
      <c r="N2939" s="9" t="s">
        <v>32</v>
      </c>
      <c r="O2939" s="12" t="s">
        <v>33</v>
      </c>
      <c r="P2939" s="12" t="s">
        <v>34</v>
      </c>
      <c r="Q2939" s="9"/>
      <c r="R2939" s="18"/>
      <c r="S2939" s="18"/>
      <c r="T2939" s="18"/>
      <c r="U2939" s="18"/>
      <c r="V2939" s="18"/>
      <c r="W2939" s="15"/>
      <c r="X2939" s="15"/>
    </row>
    <row r="2940">
      <c r="A2940" s="7">
        <v>2939.0</v>
      </c>
      <c r="B2940" s="8" t="s">
        <v>12336</v>
      </c>
      <c r="C2940" s="9" t="s">
        <v>12337</v>
      </c>
      <c r="D2940" s="10" t="str">
        <f>HYPERLINK("https://facebook.com/367089020688300_391114838285718", "367089020688300_391114838285718")</f>
        <v>367089020688300_391114838285718</v>
      </c>
      <c r="E2940" s="11">
        <v>389.0</v>
      </c>
      <c r="F2940" s="11">
        <v>15.0</v>
      </c>
      <c r="G2940" s="11">
        <v>443.0</v>
      </c>
      <c r="H2940" s="9" t="s">
        <v>26</v>
      </c>
      <c r="I2940" s="9" t="s">
        <v>12338</v>
      </c>
      <c r="J2940" s="9" t="s">
        <v>12339</v>
      </c>
      <c r="K2940" s="9" t="s">
        <v>12340</v>
      </c>
      <c r="L2940" s="9" t="s">
        <v>30</v>
      </c>
      <c r="M2940" s="9" t="s">
        <v>31</v>
      </c>
      <c r="N2940" s="9" t="s">
        <v>32</v>
      </c>
      <c r="O2940" s="12" t="s">
        <v>33</v>
      </c>
      <c r="P2940" s="12" t="s">
        <v>34</v>
      </c>
      <c r="Q2940" s="9"/>
      <c r="R2940" s="18"/>
      <c r="S2940" s="18"/>
      <c r="T2940" s="18"/>
      <c r="U2940" s="18"/>
      <c r="V2940" s="18"/>
      <c r="W2940" s="15"/>
      <c r="X2940" s="15"/>
    </row>
    <row r="2941">
      <c r="A2941" s="7">
        <v>2940.0</v>
      </c>
      <c r="B2941" s="8" t="s">
        <v>12341</v>
      </c>
      <c r="C2941" s="9" t="s">
        <v>12342</v>
      </c>
      <c r="D2941" s="10" t="str">
        <f>HYPERLINK("https://facebook.com/367089020688300_367298547334014", "367089020688300_367298547334014")</f>
        <v>367089020688300_367298547334014</v>
      </c>
      <c r="E2941" s="11">
        <v>103.0</v>
      </c>
      <c r="F2941" s="11">
        <v>3.0</v>
      </c>
      <c r="G2941" s="11">
        <v>117.0</v>
      </c>
      <c r="H2941" s="9" t="s">
        <v>26</v>
      </c>
      <c r="I2941" s="9" t="s">
        <v>12343</v>
      </c>
      <c r="J2941" s="9" t="s">
        <v>12344</v>
      </c>
      <c r="K2941" s="9" t="s">
        <v>12345</v>
      </c>
      <c r="L2941" s="9" t="s">
        <v>30</v>
      </c>
      <c r="M2941" s="9" t="s">
        <v>31</v>
      </c>
      <c r="N2941" s="9" t="s">
        <v>32</v>
      </c>
      <c r="O2941" s="12" t="s">
        <v>33</v>
      </c>
      <c r="P2941" s="12" t="s">
        <v>34</v>
      </c>
      <c r="Q2941" s="9"/>
      <c r="R2941" s="18"/>
      <c r="S2941" s="18"/>
      <c r="T2941" s="18"/>
      <c r="U2941" s="18"/>
      <c r="V2941" s="18"/>
      <c r="W2941" s="15"/>
      <c r="X2941" s="15"/>
    </row>
    <row r="2942">
      <c r="A2942" s="7">
        <v>2941.0</v>
      </c>
      <c r="B2942" s="8" t="s">
        <v>12346</v>
      </c>
      <c r="C2942" s="9" t="s">
        <v>12347</v>
      </c>
      <c r="D2942" s="10" t="str">
        <f>HYPERLINK("https://facebook.com/367089020688300_472709570126244", "367089020688300_472709570126244")</f>
        <v>367089020688300_472709570126244</v>
      </c>
      <c r="E2942" s="11">
        <v>403.0</v>
      </c>
      <c r="F2942" s="11">
        <v>16.0</v>
      </c>
      <c r="G2942" s="11">
        <v>580.0</v>
      </c>
      <c r="H2942" s="9" t="s">
        <v>26</v>
      </c>
      <c r="I2942" s="9" t="s">
        <v>12348</v>
      </c>
      <c r="J2942" s="9" t="s">
        <v>12349</v>
      </c>
      <c r="K2942" s="9" t="s">
        <v>12350</v>
      </c>
      <c r="L2942" s="9" t="s">
        <v>30</v>
      </c>
      <c r="M2942" s="9" t="s">
        <v>31</v>
      </c>
      <c r="N2942" s="9" t="s">
        <v>32</v>
      </c>
      <c r="O2942" s="12" t="s">
        <v>33</v>
      </c>
      <c r="P2942" s="12" t="s">
        <v>34</v>
      </c>
      <c r="Q2942" s="9"/>
      <c r="R2942" s="18"/>
      <c r="S2942" s="18"/>
      <c r="T2942" s="18"/>
      <c r="U2942" s="18"/>
      <c r="V2942" s="18"/>
      <c r="W2942" s="15"/>
      <c r="X2942" s="15"/>
    </row>
    <row r="2943">
      <c r="A2943" s="7">
        <v>2942.0</v>
      </c>
      <c r="B2943" s="8" t="s">
        <v>12351</v>
      </c>
      <c r="C2943" s="9" t="s">
        <v>12352</v>
      </c>
      <c r="D2943" s="10" t="str">
        <f>HYPERLINK("https://facebook.com/367089020688300_532004947530039", "367089020688300_532004947530039")</f>
        <v>367089020688300_532004947530039</v>
      </c>
      <c r="E2943" s="11">
        <v>129.0</v>
      </c>
      <c r="F2943" s="11">
        <v>2.0</v>
      </c>
      <c r="G2943" s="11">
        <v>95.0</v>
      </c>
      <c r="H2943" s="9" t="s">
        <v>26</v>
      </c>
      <c r="I2943" s="9" t="s">
        <v>12353</v>
      </c>
      <c r="J2943" s="16" t="s">
        <v>12354</v>
      </c>
      <c r="K2943" s="9"/>
      <c r="L2943" s="9" t="s">
        <v>30</v>
      </c>
      <c r="M2943" s="9" t="s">
        <v>31</v>
      </c>
      <c r="N2943" s="9" t="s">
        <v>32</v>
      </c>
      <c r="O2943" s="12" t="s">
        <v>33</v>
      </c>
      <c r="P2943" s="12" t="s">
        <v>34</v>
      </c>
      <c r="Q2943" s="9"/>
      <c r="R2943" s="18"/>
      <c r="S2943" s="18"/>
      <c r="T2943" s="18"/>
      <c r="U2943" s="18"/>
      <c r="V2943" s="18"/>
      <c r="W2943" s="15"/>
      <c r="X2943" s="15"/>
    </row>
    <row r="2944">
      <c r="A2944" s="7">
        <v>2943.0</v>
      </c>
      <c r="B2944" s="8" t="s">
        <v>12355</v>
      </c>
      <c r="C2944" s="9" t="s">
        <v>12356</v>
      </c>
      <c r="D2944" s="10" t="str">
        <f>HYPERLINK("https://facebook.com/367089020688300_395524777844724", "367089020688300_395524777844724")</f>
        <v>367089020688300_395524777844724</v>
      </c>
      <c r="E2944" s="11">
        <v>296.0</v>
      </c>
      <c r="F2944" s="11">
        <v>13.0</v>
      </c>
      <c r="G2944" s="11">
        <v>190.0</v>
      </c>
      <c r="H2944" s="9" t="s">
        <v>26</v>
      </c>
      <c r="I2944" s="9" t="s">
        <v>12357</v>
      </c>
      <c r="J2944" s="9" t="s">
        <v>12358</v>
      </c>
      <c r="K2944" s="9" t="s">
        <v>51</v>
      </c>
      <c r="L2944" s="9" t="s">
        <v>30</v>
      </c>
      <c r="M2944" s="9" t="s">
        <v>31</v>
      </c>
      <c r="N2944" s="9" t="s">
        <v>32</v>
      </c>
      <c r="O2944" s="12" t="s">
        <v>33</v>
      </c>
      <c r="P2944" s="12" t="s">
        <v>34</v>
      </c>
      <c r="Q2944" s="9"/>
      <c r="R2944" s="18"/>
      <c r="S2944" s="18"/>
      <c r="T2944" s="18"/>
      <c r="U2944" s="18"/>
      <c r="V2944" s="18"/>
      <c r="W2944" s="15"/>
      <c r="X2944" s="15"/>
    </row>
    <row r="2945">
      <c r="A2945" s="7">
        <v>2944.0</v>
      </c>
      <c r="B2945" s="8" t="s">
        <v>12359</v>
      </c>
      <c r="C2945" s="9" t="s">
        <v>12360</v>
      </c>
      <c r="D2945" s="10" t="str">
        <f>HYPERLINK("https://facebook.com/367089020688300_554782475252286", "367089020688300_554782475252286")</f>
        <v>367089020688300_554782475252286</v>
      </c>
      <c r="E2945" s="11">
        <v>225.0</v>
      </c>
      <c r="F2945" s="11">
        <v>4.0</v>
      </c>
      <c r="G2945" s="11">
        <v>184.0</v>
      </c>
      <c r="H2945" s="9" t="s">
        <v>26</v>
      </c>
      <c r="I2945" s="9" t="s">
        <v>12361</v>
      </c>
      <c r="J2945" s="16" t="s">
        <v>12362</v>
      </c>
      <c r="K2945" s="9"/>
      <c r="L2945" s="9" t="s">
        <v>30</v>
      </c>
      <c r="M2945" s="9" t="s">
        <v>31</v>
      </c>
      <c r="N2945" s="9" t="s">
        <v>32</v>
      </c>
      <c r="O2945" s="12" t="s">
        <v>33</v>
      </c>
      <c r="P2945" s="12" t="s">
        <v>34</v>
      </c>
      <c r="Q2945" s="9"/>
      <c r="R2945" s="18"/>
      <c r="S2945" s="18"/>
      <c r="T2945" s="18"/>
      <c r="U2945" s="18"/>
      <c r="V2945" s="18"/>
      <c r="W2945" s="15"/>
      <c r="X2945" s="15"/>
    </row>
    <row r="2946">
      <c r="A2946" s="7">
        <v>2945.0</v>
      </c>
      <c r="B2946" s="8" t="s">
        <v>12363</v>
      </c>
      <c r="C2946" s="9" t="s">
        <v>12364</v>
      </c>
      <c r="D2946" s="10" t="str">
        <f>HYPERLINK("https://facebook.com/367089020688300_453183552078846", "367089020688300_453183552078846")</f>
        <v>367089020688300_453183552078846</v>
      </c>
      <c r="E2946" s="11">
        <v>172.0</v>
      </c>
      <c r="F2946" s="11">
        <v>9.0</v>
      </c>
      <c r="G2946" s="11">
        <v>290.0</v>
      </c>
      <c r="H2946" s="9" t="s">
        <v>26</v>
      </c>
      <c r="I2946" s="9" t="s">
        <v>12365</v>
      </c>
      <c r="J2946" s="9" t="s">
        <v>12366</v>
      </c>
      <c r="K2946" s="9" t="s">
        <v>12367</v>
      </c>
      <c r="L2946" s="9" t="s">
        <v>30</v>
      </c>
      <c r="M2946" s="9" t="s">
        <v>31</v>
      </c>
      <c r="N2946" s="9" t="s">
        <v>32</v>
      </c>
      <c r="O2946" s="12" t="s">
        <v>33</v>
      </c>
      <c r="P2946" s="12" t="s">
        <v>34</v>
      </c>
      <c r="Q2946" s="9"/>
      <c r="R2946" s="18"/>
      <c r="S2946" s="18"/>
      <c r="T2946" s="18"/>
      <c r="U2946" s="18"/>
      <c r="V2946" s="18"/>
      <c r="W2946" s="15"/>
      <c r="X2946" s="15"/>
    </row>
    <row r="2947">
      <c r="A2947" s="7">
        <v>2946.0</v>
      </c>
      <c r="B2947" s="8" t="s">
        <v>12368</v>
      </c>
      <c r="C2947" s="9" t="s">
        <v>12369</v>
      </c>
      <c r="D2947" s="10" t="str">
        <f>HYPERLINK("https://facebook.com/367089020688300_549528939110973", "367089020688300_549528939110973")</f>
        <v>367089020688300_549528939110973</v>
      </c>
      <c r="E2947" s="11">
        <v>1.0</v>
      </c>
      <c r="F2947" s="11">
        <v>0.0</v>
      </c>
      <c r="G2947" s="11">
        <v>0.0</v>
      </c>
      <c r="H2947" s="9" t="s">
        <v>26</v>
      </c>
      <c r="I2947" s="9" t="s">
        <v>12370</v>
      </c>
      <c r="J2947" s="16" t="s">
        <v>12371</v>
      </c>
      <c r="K2947" s="9"/>
      <c r="L2947" s="9" t="s">
        <v>30</v>
      </c>
      <c r="M2947" s="9" t="s">
        <v>31</v>
      </c>
      <c r="N2947" s="9" t="s">
        <v>32</v>
      </c>
      <c r="O2947" s="12" t="s">
        <v>33</v>
      </c>
      <c r="P2947" s="12" t="s">
        <v>34</v>
      </c>
      <c r="Q2947" s="9"/>
      <c r="R2947" s="18"/>
      <c r="S2947" s="18"/>
      <c r="T2947" s="18"/>
      <c r="U2947" s="18"/>
      <c r="V2947" s="18"/>
      <c r="W2947" s="15"/>
      <c r="X2947" s="15"/>
    </row>
    <row r="2948">
      <c r="A2948" s="7">
        <v>2947.0</v>
      </c>
      <c r="B2948" s="8" t="s">
        <v>12372</v>
      </c>
      <c r="C2948" s="9" t="s">
        <v>12373</v>
      </c>
      <c r="D2948" s="10" t="str">
        <f>HYPERLINK("https://facebook.com/367089020688300_532657044131496", "367089020688300_532657044131496")</f>
        <v>367089020688300_532657044131496</v>
      </c>
      <c r="E2948" s="11">
        <v>211.0</v>
      </c>
      <c r="F2948" s="11">
        <v>7.0</v>
      </c>
      <c r="G2948" s="11">
        <v>273.0</v>
      </c>
      <c r="H2948" s="9" t="s">
        <v>26</v>
      </c>
      <c r="I2948" s="9" t="s">
        <v>12374</v>
      </c>
      <c r="J2948" s="9" t="s">
        <v>12375</v>
      </c>
      <c r="K2948" s="9" t="s">
        <v>12376</v>
      </c>
      <c r="L2948" s="9" t="s">
        <v>30</v>
      </c>
      <c r="M2948" s="9" t="s">
        <v>31</v>
      </c>
      <c r="N2948" s="9" t="s">
        <v>32</v>
      </c>
      <c r="O2948" s="12" t="s">
        <v>33</v>
      </c>
      <c r="P2948" s="12" t="s">
        <v>34</v>
      </c>
      <c r="Q2948" s="9"/>
      <c r="R2948" s="18"/>
      <c r="S2948" s="18"/>
      <c r="T2948" s="18"/>
      <c r="U2948" s="18"/>
      <c r="V2948" s="18"/>
      <c r="W2948" s="15"/>
      <c r="X2948" s="15"/>
    </row>
    <row r="2949">
      <c r="A2949" s="7">
        <v>2948.0</v>
      </c>
      <c r="B2949" s="8" t="s">
        <v>12377</v>
      </c>
      <c r="C2949" s="9" t="s">
        <v>12378</v>
      </c>
      <c r="D2949" s="10" t="str">
        <f>HYPERLINK("https://facebook.com/367089020688300_561421241255076", "367089020688300_561421241255076")</f>
        <v>367089020688300_561421241255076</v>
      </c>
      <c r="E2949" s="11">
        <v>151.0</v>
      </c>
      <c r="F2949" s="11">
        <v>3.0</v>
      </c>
      <c r="G2949" s="11">
        <v>253.0</v>
      </c>
      <c r="H2949" s="9" t="s">
        <v>26</v>
      </c>
      <c r="I2949" s="9" t="s">
        <v>4863</v>
      </c>
      <c r="J2949" s="9" t="s">
        <v>12379</v>
      </c>
      <c r="K2949" s="9" t="s">
        <v>12380</v>
      </c>
      <c r="L2949" s="9" t="s">
        <v>30</v>
      </c>
      <c r="M2949" s="9" t="s">
        <v>31</v>
      </c>
      <c r="N2949" s="9" t="s">
        <v>32</v>
      </c>
      <c r="O2949" s="12" t="s">
        <v>33</v>
      </c>
      <c r="P2949" s="12" t="s">
        <v>34</v>
      </c>
      <c r="Q2949" s="9"/>
      <c r="R2949" s="18"/>
      <c r="S2949" s="18"/>
      <c r="T2949" s="18"/>
      <c r="U2949" s="18"/>
      <c r="V2949" s="18"/>
      <c r="W2949" s="15"/>
      <c r="X2949" s="15"/>
    </row>
    <row r="2950">
      <c r="A2950" s="7">
        <v>2949.0</v>
      </c>
      <c r="B2950" s="8" t="s">
        <v>12381</v>
      </c>
      <c r="C2950" s="9" t="s">
        <v>12382</v>
      </c>
      <c r="D2950" s="10" t="str">
        <f>HYPERLINK("https://facebook.com/367089020688300_402446190485916", "367089020688300_402446190485916")</f>
        <v>367089020688300_402446190485916</v>
      </c>
      <c r="E2950" s="11">
        <v>506.0</v>
      </c>
      <c r="F2950" s="11">
        <v>24.0</v>
      </c>
      <c r="G2950" s="11">
        <v>682.0</v>
      </c>
      <c r="H2950" s="9" t="s">
        <v>26</v>
      </c>
      <c r="I2950" s="9" t="s">
        <v>1113</v>
      </c>
      <c r="J2950" s="9" t="s">
        <v>1114</v>
      </c>
      <c r="K2950" s="9" t="s">
        <v>2608</v>
      </c>
      <c r="L2950" s="9" t="s">
        <v>30</v>
      </c>
      <c r="M2950" s="9" t="s">
        <v>31</v>
      </c>
      <c r="N2950" s="9" t="s">
        <v>32</v>
      </c>
      <c r="O2950" s="12" t="s">
        <v>33</v>
      </c>
      <c r="P2950" s="12" t="s">
        <v>34</v>
      </c>
      <c r="Q2950" s="9"/>
      <c r="R2950" s="18"/>
      <c r="S2950" s="18"/>
      <c r="T2950" s="18"/>
      <c r="U2950" s="18"/>
      <c r="V2950" s="18"/>
      <c r="W2950" s="15"/>
      <c r="X2950" s="15"/>
    </row>
    <row r="2951">
      <c r="A2951" s="7">
        <v>2950.0</v>
      </c>
      <c r="B2951" s="8" t="s">
        <v>12383</v>
      </c>
      <c r="C2951" s="9" t="s">
        <v>12384</v>
      </c>
      <c r="D2951" s="10" t="str">
        <f>HYPERLINK("https://facebook.com/367089020688300_494072547989946", "367089020688300_494072547989946")</f>
        <v>367089020688300_494072547989946</v>
      </c>
      <c r="E2951" s="11">
        <v>714.0</v>
      </c>
      <c r="F2951" s="11">
        <v>12.0</v>
      </c>
      <c r="G2951" s="11">
        <v>427.0</v>
      </c>
      <c r="H2951" s="9" t="s">
        <v>26</v>
      </c>
      <c r="I2951" s="9" t="s">
        <v>12385</v>
      </c>
      <c r="J2951" s="9" t="s">
        <v>12386</v>
      </c>
      <c r="K2951" s="9" t="s">
        <v>649</v>
      </c>
      <c r="L2951" s="9" t="s">
        <v>30</v>
      </c>
      <c r="M2951" s="9" t="s">
        <v>31</v>
      </c>
      <c r="N2951" s="9" t="s">
        <v>32</v>
      </c>
      <c r="O2951" s="12" t="s">
        <v>33</v>
      </c>
      <c r="P2951" s="12" t="s">
        <v>34</v>
      </c>
      <c r="Q2951" s="9"/>
      <c r="R2951" s="18"/>
      <c r="S2951" s="18"/>
      <c r="T2951" s="18"/>
      <c r="U2951" s="18"/>
      <c r="V2951" s="18"/>
      <c r="W2951" s="15"/>
      <c r="X2951" s="15"/>
    </row>
    <row r="2952">
      <c r="A2952" s="7">
        <v>2951.0</v>
      </c>
      <c r="B2952" s="8" t="s">
        <v>12387</v>
      </c>
      <c r="C2952" s="9" t="s">
        <v>12388</v>
      </c>
      <c r="D2952" s="10" t="str">
        <f>HYPERLINK("https://facebook.com/367089020688300_548084965922037", "367089020688300_548084965922037")</f>
        <v>367089020688300_548084965922037</v>
      </c>
      <c r="E2952" s="11">
        <v>17.0</v>
      </c>
      <c r="F2952" s="11">
        <v>0.0</v>
      </c>
      <c r="G2952" s="11">
        <v>10.0</v>
      </c>
      <c r="H2952" s="9" t="s">
        <v>26</v>
      </c>
      <c r="I2952" s="9" t="s">
        <v>12389</v>
      </c>
      <c r="J2952" s="16" t="s">
        <v>12390</v>
      </c>
      <c r="K2952" s="9"/>
      <c r="L2952" s="9" t="s">
        <v>30</v>
      </c>
      <c r="M2952" s="9" t="s">
        <v>31</v>
      </c>
      <c r="N2952" s="9" t="s">
        <v>32</v>
      </c>
      <c r="O2952" s="12" t="s">
        <v>33</v>
      </c>
      <c r="P2952" s="12" t="s">
        <v>34</v>
      </c>
      <c r="Q2952" s="9"/>
      <c r="R2952" s="18"/>
      <c r="S2952" s="18"/>
      <c r="T2952" s="18"/>
      <c r="U2952" s="18"/>
      <c r="V2952" s="18"/>
      <c r="W2952" s="15"/>
      <c r="X2952" s="15"/>
    </row>
    <row r="2953">
      <c r="A2953" s="7">
        <v>2952.0</v>
      </c>
      <c r="B2953" s="8" t="s">
        <v>12391</v>
      </c>
      <c r="C2953" s="9" t="s">
        <v>12392</v>
      </c>
      <c r="D2953" s="10" t="str">
        <f>HYPERLINK("https://facebook.com/367089020688300_537344083662792", "367089020688300_537344083662792")</f>
        <v>367089020688300_537344083662792</v>
      </c>
      <c r="E2953" s="11">
        <v>5.0</v>
      </c>
      <c r="F2953" s="11">
        <v>0.0</v>
      </c>
      <c r="G2953" s="11">
        <v>8.0</v>
      </c>
      <c r="H2953" s="9" t="s">
        <v>26</v>
      </c>
      <c r="I2953" s="9" t="s">
        <v>12393</v>
      </c>
      <c r="J2953" s="16" t="s">
        <v>12394</v>
      </c>
      <c r="K2953" s="9"/>
      <c r="L2953" s="9" t="s">
        <v>30</v>
      </c>
      <c r="M2953" s="9" t="s">
        <v>31</v>
      </c>
      <c r="N2953" s="9" t="s">
        <v>32</v>
      </c>
      <c r="O2953" s="12" t="s">
        <v>33</v>
      </c>
      <c r="P2953" s="12" t="s">
        <v>34</v>
      </c>
      <c r="Q2953" s="9"/>
      <c r="R2953" s="18"/>
      <c r="S2953" s="18"/>
      <c r="T2953" s="18"/>
      <c r="U2953" s="18"/>
      <c r="V2953" s="18"/>
      <c r="W2953" s="15"/>
      <c r="X2953" s="15"/>
    </row>
    <row r="2954">
      <c r="A2954" s="7">
        <v>2953.0</v>
      </c>
      <c r="B2954" s="8" t="s">
        <v>12395</v>
      </c>
      <c r="C2954" s="9" t="s">
        <v>12396</v>
      </c>
      <c r="D2954" s="10" t="str">
        <f>HYPERLINK("https://facebook.com/367089020688300_535192770544590", "367089020688300_535192770544590")</f>
        <v>367089020688300_535192770544590</v>
      </c>
      <c r="E2954" s="11">
        <v>211.0</v>
      </c>
      <c r="F2954" s="11">
        <v>4.0</v>
      </c>
      <c r="G2954" s="11">
        <v>258.0</v>
      </c>
      <c r="H2954" s="9" t="s">
        <v>26</v>
      </c>
      <c r="I2954" s="9" t="s">
        <v>12397</v>
      </c>
      <c r="J2954" s="16" t="s">
        <v>12398</v>
      </c>
      <c r="K2954" s="9"/>
      <c r="L2954" s="9" t="s">
        <v>30</v>
      </c>
      <c r="M2954" s="9" t="s">
        <v>31</v>
      </c>
      <c r="N2954" s="9" t="s">
        <v>32</v>
      </c>
      <c r="O2954" s="12" t="s">
        <v>33</v>
      </c>
      <c r="P2954" s="12" t="s">
        <v>34</v>
      </c>
      <c r="Q2954" s="9"/>
      <c r="R2954" s="18"/>
      <c r="S2954" s="18"/>
      <c r="T2954" s="18"/>
      <c r="U2954" s="18"/>
      <c r="V2954" s="18"/>
      <c r="W2954" s="15"/>
      <c r="X2954" s="15"/>
    </row>
    <row r="2955">
      <c r="A2955" s="7">
        <v>2954.0</v>
      </c>
      <c r="B2955" s="8" t="s">
        <v>12399</v>
      </c>
      <c r="C2955" s="9" t="s">
        <v>12400</v>
      </c>
      <c r="D2955" s="10" t="str">
        <f>HYPERLINK("https://facebook.com/367089020688300_531602647570269", "367089020688300_531602647570269")</f>
        <v>367089020688300_531602647570269</v>
      </c>
      <c r="E2955" s="11">
        <v>559.0</v>
      </c>
      <c r="F2955" s="11">
        <v>2.0</v>
      </c>
      <c r="G2955" s="11">
        <v>534.0</v>
      </c>
      <c r="H2955" s="9" t="s">
        <v>26</v>
      </c>
      <c r="I2955" s="9" t="s">
        <v>12401</v>
      </c>
      <c r="J2955" s="16" t="s">
        <v>12402</v>
      </c>
      <c r="K2955" s="9"/>
      <c r="L2955" s="9" t="s">
        <v>30</v>
      </c>
      <c r="M2955" s="9" t="s">
        <v>31</v>
      </c>
      <c r="N2955" s="9" t="s">
        <v>32</v>
      </c>
      <c r="O2955" s="12" t="s">
        <v>33</v>
      </c>
      <c r="P2955" s="12" t="s">
        <v>34</v>
      </c>
      <c r="Q2955" s="9"/>
      <c r="R2955" s="18"/>
      <c r="S2955" s="18"/>
      <c r="T2955" s="18"/>
      <c r="U2955" s="18"/>
      <c r="V2955" s="18"/>
      <c r="W2955" s="15"/>
      <c r="X2955" s="15"/>
    </row>
    <row r="2956">
      <c r="A2956" s="7">
        <v>2955.0</v>
      </c>
      <c r="B2956" s="8" t="s">
        <v>12403</v>
      </c>
      <c r="C2956" s="9" t="s">
        <v>12404</v>
      </c>
      <c r="D2956" s="10" t="str">
        <f>HYPERLINK("https://facebook.com/367089020688300_496536281076906", "367089020688300_496536281076906")</f>
        <v>367089020688300_496536281076906</v>
      </c>
      <c r="E2956" s="11">
        <v>430.0</v>
      </c>
      <c r="F2956" s="11">
        <v>21.0</v>
      </c>
      <c r="G2956" s="11">
        <v>22.0</v>
      </c>
      <c r="H2956" s="9" t="s">
        <v>26</v>
      </c>
      <c r="I2956" s="9" t="s">
        <v>6503</v>
      </c>
      <c r="J2956" s="9" t="s">
        <v>6504</v>
      </c>
      <c r="K2956" s="9" t="s">
        <v>9058</v>
      </c>
      <c r="L2956" s="9" t="s">
        <v>30</v>
      </c>
      <c r="M2956" s="9" t="s">
        <v>31</v>
      </c>
      <c r="N2956" s="9" t="s">
        <v>32</v>
      </c>
      <c r="O2956" s="12" t="s">
        <v>33</v>
      </c>
      <c r="P2956" s="12" t="s">
        <v>34</v>
      </c>
      <c r="Q2956" s="9"/>
      <c r="R2956" s="18"/>
      <c r="S2956" s="18"/>
      <c r="T2956" s="18"/>
      <c r="U2956" s="18"/>
      <c r="V2956" s="18"/>
      <c r="W2956" s="15"/>
      <c r="X2956" s="15"/>
    </row>
    <row r="2957">
      <c r="A2957" s="7">
        <v>2956.0</v>
      </c>
      <c r="B2957" s="8" t="s">
        <v>12405</v>
      </c>
      <c r="C2957" s="9" t="s">
        <v>12406</v>
      </c>
      <c r="D2957" s="10" t="str">
        <f>HYPERLINK("https://facebook.com/367089020688300_509641486433052", "367089020688300_509641486433052")</f>
        <v>367089020688300_509641486433052</v>
      </c>
      <c r="E2957" s="11">
        <v>345.0</v>
      </c>
      <c r="F2957" s="11">
        <v>12.0</v>
      </c>
      <c r="G2957" s="11">
        <v>504.0</v>
      </c>
      <c r="H2957" s="9" t="s">
        <v>26</v>
      </c>
      <c r="I2957" s="9" t="s">
        <v>12407</v>
      </c>
      <c r="J2957" s="9" t="s">
        <v>12408</v>
      </c>
      <c r="K2957" s="9" t="s">
        <v>12409</v>
      </c>
      <c r="L2957" s="9" t="s">
        <v>30</v>
      </c>
      <c r="M2957" s="9" t="s">
        <v>31</v>
      </c>
      <c r="N2957" s="9" t="s">
        <v>32</v>
      </c>
      <c r="O2957" s="12" t="s">
        <v>33</v>
      </c>
      <c r="P2957" s="12" t="s">
        <v>34</v>
      </c>
      <c r="Q2957" s="9"/>
      <c r="R2957" s="18"/>
      <c r="S2957" s="18"/>
      <c r="T2957" s="18"/>
      <c r="U2957" s="18"/>
      <c r="V2957" s="18"/>
      <c r="W2957" s="15"/>
      <c r="X2957" s="15"/>
    </row>
    <row r="2958">
      <c r="A2958" s="7">
        <v>2957.0</v>
      </c>
      <c r="B2958" s="8" t="s">
        <v>12410</v>
      </c>
      <c r="C2958" s="9" t="s">
        <v>12411</v>
      </c>
      <c r="D2958" s="10" t="str">
        <f>HYPERLINK("https://facebook.com/367089020688300_502402153823652", "367089020688300_502402153823652")</f>
        <v>367089020688300_502402153823652</v>
      </c>
      <c r="E2958" s="11">
        <v>138.0</v>
      </c>
      <c r="F2958" s="11">
        <v>1.0</v>
      </c>
      <c r="G2958" s="11">
        <v>187.0</v>
      </c>
      <c r="H2958" s="9" t="s">
        <v>26</v>
      </c>
      <c r="I2958" s="9" t="s">
        <v>12412</v>
      </c>
      <c r="J2958" s="16" t="s">
        <v>12413</v>
      </c>
      <c r="K2958" s="9"/>
      <c r="L2958" s="9" t="s">
        <v>30</v>
      </c>
      <c r="M2958" s="9" t="s">
        <v>31</v>
      </c>
      <c r="N2958" s="9" t="s">
        <v>32</v>
      </c>
      <c r="O2958" s="12" t="s">
        <v>33</v>
      </c>
      <c r="P2958" s="12" t="s">
        <v>34</v>
      </c>
      <c r="Q2958" s="9"/>
      <c r="R2958" s="18"/>
      <c r="S2958" s="18"/>
      <c r="T2958" s="18"/>
      <c r="U2958" s="18"/>
      <c r="V2958" s="18"/>
      <c r="W2958" s="15"/>
      <c r="X2958" s="15"/>
    </row>
    <row r="2959">
      <c r="A2959" s="7">
        <v>2958.0</v>
      </c>
      <c r="B2959" s="8" t="s">
        <v>12414</v>
      </c>
      <c r="C2959" s="9" t="s">
        <v>12415</v>
      </c>
      <c r="D2959" s="10" t="str">
        <f>HYPERLINK("https://facebook.com/367089020688300_524684504928750", "367089020688300_524684504928750")</f>
        <v>367089020688300_524684504928750</v>
      </c>
      <c r="E2959" s="11">
        <v>98.0</v>
      </c>
      <c r="F2959" s="11">
        <v>1.0</v>
      </c>
      <c r="G2959" s="11">
        <v>151.0</v>
      </c>
      <c r="H2959" s="9" t="s">
        <v>26</v>
      </c>
      <c r="I2959" s="9" t="s">
        <v>2243</v>
      </c>
      <c r="J2959" s="16" t="s">
        <v>12416</v>
      </c>
      <c r="K2959" s="9"/>
      <c r="L2959" s="9" t="s">
        <v>30</v>
      </c>
      <c r="M2959" s="9" t="s">
        <v>31</v>
      </c>
      <c r="N2959" s="9" t="s">
        <v>32</v>
      </c>
      <c r="O2959" s="12" t="s">
        <v>33</v>
      </c>
      <c r="P2959" s="12" t="s">
        <v>34</v>
      </c>
      <c r="Q2959" s="9"/>
      <c r="R2959" s="18"/>
      <c r="S2959" s="18"/>
      <c r="T2959" s="18"/>
      <c r="U2959" s="18"/>
      <c r="V2959" s="18"/>
      <c r="W2959" s="15"/>
      <c r="X2959" s="15"/>
    </row>
    <row r="2960">
      <c r="A2960" s="7">
        <v>2959.0</v>
      </c>
      <c r="B2960" s="8" t="s">
        <v>12417</v>
      </c>
      <c r="C2960" s="9" t="s">
        <v>12418</v>
      </c>
      <c r="D2960" s="10" t="str">
        <f>HYPERLINK("https://facebook.com/367089020688300_561573824573151", "367089020688300_561573824573151")</f>
        <v>367089020688300_561573824573151</v>
      </c>
      <c r="E2960" s="11">
        <v>36.0</v>
      </c>
      <c r="F2960" s="11">
        <v>0.0</v>
      </c>
      <c r="G2960" s="11">
        <v>34.0</v>
      </c>
      <c r="H2960" s="9" t="s">
        <v>26</v>
      </c>
      <c r="I2960" s="9" t="s">
        <v>12419</v>
      </c>
      <c r="J2960" s="16" t="s">
        <v>12420</v>
      </c>
      <c r="K2960" s="9"/>
      <c r="L2960" s="9" t="s">
        <v>30</v>
      </c>
      <c r="M2960" s="9" t="s">
        <v>31</v>
      </c>
      <c r="N2960" s="9" t="s">
        <v>32</v>
      </c>
      <c r="O2960" s="12" t="s">
        <v>33</v>
      </c>
      <c r="P2960" s="12" t="s">
        <v>34</v>
      </c>
      <c r="Q2960" s="9"/>
      <c r="R2960" s="18"/>
      <c r="S2960" s="18"/>
      <c r="T2960" s="18"/>
      <c r="U2960" s="18"/>
      <c r="V2960" s="18"/>
      <c r="W2960" s="15"/>
      <c r="X2960" s="15"/>
    </row>
    <row r="2961">
      <c r="A2961" s="7">
        <v>2960.0</v>
      </c>
      <c r="B2961" s="8" t="s">
        <v>12421</v>
      </c>
      <c r="C2961" s="9" t="s">
        <v>12422</v>
      </c>
      <c r="D2961" s="10" t="str">
        <f>HYPERLINK("https://facebook.com/367089020688300_556402571756943", "367089020688300_556402571756943")</f>
        <v>367089020688300_556402571756943</v>
      </c>
      <c r="E2961" s="11">
        <v>622.0</v>
      </c>
      <c r="F2961" s="11">
        <v>1.0</v>
      </c>
      <c r="G2961" s="11">
        <v>94.0</v>
      </c>
      <c r="H2961" s="9" t="s">
        <v>26</v>
      </c>
      <c r="I2961" s="9" t="s">
        <v>12423</v>
      </c>
      <c r="J2961" s="16" t="s">
        <v>12424</v>
      </c>
      <c r="K2961" s="9"/>
      <c r="L2961" s="9" t="s">
        <v>30</v>
      </c>
      <c r="M2961" s="9" t="s">
        <v>31</v>
      </c>
      <c r="N2961" s="9" t="s">
        <v>32</v>
      </c>
      <c r="O2961" s="12" t="s">
        <v>33</v>
      </c>
      <c r="P2961" s="12" t="s">
        <v>34</v>
      </c>
      <c r="Q2961" s="9"/>
      <c r="R2961" s="18"/>
      <c r="S2961" s="18"/>
      <c r="T2961" s="18"/>
      <c r="U2961" s="18"/>
      <c r="V2961" s="18"/>
      <c r="W2961" s="15"/>
      <c r="X2961" s="15"/>
    </row>
    <row r="2962">
      <c r="A2962" s="7">
        <v>2961.0</v>
      </c>
      <c r="B2962" s="8" t="s">
        <v>12425</v>
      </c>
      <c r="C2962" s="9" t="s">
        <v>12426</v>
      </c>
      <c r="D2962" s="10" t="str">
        <f>HYPERLINK("https://facebook.com/367089020688300_561422267921640", "367089020688300_561422267921640")</f>
        <v>367089020688300_561422267921640</v>
      </c>
      <c r="E2962" s="11">
        <v>7.0</v>
      </c>
      <c r="F2962" s="11">
        <v>0.0</v>
      </c>
      <c r="G2962" s="11">
        <v>3.0</v>
      </c>
      <c r="H2962" s="9" t="s">
        <v>26</v>
      </c>
      <c r="I2962" s="9" t="s">
        <v>1723</v>
      </c>
      <c r="J2962" s="16" t="s">
        <v>1724</v>
      </c>
      <c r="K2962" s="9"/>
      <c r="L2962" s="9" t="s">
        <v>30</v>
      </c>
      <c r="M2962" s="9" t="s">
        <v>31</v>
      </c>
      <c r="N2962" s="9" t="s">
        <v>32</v>
      </c>
      <c r="O2962" s="12" t="s">
        <v>33</v>
      </c>
      <c r="P2962" s="12" t="s">
        <v>34</v>
      </c>
      <c r="Q2962" s="9"/>
      <c r="R2962" s="18"/>
      <c r="S2962" s="18"/>
      <c r="T2962" s="18"/>
      <c r="U2962" s="18"/>
      <c r="V2962" s="18"/>
      <c r="W2962" s="15"/>
      <c r="X2962" s="15"/>
    </row>
    <row r="2963">
      <c r="A2963" s="7">
        <v>2962.0</v>
      </c>
      <c r="B2963" s="8" t="s">
        <v>12427</v>
      </c>
      <c r="C2963" s="9" t="s">
        <v>12428</v>
      </c>
      <c r="D2963" s="10" t="str">
        <f>HYPERLINK("https://facebook.com/367089020688300_536024010461466", "367089020688300_536024010461466")</f>
        <v>367089020688300_536024010461466</v>
      </c>
      <c r="E2963" s="11">
        <v>26.0</v>
      </c>
      <c r="F2963" s="11">
        <v>0.0</v>
      </c>
      <c r="G2963" s="11">
        <v>45.0</v>
      </c>
      <c r="H2963" s="9" t="s">
        <v>26</v>
      </c>
      <c r="I2963" s="9" t="s">
        <v>12429</v>
      </c>
      <c r="J2963" s="9" t="s">
        <v>12430</v>
      </c>
      <c r="K2963" s="9" t="s">
        <v>11885</v>
      </c>
      <c r="L2963" s="9" t="s">
        <v>30</v>
      </c>
      <c r="M2963" s="9" t="s">
        <v>31</v>
      </c>
      <c r="N2963" s="9" t="s">
        <v>32</v>
      </c>
      <c r="O2963" s="12" t="s">
        <v>33</v>
      </c>
      <c r="P2963" s="12" t="s">
        <v>34</v>
      </c>
      <c r="Q2963" s="9"/>
      <c r="R2963" s="18"/>
      <c r="S2963" s="18"/>
      <c r="T2963" s="18"/>
      <c r="U2963" s="18"/>
      <c r="V2963" s="18"/>
      <c r="W2963" s="15"/>
      <c r="X2963" s="15"/>
    </row>
    <row r="2964">
      <c r="A2964" s="7">
        <v>2963.0</v>
      </c>
      <c r="B2964" s="8" t="s">
        <v>12431</v>
      </c>
      <c r="C2964" s="9" t="s">
        <v>12432</v>
      </c>
      <c r="D2964" s="10" t="str">
        <f>HYPERLINK("https://facebook.com/367089020688300_558436364886897", "367089020688300_558436364886897")</f>
        <v>367089020688300_558436364886897</v>
      </c>
      <c r="E2964" s="11">
        <v>22.0</v>
      </c>
      <c r="F2964" s="11">
        <v>0.0</v>
      </c>
      <c r="G2964" s="11">
        <v>10.0</v>
      </c>
      <c r="H2964" s="9" t="s">
        <v>26</v>
      </c>
      <c r="I2964" s="9" t="s">
        <v>12433</v>
      </c>
      <c r="J2964" s="16" t="s">
        <v>12434</v>
      </c>
      <c r="K2964" s="9"/>
      <c r="L2964" s="9" t="s">
        <v>30</v>
      </c>
      <c r="M2964" s="9" t="s">
        <v>31</v>
      </c>
      <c r="N2964" s="9" t="s">
        <v>32</v>
      </c>
      <c r="O2964" s="12" t="s">
        <v>33</v>
      </c>
      <c r="P2964" s="12" t="s">
        <v>34</v>
      </c>
      <c r="Q2964" s="9"/>
      <c r="R2964" s="18"/>
      <c r="S2964" s="18"/>
      <c r="T2964" s="18"/>
      <c r="U2964" s="18"/>
      <c r="V2964" s="18"/>
      <c r="W2964" s="15"/>
      <c r="X2964" s="15"/>
    </row>
    <row r="2965">
      <c r="A2965" s="7">
        <v>2964.0</v>
      </c>
      <c r="B2965" s="8" t="s">
        <v>12435</v>
      </c>
      <c r="C2965" s="9" t="s">
        <v>12436</v>
      </c>
      <c r="D2965" s="10" t="str">
        <f>HYPERLINK("https://facebook.com/367089020688300_549822059081661", "367089020688300_549822059081661")</f>
        <v>367089020688300_549822059081661</v>
      </c>
      <c r="E2965" s="11">
        <v>240.0</v>
      </c>
      <c r="F2965" s="11">
        <v>7.0</v>
      </c>
      <c r="G2965" s="11">
        <v>377.0</v>
      </c>
      <c r="H2965" s="9" t="s">
        <v>26</v>
      </c>
      <c r="I2965" s="9" t="s">
        <v>12437</v>
      </c>
      <c r="J2965" s="16" t="s">
        <v>12438</v>
      </c>
      <c r="K2965" s="9"/>
      <c r="L2965" s="9" t="s">
        <v>30</v>
      </c>
      <c r="M2965" s="9" t="s">
        <v>31</v>
      </c>
      <c r="N2965" s="9" t="s">
        <v>32</v>
      </c>
      <c r="O2965" s="12" t="s">
        <v>33</v>
      </c>
      <c r="P2965" s="12" t="s">
        <v>34</v>
      </c>
      <c r="Q2965" s="9"/>
      <c r="R2965" s="18"/>
      <c r="S2965" s="18"/>
      <c r="T2965" s="18"/>
      <c r="U2965" s="18"/>
      <c r="V2965" s="18"/>
      <c r="W2965" s="15"/>
      <c r="X2965" s="15"/>
    </row>
    <row r="2966">
      <c r="A2966" s="7">
        <v>2965.0</v>
      </c>
      <c r="B2966" s="8" t="s">
        <v>12439</v>
      </c>
      <c r="C2966" s="9" t="s">
        <v>12440</v>
      </c>
      <c r="D2966" s="10" t="str">
        <f>HYPERLINK("https://facebook.com/367089020688300_543666833030517", "367089020688300_543666833030517")</f>
        <v>367089020688300_543666833030517</v>
      </c>
      <c r="E2966" s="11">
        <v>29.0</v>
      </c>
      <c r="F2966" s="11">
        <v>1.0</v>
      </c>
      <c r="G2966" s="11">
        <v>36.0</v>
      </c>
      <c r="H2966" s="9" t="s">
        <v>26</v>
      </c>
      <c r="I2966" s="9" t="s">
        <v>12441</v>
      </c>
      <c r="J2966" s="16" t="s">
        <v>12442</v>
      </c>
      <c r="K2966" s="9"/>
      <c r="L2966" s="9" t="s">
        <v>30</v>
      </c>
      <c r="M2966" s="9" t="s">
        <v>31</v>
      </c>
      <c r="N2966" s="9" t="s">
        <v>32</v>
      </c>
      <c r="O2966" s="12" t="s">
        <v>33</v>
      </c>
      <c r="P2966" s="12" t="s">
        <v>34</v>
      </c>
      <c r="Q2966" s="9"/>
      <c r="R2966" s="18"/>
      <c r="S2966" s="18"/>
      <c r="T2966" s="18"/>
      <c r="U2966" s="18"/>
      <c r="V2966" s="18"/>
      <c r="W2966" s="15"/>
      <c r="X2966" s="15"/>
    </row>
    <row r="2967">
      <c r="A2967" s="7">
        <v>2966.0</v>
      </c>
      <c r="B2967" s="8" t="s">
        <v>12443</v>
      </c>
      <c r="C2967" s="9" t="s">
        <v>12444</v>
      </c>
      <c r="D2967" s="10" t="str">
        <f>HYPERLINK("https://facebook.com/367089020688300_558361198227747", "367089020688300_558361198227747")</f>
        <v>367089020688300_558361198227747</v>
      </c>
      <c r="E2967" s="11">
        <v>52.0</v>
      </c>
      <c r="F2967" s="11">
        <v>0.0</v>
      </c>
      <c r="G2967" s="11">
        <v>25.0</v>
      </c>
      <c r="H2967" s="9" t="s">
        <v>26</v>
      </c>
      <c r="I2967" s="9" t="s">
        <v>12445</v>
      </c>
      <c r="J2967" s="16" t="s">
        <v>12446</v>
      </c>
      <c r="K2967" s="9"/>
      <c r="L2967" s="9" t="s">
        <v>30</v>
      </c>
      <c r="M2967" s="9" t="s">
        <v>31</v>
      </c>
      <c r="N2967" s="9" t="s">
        <v>32</v>
      </c>
      <c r="O2967" s="12" t="s">
        <v>33</v>
      </c>
      <c r="P2967" s="12" t="s">
        <v>34</v>
      </c>
      <c r="Q2967" s="9"/>
      <c r="R2967" s="18"/>
      <c r="S2967" s="18"/>
      <c r="T2967" s="18"/>
      <c r="U2967" s="18"/>
      <c r="V2967" s="18"/>
      <c r="W2967" s="15"/>
      <c r="X2967" s="15"/>
    </row>
    <row r="2968">
      <c r="A2968" s="7">
        <v>2967.0</v>
      </c>
      <c r="B2968" s="8" t="s">
        <v>12447</v>
      </c>
      <c r="C2968" s="9" t="s">
        <v>12448</v>
      </c>
      <c r="D2968" s="10" t="str">
        <f>HYPERLINK("https://facebook.com/367089020688300_460220394708495", "367089020688300_460220394708495")</f>
        <v>367089020688300_460220394708495</v>
      </c>
      <c r="E2968" s="11">
        <v>453.0</v>
      </c>
      <c r="F2968" s="11">
        <v>1.0</v>
      </c>
      <c r="G2968" s="11">
        <v>282.0</v>
      </c>
      <c r="H2968" s="9" t="s">
        <v>26</v>
      </c>
      <c r="I2968" s="9" t="s">
        <v>12449</v>
      </c>
      <c r="J2968" s="9" t="s">
        <v>12450</v>
      </c>
      <c r="K2968" s="9" t="s">
        <v>51</v>
      </c>
      <c r="L2968" s="9" t="s">
        <v>30</v>
      </c>
      <c r="M2968" s="9" t="s">
        <v>31</v>
      </c>
      <c r="N2968" s="9" t="s">
        <v>32</v>
      </c>
      <c r="O2968" s="12" t="s">
        <v>33</v>
      </c>
      <c r="P2968" s="12" t="s">
        <v>34</v>
      </c>
      <c r="Q2968" s="9"/>
      <c r="R2968" s="18"/>
      <c r="S2968" s="18"/>
      <c r="T2968" s="18"/>
      <c r="U2968" s="18"/>
      <c r="V2968" s="18"/>
      <c r="W2968" s="15"/>
      <c r="X2968" s="15"/>
    </row>
    <row r="2969">
      <c r="A2969" s="7">
        <v>2968.0</v>
      </c>
      <c r="B2969" s="8" t="s">
        <v>12451</v>
      </c>
      <c r="C2969" s="9" t="s">
        <v>12452</v>
      </c>
      <c r="D2969" s="10" t="str">
        <f>HYPERLINK("https://facebook.com/367089020688300_446673986063136", "367089020688300_446673986063136")</f>
        <v>367089020688300_446673986063136</v>
      </c>
      <c r="E2969" s="11">
        <v>653.0</v>
      </c>
      <c r="F2969" s="11">
        <v>22.0</v>
      </c>
      <c r="G2969" s="11">
        <v>846.0</v>
      </c>
      <c r="H2969" s="9" t="s">
        <v>26</v>
      </c>
      <c r="I2969" s="9" t="s">
        <v>12453</v>
      </c>
      <c r="J2969" s="9" t="s">
        <v>12454</v>
      </c>
      <c r="K2969" s="9" t="s">
        <v>12455</v>
      </c>
      <c r="L2969" s="9" t="s">
        <v>30</v>
      </c>
      <c r="M2969" s="9" t="s">
        <v>31</v>
      </c>
      <c r="N2969" s="9" t="s">
        <v>32</v>
      </c>
      <c r="O2969" s="12" t="s">
        <v>33</v>
      </c>
      <c r="P2969" s="12" t="s">
        <v>34</v>
      </c>
      <c r="Q2969" s="9"/>
      <c r="R2969" s="18"/>
      <c r="S2969" s="18"/>
      <c r="T2969" s="18"/>
      <c r="U2969" s="18"/>
      <c r="V2969" s="18"/>
      <c r="W2969" s="15"/>
      <c r="X2969" s="15"/>
    </row>
    <row r="2970">
      <c r="A2970" s="7">
        <v>2969.0</v>
      </c>
      <c r="B2970" s="8" t="s">
        <v>12456</v>
      </c>
      <c r="C2970" s="9" t="s">
        <v>12457</v>
      </c>
      <c r="D2970" s="10" t="str">
        <f>HYPERLINK("https://facebook.com/367089020688300_558476141549586", "367089020688300_558476141549586")</f>
        <v>367089020688300_558476141549586</v>
      </c>
      <c r="E2970" s="11">
        <v>10.0</v>
      </c>
      <c r="F2970" s="11">
        <v>0.0</v>
      </c>
      <c r="G2970" s="11">
        <v>12.0</v>
      </c>
      <c r="H2970" s="9" t="s">
        <v>26</v>
      </c>
      <c r="I2970" s="9" t="s">
        <v>12458</v>
      </c>
      <c r="J2970" s="9" t="s">
        <v>12459</v>
      </c>
      <c r="K2970" s="9" t="s">
        <v>12460</v>
      </c>
      <c r="L2970" s="9" t="s">
        <v>30</v>
      </c>
      <c r="M2970" s="9" t="s">
        <v>31</v>
      </c>
      <c r="N2970" s="9" t="s">
        <v>32</v>
      </c>
      <c r="O2970" s="12" t="s">
        <v>33</v>
      </c>
      <c r="P2970" s="12" t="s">
        <v>34</v>
      </c>
      <c r="Q2970" s="9"/>
      <c r="R2970" s="18"/>
      <c r="S2970" s="18"/>
      <c r="T2970" s="18"/>
      <c r="U2970" s="18"/>
      <c r="V2970" s="18"/>
      <c r="W2970" s="15"/>
      <c r="X2970" s="15"/>
    </row>
    <row r="2971">
      <c r="A2971" s="7">
        <v>2970.0</v>
      </c>
      <c r="B2971" s="8" t="s">
        <v>12461</v>
      </c>
      <c r="C2971" s="9" t="s">
        <v>12462</v>
      </c>
      <c r="D2971" s="10" t="str">
        <f>HYPERLINK("https://facebook.com/367089020688300_522361108494423", "367089020688300_522361108494423")</f>
        <v>367089020688300_522361108494423</v>
      </c>
      <c r="E2971" s="11">
        <v>309.0</v>
      </c>
      <c r="F2971" s="11">
        <v>0.0</v>
      </c>
      <c r="G2971" s="11">
        <v>254.0</v>
      </c>
      <c r="H2971" s="9" t="s">
        <v>26</v>
      </c>
      <c r="I2971" s="9" t="s">
        <v>12463</v>
      </c>
      <c r="J2971" s="16" t="s">
        <v>12464</v>
      </c>
      <c r="K2971" s="9"/>
      <c r="L2971" s="9" t="s">
        <v>30</v>
      </c>
      <c r="M2971" s="9" t="s">
        <v>31</v>
      </c>
      <c r="N2971" s="9" t="s">
        <v>32</v>
      </c>
      <c r="O2971" s="12" t="s">
        <v>33</v>
      </c>
      <c r="P2971" s="12" t="s">
        <v>34</v>
      </c>
      <c r="Q2971" s="9"/>
      <c r="R2971" s="18"/>
      <c r="S2971" s="18"/>
      <c r="T2971" s="18"/>
      <c r="U2971" s="18"/>
      <c r="V2971" s="18"/>
      <c r="W2971" s="15"/>
      <c r="X2971" s="15"/>
    </row>
    <row r="2972">
      <c r="A2972" s="7">
        <v>2971.0</v>
      </c>
      <c r="B2972" s="8" t="s">
        <v>12465</v>
      </c>
      <c r="C2972" s="9" t="s">
        <v>12466</v>
      </c>
      <c r="D2972" s="10" t="str">
        <f>HYPERLINK("https://facebook.com/367089020688300_457867341610467", "367089020688300_457867341610467")</f>
        <v>367089020688300_457867341610467</v>
      </c>
      <c r="E2972" s="11">
        <v>489.0</v>
      </c>
      <c r="F2972" s="11">
        <v>23.0</v>
      </c>
      <c r="G2972" s="11">
        <v>393.0</v>
      </c>
      <c r="H2972" s="9" t="s">
        <v>26</v>
      </c>
      <c r="I2972" s="9" t="s">
        <v>12467</v>
      </c>
      <c r="J2972" s="9" t="s">
        <v>12468</v>
      </c>
      <c r="K2972" s="9" t="s">
        <v>12469</v>
      </c>
      <c r="L2972" s="9" t="s">
        <v>30</v>
      </c>
      <c r="M2972" s="9" t="s">
        <v>31</v>
      </c>
      <c r="N2972" s="9" t="s">
        <v>32</v>
      </c>
      <c r="O2972" s="12" t="s">
        <v>33</v>
      </c>
      <c r="P2972" s="12" t="s">
        <v>34</v>
      </c>
      <c r="Q2972" s="9"/>
      <c r="R2972" s="18"/>
      <c r="S2972" s="18"/>
      <c r="T2972" s="18"/>
      <c r="U2972" s="18"/>
      <c r="V2972" s="18"/>
      <c r="W2972" s="15"/>
      <c r="X2972" s="15"/>
    </row>
    <row r="2973">
      <c r="A2973" s="7">
        <v>2972.0</v>
      </c>
      <c r="B2973" s="8" t="s">
        <v>12470</v>
      </c>
      <c r="C2973" s="9" t="s">
        <v>12471</v>
      </c>
      <c r="D2973" s="10" t="str">
        <f>HYPERLINK("https://facebook.com/367089020688300_562305084500025", "367089020688300_562305084500025")</f>
        <v>367089020688300_562305084500025</v>
      </c>
      <c r="E2973" s="11">
        <v>80.0</v>
      </c>
      <c r="F2973" s="11">
        <v>1.0</v>
      </c>
      <c r="G2973" s="11">
        <v>166.0</v>
      </c>
      <c r="H2973" s="9" t="s">
        <v>26</v>
      </c>
      <c r="I2973" s="9" t="s">
        <v>12472</v>
      </c>
      <c r="J2973" s="16" t="s">
        <v>12473</v>
      </c>
      <c r="K2973" s="9"/>
      <c r="L2973" s="9" t="s">
        <v>30</v>
      </c>
      <c r="M2973" s="9" t="s">
        <v>31</v>
      </c>
      <c r="N2973" s="9" t="s">
        <v>32</v>
      </c>
      <c r="O2973" s="12" t="s">
        <v>33</v>
      </c>
      <c r="P2973" s="12" t="s">
        <v>34</v>
      </c>
      <c r="Q2973" s="9"/>
      <c r="R2973" s="18"/>
      <c r="S2973" s="18"/>
      <c r="T2973" s="18"/>
      <c r="U2973" s="18"/>
      <c r="V2973" s="18"/>
      <c r="W2973" s="15"/>
      <c r="X2973" s="15"/>
    </row>
    <row r="2974">
      <c r="A2974" s="7">
        <v>2973.0</v>
      </c>
      <c r="B2974" s="8" t="s">
        <v>12474</v>
      </c>
      <c r="C2974" s="9" t="s">
        <v>12475</v>
      </c>
      <c r="D2974" s="10" t="str">
        <f>HYPERLINK("https://facebook.com/367089020688300_557989528264914", "367089020688300_557989528264914")</f>
        <v>367089020688300_557989528264914</v>
      </c>
      <c r="E2974" s="11">
        <v>9.0</v>
      </c>
      <c r="F2974" s="11">
        <v>0.0</v>
      </c>
      <c r="G2974" s="11">
        <v>3.0</v>
      </c>
      <c r="H2974" s="9" t="s">
        <v>26</v>
      </c>
      <c r="I2974" s="9" t="s">
        <v>239</v>
      </c>
      <c r="J2974" s="16" t="s">
        <v>240</v>
      </c>
      <c r="K2974" s="9"/>
      <c r="L2974" s="9" t="s">
        <v>30</v>
      </c>
      <c r="M2974" s="9" t="s">
        <v>31</v>
      </c>
      <c r="N2974" s="9" t="s">
        <v>32</v>
      </c>
      <c r="O2974" s="12" t="s">
        <v>33</v>
      </c>
      <c r="P2974" s="12" t="s">
        <v>34</v>
      </c>
      <c r="Q2974" s="9"/>
      <c r="R2974" s="18"/>
      <c r="S2974" s="18"/>
      <c r="T2974" s="18"/>
      <c r="U2974" s="18"/>
      <c r="V2974" s="18"/>
      <c r="W2974" s="15"/>
      <c r="X2974" s="15"/>
    </row>
    <row r="2975">
      <c r="A2975" s="7">
        <v>2974.0</v>
      </c>
      <c r="B2975" s="8" t="s">
        <v>12476</v>
      </c>
      <c r="C2975" s="9" t="s">
        <v>12477</v>
      </c>
      <c r="D2975" s="10" t="str">
        <f>HYPERLINK("https://facebook.com/367089020688300_497278284336039", "367089020688300_497278284336039")</f>
        <v>367089020688300_497278284336039</v>
      </c>
      <c r="E2975" s="11">
        <v>401.0</v>
      </c>
      <c r="F2975" s="11">
        <v>18.0</v>
      </c>
      <c r="G2975" s="11">
        <v>229.0</v>
      </c>
      <c r="H2975" s="9" t="s">
        <v>26</v>
      </c>
      <c r="I2975" s="9" t="s">
        <v>1510</v>
      </c>
      <c r="J2975" s="9" t="s">
        <v>12478</v>
      </c>
      <c r="K2975" s="9" t="s">
        <v>1286</v>
      </c>
      <c r="L2975" s="9" t="s">
        <v>30</v>
      </c>
      <c r="M2975" s="9" t="s">
        <v>31</v>
      </c>
      <c r="N2975" s="9" t="s">
        <v>32</v>
      </c>
      <c r="O2975" s="12" t="s">
        <v>33</v>
      </c>
      <c r="P2975" s="12" t="s">
        <v>34</v>
      </c>
      <c r="Q2975" s="9"/>
      <c r="R2975" s="18"/>
      <c r="S2975" s="18"/>
      <c r="T2975" s="18"/>
      <c r="U2975" s="18"/>
      <c r="V2975" s="18"/>
      <c r="W2975" s="15"/>
      <c r="X2975" s="15"/>
    </row>
    <row r="2976">
      <c r="A2976" s="7">
        <v>2975.0</v>
      </c>
      <c r="B2976" s="8" t="s">
        <v>12479</v>
      </c>
      <c r="C2976" s="9" t="s">
        <v>12480</v>
      </c>
      <c r="D2976" s="10" t="str">
        <f>HYPERLINK("https://facebook.com/367089020688300_554032781993922", "367089020688300_554032781993922")</f>
        <v>367089020688300_554032781993922</v>
      </c>
      <c r="E2976" s="11">
        <v>228.0</v>
      </c>
      <c r="F2976" s="11">
        <v>3.0</v>
      </c>
      <c r="G2976" s="11">
        <v>158.0</v>
      </c>
      <c r="H2976" s="9" t="s">
        <v>26</v>
      </c>
      <c r="I2976" s="9" t="s">
        <v>12481</v>
      </c>
      <c r="J2976" s="9" t="s">
        <v>12482</v>
      </c>
      <c r="K2976" s="9" t="s">
        <v>12483</v>
      </c>
      <c r="L2976" s="9" t="s">
        <v>30</v>
      </c>
      <c r="M2976" s="9" t="s">
        <v>31</v>
      </c>
      <c r="N2976" s="9" t="s">
        <v>32</v>
      </c>
      <c r="O2976" s="12" t="s">
        <v>33</v>
      </c>
      <c r="P2976" s="12" t="s">
        <v>34</v>
      </c>
      <c r="Q2976" s="9"/>
      <c r="R2976" s="18"/>
      <c r="S2976" s="18"/>
      <c r="T2976" s="18"/>
      <c r="U2976" s="18"/>
      <c r="V2976" s="18"/>
      <c r="W2976" s="15"/>
      <c r="X2976" s="15"/>
    </row>
    <row r="2977">
      <c r="A2977" s="7">
        <v>2976.0</v>
      </c>
      <c r="B2977" s="8" t="s">
        <v>12484</v>
      </c>
      <c r="C2977" s="9" t="s">
        <v>12485</v>
      </c>
      <c r="D2977" s="10" t="str">
        <f>HYPERLINK("https://facebook.com/367089020688300_554396738624193", "367089020688300_554396738624193")</f>
        <v>367089020688300_554396738624193</v>
      </c>
      <c r="E2977" s="11">
        <v>211.0</v>
      </c>
      <c r="F2977" s="11">
        <v>3.0</v>
      </c>
      <c r="G2977" s="11">
        <v>188.0</v>
      </c>
      <c r="H2977" s="9" t="s">
        <v>26</v>
      </c>
      <c r="I2977" s="9" t="s">
        <v>863</v>
      </c>
      <c r="J2977" s="16" t="s">
        <v>12486</v>
      </c>
      <c r="K2977" s="9"/>
      <c r="L2977" s="9" t="s">
        <v>30</v>
      </c>
      <c r="M2977" s="9" t="s">
        <v>31</v>
      </c>
      <c r="N2977" s="9" t="s">
        <v>32</v>
      </c>
      <c r="O2977" s="12" t="s">
        <v>33</v>
      </c>
      <c r="P2977" s="12" t="s">
        <v>34</v>
      </c>
      <c r="Q2977" s="9"/>
      <c r="R2977" s="18"/>
      <c r="S2977" s="18"/>
      <c r="T2977" s="18"/>
      <c r="U2977" s="18"/>
      <c r="V2977" s="18"/>
      <c r="W2977" s="15"/>
      <c r="X2977" s="15"/>
    </row>
    <row r="2978">
      <c r="A2978" s="7">
        <v>2977.0</v>
      </c>
      <c r="B2978" s="8" t="s">
        <v>12487</v>
      </c>
      <c r="C2978" s="9" t="s">
        <v>12488</v>
      </c>
      <c r="D2978" s="10" t="str">
        <f>HYPERLINK("https://facebook.com/367089020688300_552388808824986", "367089020688300_552388808824986")</f>
        <v>367089020688300_552388808824986</v>
      </c>
      <c r="E2978" s="11">
        <v>2.0</v>
      </c>
      <c r="F2978" s="11">
        <v>0.0</v>
      </c>
      <c r="G2978" s="11">
        <v>1.0</v>
      </c>
      <c r="H2978" s="9" t="s">
        <v>26</v>
      </c>
      <c r="I2978" s="9" t="s">
        <v>11459</v>
      </c>
      <c r="J2978" s="16" t="s">
        <v>12489</v>
      </c>
      <c r="K2978" s="9"/>
      <c r="L2978" s="9" t="s">
        <v>30</v>
      </c>
      <c r="M2978" s="9" t="s">
        <v>31</v>
      </c>
      <c r="N2978" s="9" t="s">
        <v>32</v>
      </c>
      <c r="O2978" s="12" t="s">
        <v>33</v>
      </c>
      <c r="P2978" s="12" t="s">
        <v>34</v>
      </c>
      <c r="Q2978" s="9"/>
      <c r="R2978" s="18"/>
      <c r="S2978" s="18"/>
      <c r="T2978" s="18"/>
      <c r="U2978" s="18"/>
      <c r="V2978" s="18"/>
      <c r="W2978" s="15"/>
      <c r="X2978" s="15"/>
    </row>
    <row r="2979">
      <c r="A2979" s="7">
        <v>2978.0</v>
      </c>
      <c r="B2979" s="8" t="s">
        <v>12490</v>
      </c>
      <c r="C2979" s="9" t="s">
        <v>12491</v>
      </c>
      <c r="D2979" s="10" t="str">
        <f>HYPERLINK("https://facebook.com/367089020688300_557968084933725", "367089020688300_557968084933725")</f>
        <v>367089020688300_557968084933725</v>
      </c>
      <c r="E2979" s="11">
        <v>33.0</v>
      </c>
      <c r="F2979" s="11">
        <v>0.0</v>
      </c>
      <c r="G2979" s="11">
        <v>9.0</v>
      </c>
      <c r="H2979" s="9" t="s">
        <v>26</v>
      </c>
      <c r="I2979" s="9" t="s">
        <v>12492</v>
      </c>
      <c r="J2979" s="16" t="s">
        <v>12493</v>
      </c>
      <c r="K2979" s="9"/>
      <c r="L2979" s="9" t="s">
        <v>30</v>
      </c>
      <c r="M2979" s="9" t="s">
        <v>31</v>
      </c>
      <c r="N2979" s="9" t="s">
        <v>32</v>
      </c>
      <c r="O2979" s="12" t="s">
        <v>33</v>
      </c>
      <c r="P2979" s="12" t="s">
        <v>34</v>
      </c>
      <c r="Q2979" s="9"/>
      <c r="R2979" s="18"/>
      <c r="S2979" s="18"/>
      <c r="T2979" s="18"/>
      <c r="U2979" s="18"/>
      <c r="V2979" s="18"/>
      <c r="W2979" s="15"/>
      <c r="X2979" s="15"/>
    </row>
    <row r="2980">
      <c r="A2980" s="7">
        <v>2979.0</v>
      </c>
      <c r="B2980" s="8" t="s">
        <v>12494</v>
      </c>
      <c r="C2980" s="9" t="s">
        <v>12495</v>
      </c>
      <c r="D2980" s="10" t="str">
        <f>HYPERLINK("https://facebook.com/367089020688300_549534772443723", "367089020688300_549534772443723")</f>
        <v>367089020688300_549534772443723</v>
      </c>
      <c r="E2980" s="11">
        <v>94.0</v>
      </c>
      <c r="F2980" s="11">
        <v>0.0</v>
      </c>
      <c r="G2980" s="11">
        <v>53.0</v>
      </c>
      <c r="H2980" s="9" t="s">
        <v>26</v>
      </c>
      <c r="I2980" s="9" t="s">
        <v>12496</v>
      </c>
      <c r="J2980" s="16" t="s">
        <v>12497</v>
      </c>
      <c r="K2980" s="9"/>
      <c r="L2980" s="9" t="s">
        <v>30</v>
      </c>
      <c r="M2980" s="9" t="s">
        <v>31</v>
      </c>
      <c r="N2980" s="9" t="s">
        <v>32</v>
      </c>
      <c r="O2980" s="12" t="s">
        <v>33</v>
      </c>
      <c r="P2980" s="12" t="s">
        <v>34</v>
      </c>
      <c r="Q2980" s="9"/>
      <c r="R2980" s="18"/>
      <c r="S2980" s="18"/>
      <c r="T2980" s="18"/>
      <c r="U2980" s="18"/>
      <c r="V2980" s="18"/>
      <c r="W2980" s="15"/>
      <c r="X2980" s="15"/>
    </row>
    <row r="2981">
      <c r="A2981" s="7">
        <v>2980.0</v>
      </c>
      <c r="B2981" s="8" t="s">
        <v>12498</v>
      </c>
      <c r="C2981" s="9" t="s">
        <v>12499</v>
      </c>
      <c r="D2981" s="10" t="str">
        <f>HYPERLINK("https://facebook.com/367089020688300_506864666710734", "367089020688300_506864666710734")</f>
        <v>367089020688300_506864666710734</v>
      </c>
      <c r="E2981" s="11">
        <v>100.0</v>
      </c>
      <c r="F2981" s="11">
        <v>4.0</v>
      </c>
      <c r="G2981" s="11">
        <v>207.0</v>
      </c>
      <c r="H2981" s="9" t="s">
        <v>26</v>
      </c>
      <c r="I2981" s="9" t="s">
        <v>12500</v>
      </c>
      <c r="J2981" s="9" t="s">
        <v>12501</v>
      </c>
      <c r="K2981" s="9" t="s">
        <v>249</v>
      </c>
      <c r="L2981" s="9" t="s">
        <v>30</v>
      </c>
      <c r="M2981" s="9" t="s">
        <v>31</v>
      </c>
      <c r="N2981" s="9" t="s">
        <v>32</v>
      </c>
      <c r="O2981" s="12" t="s">
        <v>33</v>
      </c>
      <c r="P2981" s="12" t="s">
        <v>34</v>
      </c>
      <c r="Q2981" s="9"/>
      <c r="R2981" s="18"/>
      <c r="S2981" s="18"/>
      <c r="T2981" s="18"/>
      <c r="U2981" s="18"/>
      <c r="V2981" s="18"/>
      <c r="W2981" s="15"/>
      <c r="X2981" s="15"/>
    </row>
    <row r="2982">
      <c r="A2982" s="7">
        <v>2981.0</v>
      </c>
      <c r="B2982" s="8" t="s">
        <v>12502</v>
      </c>
      <c r="C2982" s="9" t="s">
        <v>12503</v>
      </c>
      <c r="D2982" s="10" t="str">
        <f>HYPERLINK("https://facebook.com/367089020688300_554005395329994", "367089020688300_554005395329994")</f>
        <v>367089020688300_554005395329994</v>
      </c>
      <c r="E2982" s="11">
        <v>116.0</v>
      </c>
      <c r="F2982" s="11">
        <v>3.0</v>
      </c>
      <c r="G2982" s="11">
        <v>120.0</v>
      </c>
      <c r="H2982" s="9" t="s">
        <v>26</v>
      </c>
      <c r="I2982" s="9" t="s">
        <v>3400</v>
      </c>
      <c r="J2982" s="9" t="s">
        <v>3401</v>
      </c>
      <c r="K2982" s="9" t="s">
        <v>5447</v>
      </c>
      <c r="L2982" s="9" t="s">
        <v>30</v>
      </c>
      <c r="M2982" s="9" t="s">
        <v>31</v>
      </c>
      <c r="N2982" s="9" t="s">
        <v>32</v>
      </c>
      <c r="O2982" s="12" t="s">
        <v>33</v>
      </c>
      <c r="P2982" s="12" t="s">
        <v>34</v>
      </c>
      <c r="Q2982" s="9"/>
      <c r="R2982" s="18"/>
      <c r="S2982" s="18"/>
      <c r="T2982" s="18"/>
      <c r="U2982" s="18"/>
      <c r="V2982" s="18"/>
      <c r="W2982" s="15"/>
      <c r="X2982" s="15"/>
    </row>
    <row r="2983">
      <c r="A2983" s="7">
        <v>2982.0</v>
      </c>
      <c r="B2983" s="8" t="s">
        <v>12504</v>
      </c>
      <c r="C2983" s="9" t="s">
        <v>12505</v>
      </c>
      <c r="D2983" s="10" t="str">
        <f>HYPERLINK("https://facebook.com/367089020688300_485283992202135", "367089020688300_485283992202135")</f>
        <v>367089020688300_485283992202135</v>
      </c>
      <c r="E2983" s="11">
        <v>24.0</v>
      </c>
      <c r="F2983" s="11">
        <v>1.0</v>
      </c>
      <c r="G2983" s="11">
        <v>19.0</v>
      </c>
      <c r="H2983" s="9" t="s">
        <v>26</v>
      </c>
      <c r="I2983" s="9" t="s">
        <v>12506</v>
      </c>
      <c r="J2983" s="9" t="s">
        <v>12507</v>
      </c>
      <c r="K2983" s="9" t="s">
        <v>12508</v>
      </c>
      <c r="L2983" s="9" t="s">
        <v>30</v>
      </c>
      <c r="M2983" s="9" t="s">
        <v>31</v>
      </c>
      <c r="N2983" s="9" t="s">
        <v>32</v>
      </c>
      <c r="O2983" s="12" t="s">
        <v>33</v>
      </c>
      <c r="P2983" s="12" t="s">
        <v>34</v>
      </c>
      <c r="Q2983" s="9"/>
      <c r="R2983" s="18"/>
      <c r="S2983" s="18"/>
      <c r="T2983" s="18"/>
      <c r="U2983" s="18"/>
      <c r="V2983" s="18"/>
      <c r="W2983" s="15"/>
      <c r="X2983" s="15"/>
    </row>
    <row r="2984">
      <c r="A2984" s="7">
        <v>2983.0</v>
      </c>
      <c r="B2984" s="8" t="s">
        <v>12509</v>
      </c>
      <c r="C2984" s="9" t="s">
        <v>12510</v>
      </c>
      <c r="D2984" s="10" t="str">
        <f>HYPERLINK("https://facebook.com/367089020688300_545041606226373", "367089020688300_545041606226373")</f>
        <v>367089020688300_545041606226373</v>
      </c>
      <c r="E2984" s="11">
        <v>76.0</v>
      </c>
      <c r="F2984" s="11">
        <v>0.0</v>
      </c>
      <c r="G2984" s="11">
        <v>24.0</v>
      </c>
      <c r="H2984" s="9" t="s">
        <v>26</v>
      </c>
      <c r="I2984" s="9" t="s">
        <v>12511</v>
      </c>
      <c r="J2984" s="9" t="s">
        <v>12512</v>
      </c>
      <c r="K2984" s="9" t="s">
        <v>6124</v>
      </c>
      <c r="L2984" s="9" t="s">
        <v>30</v>
      </c>
      <c r="M2984" s="9" t="s">
        <v>31</v>
      </c>
      <c r="N2984" s="9" t="s">
        <v>32</v>
      </c>
      <c r="O2984" s="12" t="s">
        <v>33</v>
      </c>
      <c r="P2984" s="12" t="s">
        <v>34</v>
      </c>
      <c r="Q2984" s="9"/>
      <c r="R2984" s="18"/>
      <c r="S2984" s="18"/>
      <c r="T2984" s="18"/>
      <c r="U2984" s="18"/>
      <c r="V2984" s="18"/>
      <c r="W2984" s="15"/>
      <c r="X2984" s="15"/>
    </row>
    <row r="2985">
      <c r="A2985" s="7">
        <v>2984.0</v>
      </c>
      <c r="B2985" s="8" t="s">
        <v>12513</v>
      </c>
      <c r="C2985" s="9" t="s">
        <v>12514</v>
      </c>
      <c r="D2985" s="10" t="str">
        <f>HYPERLINK("https://facebook.com/367089020688300_519853675411833", "367089020688300_519853675411833")</f>
        <v>367089020688300_519853675411833</v>
      </c>
      <c r="E2985" s="11">
        <v>1033.0</v>
      </c>
      <c r="F2985" s="11">
        <v>32.0</v>
      </c>
      <c r="G2985" s="11">
        <v>785.0</v>
      </c>
      <c r="H2985" s="9" t="s">
        <v>26</v>
      </c>
      <c r="I2985" s="9" t="s">
        <v>12515</v>
      </c>
      <c r="J2985" s="9" t="s">
        <v>12516</v>
      </c>
      <c r="K2985" s="9" t="s">
        <v>12517</v>
      </c>
      <c r="L2985" s="9" t="s">
        <v>30</v>
      </c>
      <c r="M2985" s="9" t="s">
        <v>31</v>
      </c>
      <c r="N2985" s="9" t="s">
        <v>32</v>
      </c>
      <c r="O2985" s="12" t="s">
        <v>33</v>
      </c>
      <c r="P2985" s="12" t="s">
        <v>34</v>
      </c>
      <c r="Q2985" s="9"/>
      <c r="R2985" s="18"/>
      <c r="S2985" s="18"/>
      <c r="T2985" s="18"/>
      <c r="U2985" s="18"/>
      <c r="V2985" s="18"/>
      <c r="W2985" s="15"/>
      <c r="X2985" s="15"/>
    </row>
    <row r="2986">
      <c r="A2986" s="7">
        <v>2985.0</v>
      </c>
      <c r="B2986" s="8" t="s">
        <v>12518</v>
      </c>
      <c r="C2986" s="9" t="s">
        <v>12519</v>
      </c>
      <c r="D2986" s="10" t="str">
        <f>HYPERLINK("https://facebook.com/367089020688300_479485116115356", "367089020688300_479485116115356")</f>
        <v>367089020688300_479485116115356</v>
      </c>
      <c r="E2986" s="11">
        <v>314.0</v>
      </c>
      <c r="F2986" s="11">
        <v>10.0</v>
      </c>
      <c r="G2986" s="11">
        <v>334.0</v>
      </c>
      <c r="H2986" s="9" t="s">
        <v>26</v>
      </c>
      <c r="I2986" s="9" t="s">
        <v>12520</v>
      </c>
      <c r="J2986" s="9" t="s">
        <v>12521</v>
      </c>
      <c r="K2986" s="9" t="s">
        <v>12522</v>
      </c>
      <c r="L2986" s="9" t="s">
        <v>30</v>
      </c>
      <c r="M2986" s="9" t="s">
        <v>31</v>
      </c>
      <c r="N2986" s="9" t="s">
        <v>32</v>
      </c>
      <c r="O2986" s="12" t="s">
        <v>33</v>
      </c>
      <c r="P2986" s="12" t="s">
        <v>34</v>
      </c>
      <c r="Q2986" s="9"/>
      <c r="R2986" s="18"/>
      <c r="S2986" s="18"/>
      <c r="T2986" s="18"/>
      <c r="U2986" s="18"/>
      <c r="V2986" s="18"/>
      <c r="W2986" s="15"/>
      <c r="X2986" s="15"/>
    </row>
    <row r="2987">
      <c r="A2987" s="7">
        <v>2986.0</v>
      </c>
      <c r="B2987" s="8" t="s">
        <v>12523</v>
      </c>
      <c r="C2987" s="9" t="s">
        <v>12524</v>
      </c>
      <c r="D2987" s="10" t="str">
        <f>HYPERLINK("https://facebook.com/367089020688300_533690374028163", "367089020688300_533690374028163")</f>
        <v>367089020688300_533690374028163</v>
      </c>
      <c r="E2987" s="11">
        <v>2666.0</v>
      </c>
      <c r="F2987" s="11">
        <v>79.0</v>
      </c>
      <c r="G2987" s="11">
        <v>1398.0</v>
      </c>
      <c r="H2987" s="9" t="s">
        <v>26</v>
      </c>
      <c r="I2987" s="9" t="s">
        <v>12525</v>
      </c>
      <c r="J2987" s="16" t="s">
        <v>12526</v>
      </c>
      <c r="K2987" s="9"/>
      <c r="L2987" s="9" t="s">
        <v>30</v>
      </c>
      <c r="M2987" s="9" t="s">
        <v>31</v>
      </c>
      <c r="N2987" s="9" t="s">
        <v>32</v>
      </c>
      <c r="O2987" s="12" t="s">
        <v>33</v>
      </c>
      <c r="P2987" s="12" t="s">
        <v>34</v>
      </c>
      <c r="Q2987" s="9"/>
      <c r="R2987" s="18"/>
      <c r="S2987" s="18"/>
      <c r="T2987" s="18"/>
      <c r="U2987" s="18"/>
      <c r="V2987" s="18"/>
      <c r="W2987" s="15"/>
      <c r="X2987" s="15"/>
    </row>
    <row r="2988">
      <c r="A2988" s="7">
        <v>2987.0</v>
      </c>
      <c r="B2988" s="8" t="s">
        <v>12527</v>
      </c>
      <c r="C2988" s="9" t="s">
        <v>12528</v>
      </c>
      <c r="D2988" s="10" t="str">
        <f>HYPERLINK("https://facebook.com/367089020688300_487511431979391", "367089020688300_487511431979391")</f>
        <v>367089020688300_487511431979391</v>
      </c>
      <c r="E2988" s="11">
        <v>694.0</v>
      </c>
      <c r="F2988" s="11">
        <v>32.0</v>
      </c>
      <c r="G2988" s="11">
        <v>1274.0</v>
      </c>
      <c r="H2988" s="9" t="s">
        <v>26</v>
      </c>
      <c r="I2988" s="9" t="s">
        <v>357</v>
      </c>
      <c r="J2988" s="9" t="s">
        <v>12529</v>
      </c>
      <c r="K2988" s="9" t="s">
        <v>12530</v>
      </c>
      <c r="L2988" s="9" t="s">
        <v>30</v>
      </c>
      <c r="M2988" s="9" t="s">
        <v>31</v>
      </c>
      <c r="N2988" s="9" t="s">
        <v>32</v>
      </c>
      <c r="O2988" s="12" t="s">
        <v>33</v>
      </c>
      <c r="P2988" s="12" t="s">
        <v>34</v>
      </c>
      <c r="Q2988" s="9"/>
      <c r="R2988" s="18"/>
      <c r="S2988" s="18"/>
      <c r="T2988" s="18"/>
      <c r="U2988" s="18"/>
      <c r="V2988" s="18"/>
      <c r="W2988" s="15"/>
      <c r="X2988" s="15"/>
    </row>
    <row r="2989">
      <c r="A2989" s="7">
        <v>2988.0</v>
      </c>
      <c r="B2989" s="8" t="s">
        <v>12531</v>
      </c>
      <c r="C2989" s="9" t="s">
        <v>12532</v>
      </c>
      <c r="D2989" s="10" t="str">
        <f>HYPERLINK("https://facebook.com/367089020688300_556647198399147", "367089020688300_556647198399147")</f>
        <v>367089020688300_556647198399147</v>
      </c>
      <c r="E2989" s="11">
        <v>205.0</v>
      </c>
      <c r="F2989" s="11">
        <v>5.0</v>
      </c>
      <c r="G2989" s="11">
        <v>206.0</v>
      </c>
      <c r="H2989" s="9" t="s">
        <v>26</v>
      </c>
      <c r="I2989" s="9" t="s">
        <v>8958</v>
      </c>
      <c r="J2989" s="9" t="s">
        <v>8959</v>
      </c>
      <c r="K2989" s="9" t="s">
        <v>7175</v>
      </c>
      <c r="L2989" s="9" t="s">
        <v>30</v>
      </c>
      <c r="M2989" s="9" t="s">
        <v>31</v>
      </c>
      <c r="N2989" s="9" t="s">
        <v>32</v>
      </c>
      <c r="O2989" s="12" t="s">
        <v>33</v>
      </c>
      <c r="P2989" s="12" t="s">
        <v>34</v>
      </c>
      <c r="Q2989" s="9"/>
      <c r="R2989" s="18"/>
      <c r="S2989" s="18"/>
      <c r="T2989" s="18"/>
      <c r="U2989" s="18"/>
      <c r="V2989" s="18"/>
      <c r="W2989" s="15"/>
      <c r="X2989" s="15"/>
    </row>
    <row r="2990">
      <c r="A2990" s="7">
        <v>2989.0</v>
      </c>
      <c r="B2990" s="8" t="s">
        <v>12533</v>
      </c>
      <c r="C2990" s="9" t="s">
        <v>12534</v>
      </c>
      <c r="D2990" s="10" t="str">
        <f>HYPERLINK("https://facebook.com/367089020688300_501101787287022", "367089020688300_501101787287022")</f>
        <v>367089020688300_501101787287022</v>
      </c>
      <c r="E2990" s="11">
        <v>299.0</v>
      </c>
      <c r="F2990" s="11">
        <v>18.0</v>
      </c>
      <c r="G2990" s="11">
        <v>322.0</v>
      </c>
      <c r="H2990" s="9" t="s">
        <v>26</v>
      </c>
      <c r="I2990" s="9" t="s">
        <v>12535</v>
      </c>
      <c r="J2990" s="9" t="s">
        <v>12536</v>
      </c>
      <c r="K2990" s="9" t="s">
        <v>12537</v>
      </c>
      <c r="L2990" s="9" t="s">
        <v>30</v>
      </c>
      <c r="M2990" s="9" t="s">
        <v>31</v>
      </c>
      <c r="N2990" s="9" t="s">
        <v>32</v>
      </c>
      <c r="O2990" s="12" t="s">
        <v>33</v>
      </c>
      <c r="P2990" s="12" t="s">
        <v>34</v>
      </c>
      <c r="Q2990" s="9"/>
      <c r="R2990" s="18"/>
      <c r="S2990" s="18"/>
      <c r="T2990" s="18"/>
      <c r="U2990" s="18"/>
      <c r="V2990" s="18"/>
      <c r="W2990" s="15"/>
      <c r="X2990" s="15"/>
    </row>
    <row r="2991">
      <c r="A2991" s="7">
        <v>2990.0</v>
      </c>
      <c r="B2991" s="8" t="s">
        <v>12538</v>
      </c>
      <c r="C2991" s="9" t="s">
        <v>12539</v>
      </c>
      <c r="D2991" s="10" t="str">
        <f>HYPERLINK("https://facebook.com/367089020688300_454070881990113", "367089020688300_454070881990113")</f>
        <v>367089020688300_454070881990113</v>
      </c>
      <c r="E2991" s="11">
        <v>196.0</v>
      </c>
      <c r="F2991" s="11">
        <v>7.0</v>
      </c>
      <c r="G2991" s="11">
        <v>288.0</v>
      </c>
      <c r="H2991" s="9" t="s">
        <v>26</v>
      </c>
      <c r="I2991" s="9" t="s">
        <v>4956</v>
      </c>
      <c r="J2991" s="9" t="s">
        <v>12540</v>
      </c>
      <c r="K2991" s="9" t="s">
        <v>12541</v>
      </c>
      <c r="L2991" s="9" t="s">
        <v>30</v>
      </c>
      <c r="M2991" s="9" t="s">
        <v>31</v>
      </c>
      <c r="N2991" s="9" t="s">
        <v>32</v>
      </c>
      <c r="O2991" s="12" t="s">
        <v>33</v>
      </c>
      <c r="P2991" s="12" t="s">
        <v>34</v>
      </c>
      <c r="Q2991" s="9"/>
      <c r="R2991" s="18"/>
      <c r="S2991" s="18"/>
      <c r="T2991" s="18"/>
      <c r="U2991" s="18"/>
      <c r="V2991" s="18"/>
      <c r="W2991" s="15"/>
      <c r="X2991" s="15"/>
    </row>
    <row r="2992">
      <c r="A2992" s="7">
        <v>2991.0</v>
      </c>
      <c r="B2992" s="8" t="s">
        <v>12542</v>
      </c>
      <c r="C2992" s="9" t="s">
        <v>12543</v>
      </c>
      <c r="D2992" s="10" t="str">
        <f>HYPERLINK("https://facebook.com/367089020688300_435765713820630", "367089020688300_435765713820630")</f>
        <v>367089020688300_435765713820630</v>
      </c>
      <c r="E2992" s="11">
        <v>1171.0</v>
      </c>
      <c r="F2992" s="11">
        <v>79.0</v>
      </c>
      <c r="G2992" s="11">
        <v>686.0</v>
      </c>
      <c r="H2992" s="9" t="s">
        <v>26</v>
      </c>
      <c r="I2992" s="9" t="s">
        <v>12544</v>
      </c>
      <c r="J2992" s="9" t="s">
        <v>12545</v>
      </c>
      <c r="K2992" s="9" t="s">
        <v>363</v>
      </c>
      <c r="L2992" s="9" t="s">
        <v>30</v>
      </c>
      <c r="M2992" s="9" t="s">
        <v>31</v>
      </c>
      <c r="N2992" s="9" t="s">
        <v>32</v>
      </c>
      <c r="O2992" s="12" t="s">
        <v>33</v>
      </c>
      <c r="P2992" s="12" t="s">
        <v>34</v>
      </c>
      <c r="Q2992" s="9"/>
      <c r="R2992" s="18"/>
      <c r="S2992" s="18"/>
      <c r="T2992" s="18"/>
      <c r="U2992" s="18"/>
      <c r="V2992" s="18"/>
      <c r="W2992" s="15"/>
      <c r="X2992" s="15"/>
    </row>
    <row r="2993">
      <c r="A2993" s="7">
        <v>2992.0</v>
      </c>
      <c r="B2993" s="8" t="s">
        <v>12546</v>
      </c>
      <c r="C2993" s="9" t="s">
        <v>12547</v>
      </c>
      <c r="D2993" s="10" t="str">
        <f>HYPERLINK("https://facebook.com/367089020688300_527893927941141", "367089020688300_527893927941141")</f>
        <v>367089020688300_527893927941141</v>
      </c>
      <c r="E2993" s="11">
        <v>60.0</v>
      </c>
      <c r="F2993" s="11">
        <v>1.0</v>
      </c>
      <c r="G2993" s="11">
        <v>51.0</v>
      </c>
      <c r="H2993" s="9" t="s">
        <v>26</v>
      </c>
      <c r="I2993" s="9" t="s">
        <v>464</v>
      </c>
      <c r="J2993" s="9" t="s">
        <v>465</v>
      </c>
      <c r="K2993" s="9" t="s">
        <v>249</v>
      </c>
      <c r="L2993" s="9" t="s">
        <v>30</v>
      </c>
      <c r="M2993" s="9" t="s">
        <v>31</v>
      </c>
      <c r="N2993" s="9" t="s">
        <v>32</v>
      </c>
      <c r="O2993" s="12" t="s">
        <v>33</v>
      </c>
      <c r="P2993" s="12" t="s">
        <v>34</v>
      </c>
      <c r="Q2993" s="9"/>
      <c r="R2993" s="18"/>
      <c r="S2993" s="18"/>
      <c r="T2993" s="18"/>
      <c r="U2993" s="18"/>
      <c r="V2993" s="18"/>
      <c r="W2993" s="15"/>
      <c r="X2993" s="15"/>
    </row>
    <row r="2994">
      <c r="A2994" s="7">
        <v>2993.0</v>
      </c>
      <c r="B2994" s="8" t="s">
        <v>12548</v>
      </c>
      <c r="C2994" s="9" t="s">
        <v>12549</v>
      </c>
      <c r="D2994" s="10" t="str">
        <f>HYPERLINK("https://facebook.com/367089020688300_526789521384915", "367089020688300_526789521384915")</f>
        <v>367089020688300_526789521384915</v>
      </c>
      <c r="E2994" s="11">
        <v>23.0</v>
      </c>
      <c r="F2994" s="11">
        <v>0.0</v>
      </c>
      <c r="G2994" s="11">
        <v>20.0</v>
      </c>
      <c r="H2994" s="9" t="s">
        <v>26</v>
      </c>
      <c r="I2994" s="9" t="s">
        <v>12550</v>
      </c>
      <c r="J2994" s="16" t="s">
        <v>12551</v>
      </c>
      <c r="K2994" s="9"/>
      <c r="L2994" s="9" t="s">
        <v>30</v>
      </c>
      <c r="M2994" s="9" t="s">
        <v>31</v>
      </c>
      <c r="N2994" s="9" t="s">
        <v>32</v>
      </c>
      <c r="O2994" s="12" t="s">
        <v>33</v>
      </c>
      <c r="P2994" s="12" t="s">
        <v>34</v>
      </c>
      <c r="Q2994" s="9"/>
      <c r="R2994" s="18"/>
      <c r="S2994" s="18"/>
      <c r="T2994" s="18"/>
      <c r="U2994" s="18"/>
      <c r="V2994" s="18"/>
      <c r="W2994" s="15"/>
      <c r="X2994" s="15"/>
    </row>
    <row r="2995">
      <c r="A2995" s="7">
        <v>2994.0</v>
      </c>
      <c r="B2995" s="8" t="s">
        <v>12552</v>
      </c>
      <c r="C2995" s="9" t="s">
        <v>12553</v>
      </c>
      <c r="D2995" s="10" t="str">
        <f>HYPERLINK("https://facebook.com/367089020688300_538102266920307", "367089020688300_538102266920307")</f>
        <v>367089020688300_538102266920307</v>
      </c>
      <c r="E2995" s="11">
        <v>10.0</v>
      </c>
      <c r="F2995" s="11">
        <v>0.0</v>
      </c>
      <c r="G2995" s="11">
        <v>4.0</v>
      </c>
      <c r="H2995" s="9" t="s">
        <v>26</v>
      </c>
      <c r="I2995" s="9" t="s">
        <v>12554</v>
      </c>
      <c r="J2995" s="16" t="s">
        <v>12555</v>
      </c>
      <c r="K2995" s="9"/>
      <c r="L2995" s="9" t="s">
        <v>30</v>
      </c>
      <c r="M2995" s="9" t="s">
        <v>31</v>
      </c>
      <c r="N2995" s="9" t="s">
        <v>32</v>
      </c>
      <c r="O2995" s="12" t="s">
        <v>33</v>
      </c>
      <c r="P2995" s="12" t="s">
        <v>34</v>
      </c>
      <c r="Q2995" s="9"/>
      <c r="R2995" s="18"/>
      <c r="S2995" s="18"/>
      <c r="T2995" s="18"/>
      <c r="U2995" s="18"/>
      <c r="V2995" s="18"/>
      <c r="W2995" s="15"/>
      <c r="X2995" s="15"/>
    </row>
    <row r="2996">
      <c r="A2996" s="7">
        <v>2995.0</v>
      </c>
      <c r="B2996" s="8" t="s">
        <v>12556</v>
      </c>
      <c r="C2996" s="9" t="s">
        <v>12557</v>
      </c>
      <c r="D2996" s="10" t="str">
        <f>HYPERLINK("https://facebook.com/367089020688300_455113928552475", "367089020688300_455113928552475")</f>
        <v>367089020688300_455113928552475</v>
      </c>
      <c r="E2996" s="11">
        <v>654.0</v>
      </c>
      <c r="F2996" s="11">
        <v>10.0</v>
      </c>
      <c r="G2996" s="11">
        <v>457.0</v>
      </c>
      <c r="H2996" s="9" t="s">
        <v>26</v>
      </c>
      <c r="I2996" s="9" t="s">
        <v>12558</v>
      </c>
      <c r="J2996" s="9" t="s">
        <v>12559</v>
      </c>
      <c r="K2996" s="9" t="s">
        <v>12560</v>
      </c>
      <c r="L2996" s="9" t="s">
        <v>30</v>
      </c>
      <c r="M2996" s="9" t="s">
        <v>31</v>
      </c>
      <c r="N2996" s="9" t="s">
        <v>32</v>
      </c>
      <c r="O2996" s="12" t="s">
        <v>33</v>
      </c>
      <c r="P2996" s="12" t="s">
        <v>34</v>
      </c>
      <c r="Q2996" s="9"/>
      <c r="R2996" s="18"/>
      <c r="S2996" s="18"/>
      <c r="T2996" s="18"/>
      <c r="U2996" s="18"/>
      <c r="V2996" s="18"/>
      <c r="W2996" s="15"/>
      <c r="X2996" s="15"/>
    </row>
    <row r="2997">
      <c r="A2997" s="7">
        <v>2996.0</v>
      </c>
      <c r="B2997" s="8" t="s">
        <v>12561</v>
      </c>
      <c r="C2997" s="9" t="s">
        <v>12562</v>
      </c>
      <c r="D2997" s="10" t="str">
        <f>HYPERLINK("https://facebook.com/367089020688300_458926304837904", "367089020688300_458926304837904")</f>
        <v>367089020688300_458926304837904</v>
      </c>
      <c r="E2997" s="11">
        <v>216.0</v>
      </c>
      <c r="F2997" s="11">
        <v>5.0</v>
      </c>
      <c r="G2997" s="11">
        <v>222.0</v>
      </c>
      <c r="H2997" s="9" t="s">
        <v>26</v>
      </c>
      <c r="I2997" s="9" t="s">
        <v>6755</v>
      </c>
      <c r="J2997" s="9" t="s">
        <v>12563</v>
      </c>
      <c r="K2997" s="9" t="s">
        <v>12564</v>
      </c>
      <c r="L2997" s="9" t="s">
        <v>30</v>
      </c>
      <c r="M2997" s="9" t="s">
        <v>31</v>
      </c>
      <c r="N2997" s="9" t="s">
        <v>32</v>
      </c>
      <c r="O2997" s="12" t="s">
        <v>33</v>
      </c>
      <c r="P2997" s="12" t="s">
        <v>34</v>
      </c>
      <c r="Q2997" s="9"/>
      <c r="R2997" s="18"/>
      <c r="S2997" s="18"/>
      <c r="T2997" s="18"/>
      <c r="U2997" s="18"/>
      <c r="V2997" s="18"/>
      <c r="W2997" s="15"/>
      <c r="X2997" s="15"/>
    </row>
    <row r="2998">
      <c r="A2998" s="7">
        <v>2997.0</v>
      </c>
      <c r="B2998" s="8" t="s">
        <v>12565</v>
      </c>
      <c r="C2998" s="9" t="s">
        <v>12566</v>
      </c>
      <c r="D2998" s="10" t="str">
        <f>HYPERLINK("https://facebook.com/367089020688300_505266923537175", "367089020688300_505266923537175")</f>
        <v>367089020688300_505266923537175</v>
      </c>
      <c r="E2998" s="11">
        <v>582.0</v>
      </c>
      <c r="F2998" s="11">
        <v>29.0</v>
      </c>
      <c r="G2998" s="11">
        <v>536.0</v>
      </c>
      <c r="H2998" s="9" t="s">
        <v>26</v>
      </c>
      <c r="I2998" s="9" t="s">
        <v>12567</v>
      </c>
      <c r="J2998" s="9" t="s">
        <v>12568</v>
      </c>
      <c r="K2998" s="9" t="s">
        <v>12569</v>
      </c>
      <c r="L2998" s="9" t="s">
        <v>30</v>
      </c>
      <c r="M2998" s="9" t="s">
        <v>31</v>
      </c>
      <c r="N2998" s="9" t="s">
        <v>32</v>
      </c>
      <c r="O2998" s="12" t="s">
        <v>33</v>
      </c>
      <c r="P2998" s="12" t="s">
        <v>34</v>
      </c>
      <c r="Q2998" s="9"/>
      <c r="R2998" s="18"/>
      <c r="S2998" s="18"/>
      <c r="T2998" s="18"/>
      <c r="U2998" s="18"/>
      <c r="V2998" s="18"/>
      <c r="W2998" s="15"/>
      <c r="X2998" s="15"/>
    </row>
    <row r="2999">
      <c r="A2999" s="7">
        <v>2998.0</v>
      </c>
      <c r="B2999" s="8" t="s">
        <v>12570</v>
      </c>
      <c r="C2999" s="9" t="s">
        <v>12571</v>
      </c>
      <c r="D2999" s="10" t="str">
        <f>HYPERLINK("https://facebook.com/367089020688300_543499163047284", "367089020688300_543499163047284")</f>
        <v>367089020688300_543499163047284</v>
      </c>
      <c r="E2999" s="11">
        <v>93.0</v>
      </c>
      <c r="F2999" s="11">
        <v>1.0</v>
      </c>
      <c r="G2999" s="11">
        <v>87.0</v>
      </c>
      <c r="H2999" s="9" t="s">
        <v>26</v>
      </c>
      <c r="I2999" s="9" t="s">
        <v>9351</v>
      </c>
      <c r="J2999" s="9" t="s">
        <v>9352</v>
      </c>
      <c r="K2999" s="9" t="s">
        <v>12572</v>
      </c>
      <c r="L2999" s="9" t="s">
        <v>30</v>
      </c>
      <c r="M2999" s="9" t="s">
        <v>31</v>
      </c>
      <c r="N2999" s="9" t="s">
        <v>32</v>
      </c>
      <c r="O2999" s="12" t="s">
        <v>33</v>
      </c>
      <c r="P2999" s="12" t="s">
        <v>34</v>
      </c>
      <c r="Q2999" s="9"/>
      <c r="R2999" s="18"/>
      <c r="S2999" s="18"/>
      <c r="T2999" s="18"/>
      <c r="U2999" s="18"/>
      <c r="V2999" s="18"/>
      <c r="W2999" s="15"/>
      <c r="X2999" s="15"/>
    </row>
    <row r="3000">
      <c r="A3000" s="7">
        <v>2999.0</v>
      </c>
      <c r="B3000" s="8" t="s">
        <v>12573</v>
      </c>
      <c r="C3000" s="9" t="s">
        <v>12574</v>
      </c>
      <c r="D3000" s="10" t="str">
        <f>HYPERLINK("https://facebook.com/367089020688300_441174266613108", "367089020688300_441174266613108")</f>
        <v>367089020688300_441174266613108</v>
      </c>
      <c r="E3000" s="11">
        <v>87.0</v>
      </c>
      <c r="F3000" s="11">
        <v>2.0</v>
      </c>
      <c r="G3000" s="11">
        <v>44.0</v>
      </c>
      <c r="H3000" s="9" t="s">
        <v>26</v>
      </c>
      <c r="I3000" s="9" t="s">
        <v>12575</v>
      </c>
      <c r="J3000" s="9" t="s">
        <v>12576</v>
      </c>
      <c r="K3000" s="9" t="s">
        <v>12577</v>
      </c>
      <c r="L3000" s="9" t="s">
        <v>30</v>
      </c>
      <c r="M3000" s="9" t="s">
        <v>31</v>
      </c>
      <c r="N3000" s="9" t="s">
        <v>32</v>
      </c>
      <c r="O3000" s="12" t="s">
        <v>33</v>
      </c>
      <c r="P3000" s="12" t="s">
        <v>34</v>
      </c>
      <c r="Q3000" s="9"/>
      <c r="R3000" s="18"/>
      <c r="S3000" s="18"/>
      <c r="T3000" s="18"/>
      <c r="U3000" s="18"/>
      <c r="V3000" s="18"/>
      <c r="W3000" s="15"/>
      <c r="X3000" s="15"/>
    </row>
    <row r="3001">
      <c r="A3001" s="7">
        <v>3000.0</v>
      </c>
      <c r="B3001" s="8" t="s">
        <v>12578</v>
      </c>
      <c r="C3001" s="9" t="s">
        <v>12579</v>
      </c>
      <c r="D3001" s="10" t="str">
        <f>HYPERLINK("https://facebook.com/367089020688300_552540072143193", "367089020688300_552540072143193")</f>
        <v>367089020688300_552540072143193</v>
      </c>
      <c r="E3001" s="11">
        <v>30.0</v>
      </c>
      <c r="F3001" s="11">
        <v>0.0</v>
      </c>
      <c r="G3001" s="11">
        <v>21.0</v>
      </c>
      <c r="H3001" s="9" t="s">
        <v>26</v>
      </c>
      <c r="I3001" s="9" t="s">
        <v>6607</v>
      </c>
      <c r="J3001" s="16" t="s">
        <v>12580</v>
      </c>
      <c r="K3001" s="9"/>
      <c r="L3001" s="9" t="s">
        <v>30</v>
      </c>
      <c r="M3001" s="9" t="s">
        <v>31</v>
      </c>
      <c r="N3001" s="9" t="s">
        <v>32</v>
      </c>
      <c r="O3001" s="12" t="s">
        <v>33</v>
      </c>
      <c r="P3001" s="12" t="s">
        <v>34</v>
      </c>
      <c r="Q3001" s="9"/>
      <c r="R3001" s="18"/>
      <c r="S3001" s="18"/>
      <c r="T3001" s="18"/>
      <c r="U3001" s="18"/>
      <c r="V3001" s="18"/>
      <c r="W3001" s="15"/>
      <c r="X3001" s="15"/>
    </row>
    <row r="3002">
      <c r="A3002" s="7">
        <v>3001.0</v>
      </c>
      <c r="B3002" s="8" t="s">
        <v>12581</v>
      </c>
      <c r="C3002" s="9" t="s">
        <v>12582</v>
      </c>
      <c r="D3002" s="10" t="str">
        <f>HYPERLINK("https://facebook.com/367089020688300_549804212416779", "367089020688300_549804212416779")</f>
        <v>367089020688300_549804212416779</v>
      </c>
      <c r="E3002" s="11">
        <v>23.0</v>
      </c>
      <c r="F3002" s="11">
        <v>1.0</v>
      </c>
      <c r="G3002" s="11">
        <v>26.0</v>
      </c>
      <c r="H3002" s="9" t="s">
        <v>26</v>
      </c>
      <c r="I3002" s="9" t="s">
        <v>12583</v>
      </c>
      <c r="J3002" s="9" t="s">
        <v>12584</v>
      </c>
      <c r="K3002" s="9" t="s">
        <v>219</v>
      </c>
      <c r="L3002" s="9" t="s">
        <v>30</v>
      </c>
      <c r="M3002" s="9" t="s">
        <v>31</v>
      </c>
      <c r="N3002" s="9" t="s">
        <v>32</v>
      </c>
      <c r="O3002" s="12" t="s">
        <v>33</v>
      </c>
      <c r="P3002" s="12" t="s">
        <v>34</v>
      </c>
      <c r="Q3002" s="9"/>
      <c r="R3002" s="18"/>
      <c r="S3002" s="18"/>
      <c r="T3002" s="18"/>
      <c r="U3002" s="18"/>
      <c r="V3002" s="18"/>
      <c r="W3002" s="15"/>
      <c r="X3002" s="15"/>
    </row>
    <row r="3003">
      <c r="A3003" s="7">
        <v>3002.0</v>
      </c>
      <c r="B3003" s="8" t="s">
        <v>12585</v>
      </c>
      <c r="C3003" s="9" t="s">
        <v>12586</v>
      </c>
      <c r="D3003" s="10" t="str">
        <f>HYPERLINK("https://facebook.com/367089020688300_559238358140031", "367089020688300_559238358140031")</f>
        <v>367089020688300_559238358140031</v>
      </c>
      <c r="E3003" s="11">
        <v>670.0</v>
      </c>
      <c r="F3003" s="11">
        <v>27.0</v>
      </c>
      <c r="G3003" s="11">
        <v>949.0</v>
      </c>
      <c r="H3003" s="9" t="s">
        <v>26</v>
      </c>
      <c r="I3003" s="9" t="s">
        <v>12587</v>
      </c>
      <c r="J3003" s="9" t="s">
        <v>12588</v>
      </c>
      <c r="K3003" s="9" t="s">
        <v>12589</v>
      </c>
      <c r="L3003" s="9" t="s">
        <v>30</v>
      </c>
      <c r="M3003" s="9" t="s">
        <v>31</v>
      </c>
      <c r="N3003" s="9" t="s">
        <v>32</v>
      </c>
      <c r="O3003" s="12" t="s">
        <v>33</v>
      </c>
      <c r="P3003" s="12" t="s">
        <v>34</v>
      </c>
      <c r="Q3003" s="9"/>
      <c r="R3003" s="18"/>
      <c r="S3003" s="18"/>
      <c r="T3003" s="18"/>
      <c r="U3003" s="18"/>
      <c r="V3003" s="18"/>
      <c r="W3003" s="15"/>
      <c r="X3003" s="15"/>
    </row>
    <row r="3004">
      <c r="A3004" s="7">
        <v>3003.0</v>
      </c>
      <c r="B3004" s="8" t="s">
        <v>12590</v>
      </c>
      <c r="C3004" s="9" t="s">
        <v>12591</v>
      </c>
      <c r="D3004" s="10" t="str">
        <f>HYPERLINK("https://facebook.com/367089020688300_465037834226751", "367089020688300_465037834226751")</f>
        <v>367089020688300_465037834226751</v>
      </c>
      <c r="E3004" s="11">
        <v>326.0</v>
      </c>
      <c r="F3004" s="11">
        <v>7.0</v>
      </c>
      <c r="G3004" s="11">
        <v>188.0</v>
      </c>
      <c r="H3004" s="9" t="s">
        <v>26</v>
      </c>
      <c r="I3004" s="9" t="s">
        <v>12592</v>
      </c>
      <c r="J3004" s="9" t="s">
        <v>12593</v>
      </c>
      <c r="K3004" s="9" t="s">
        <v>12594</v>
      </c>
      <c r="L3004" s="9" t="s">
        <v>30</v>
      </c>
      <c r="M3004" s="9" t="s">
        <v>31</v>
      </c>
      <c r="N3004" s="9" t="s">
        <v>32</v>
      </c>
      <c r="O3004" s="12" t="s">
        <v>33</v>
      </c>
      <c r="P3004" s="12" t="s">
        <v>34</v>
      </c>
      <c r="Q3004" s="9"/>
      <c r="R3004" s="18"/>
      <c r="S3004" s="18"/>
      <c r="T3004" s="18"/>
      <c r="U3004" s="18"/>
      <c r="V3004" s="18"/>
      <c r="W3004" s="15"/>
      <c r="X3004" s="15"/>
    </row>
    <row r="3005">
      <c r="A3005" s="7">
        <v>3004.0</v>
      </c>
      <c r="B3005" s="8" t="s">
        <v>12595</v>
      </c>
      <c r="C3005" s="9" t="s">
        <v>12596</v>
      </c>
      <c r="D3005" s="10" t="str">
        <f>HYPERLINK("https://facebook.com/367089020688300_561499281247272", "367089020688300_561499281247272")</f>
        <v>367089020688300_561499281247272</v>
      </c>
      <c r="E3005" s="11">
        <v>969.0</v>
      </c>
      <c r="F3005" s="11">
        <v>14.0</v>
      </c>
      <c r="G3005" s="11">
        <v>1113.0</v>
      </c>
      <c r="H3005" s="9" t="s">
        <v>26</v>
      </c>
      <c r="I3005" s="9" t="s">
        <v>12597</v>
      </c>
      <c r="J3005" s="16" t="s">
        <v>12598</v>
      </c>
      <c r="K3005" s="9"/>
      <c r="L3005" s="9" t="s">
        <v>30</v>
      </c>
      <c r="M3005" s="9" t="s">
        <v>31</v>
      </c>
      <c r="N3005" s="9" t="s">
        <v>32</v>
      </c>
      <c r="O3005" s="12" t="s">
        <v>33</v>
      </c>
      <c r="P3005" s="12" t="s">
        <v>34</v>
      </c>
      <c r="Q3005" s="9"/>
      <c r="R3005" s="18"/>
      <c r="S3005" s="18"/>
      <c r="T3005" s="18"/>
      <c r="U3005" s="18"/>
      <c r="V3005" s="18"/>
      <c r="W3005" s="15"/>
      <c r="X3005" s="15"/>
    </row>
    <row r="3006">
      <c r="A3006" s="7">
        <v>3005.0</v>
      </c>
      <c r="B3006" s="8" t="s">
        <v>12599</v>
      </c>
      <c r="C3006" s="9" t="s">
        <v>12600</v>
      </c>
      <c r="D3006" s="10" t="str">
        <f>HYPERLINK("https://facebook.com/367089020688300_462563211140880", "367089020688300_462563211140880")</f>
        <v>367089020688300_462563211140880</v>
      </c>
      <c r="E3006" s="11">
        <v>180.0</v>
      </c>
      <c r="F3006" s="11">
        <v>14.0</v>
      </c>
      <c r="G3006" s="11">
        <v>360.0</v>
      </c>
      <c r="H3006" s="9" t="s">
        <v>26</v>
      </c>
      <c r="I3006" s="9" t="s">
        <v>5933</v>
      </c>
      <c r="J3006" s="9" t="s">
        <v>5934</v>
      </c>
      <c r="K3006" s="9" t="s">
        <v>12601</v>
      </c>
      <c r="L3006" s="9" t="s">
        <v>30</v>
      </c>
      <c r="M3006" s="9" t="s">
        <v>31</v>
      </c>
      <c r="N3006" s="9" t="s">
        <v>32</v>
      </c>
      <c r="O3006" s="12" t="s">
        <v>33</v>
      </c>
      <c r="P3006" s="12" t="s">
        <v>34</v>
      </c>
      <c r="Q3006" s="9"/>
      <c r="R3006" s="18"/>
      <c r="S3006" s="18"/>
      <c r="T3006" s="18"/>
      <c r="U3006" s="18"/>
      <c r="V3006" s="18"/>
      <c r="W3006" s="15"/>
      <c r="X3006" s="15"/>
    </row>
    <row r="3007">
      <c r="A3007" s="7">
        <v>3006.0</v>
      </c>
      <c r="B3007" s="8" t="s">
        <v>12602</v>
      </c>
      <c r="C3007" s="9" t="s">
        <v>12603</v>
      </c>
      <c r="D3007" s="10" t="str">
        <f>HYPERLINK("https://facebook.com/367089020688300_447191249344743", "367089020688300_447191249344743")</f>
        <v>367089020688300_447191249344743</v>
      </c>
      <c r="E3007" s="11">
        <v>177.0</v>
      </c>
      <c r="F3007" s="11">
        <v>4.0</v>
      </c>
      <c r="G3007" s="11">
        <v>164.0</v>
      </c>
      <c r="H3007" s="9" t="s">
        <v>26</v>
      </c>
      <c r="I3007" s="9" t="s">
        <v>12604</v>
      </c>
      <c r="J3007" s="9" t="s">
        <v>12605</v>
      </c>
      <c r="K3007" s="9" t="s">
        <v>12606</v>
      </c>
      <c r="L3007" s="9" t="s">
        <v>30</v>
      </c>
      <c r="M3007" s="9" t="s">
        <v>31</v>
      </c>
      <c r="N3007" s="9" t="s">
        <v>32</v>
      </c>
      <c r="O3007" s="12" t="s">
        <v>33</v>
      </c>
      <c r="P3007" s="12" t="s">
        <v>34</v>
      </c>
      <c r="Q3007" s="9"/>
      <c r="R3007" s="18"/>
      <c r="S3007" s="18"/>
      <c r="T3007" s="18"/>
      <c r="U3007" s="18"/>
      <c r="V3007" s="18"/>
      <c r="W3007" s="15"/>
      <c r="X3007" s="15"/>
    </row>
    <row r="3008">
      <c r="A3008" s="7">
        <v>3007.0</v>
      </c>
      <c r="B3008" s="8" t="s">
        <v>12607</v>
      </c>
      <c r="C3008" s="9" t="s">
        <v>12608</v>
      </c>
      <c r="D3008" s="10" t="str">
        <f>HYPERLINK("https://facebook.com/367089020688300_523306421733225", "367089020688300_523306421733225")</f>
        <v>367089020688300_523306421733225</v>
      </c>
      <c r="E3008" s="11">
        <v>306.0</v>
      </c>
      <c r="F3008" s="11">
        <v>16.0</v>
      </c>
      <c r="G3008" s="11">
        <v>142.0</v>
      </c>
      <c r="H3008" s="9" t="s">
        <v>26</v>
      </c>
      <c r="I3008" s="9" t="s">
        <v>12609</v>
      </c>
      <c r="J3008" s="9" t="s">
        <v>12610</v>
      </c>
      <c r="K3008" s="9" t="s">
        <v>3003</v>
      </c>
      <c r="L3008" s="9" t="s">
        <v>30</v>
      </c>
      <c r="M3008" s="9" t="s">
        <v>31</v>
      </c>
      <c r="N3008" s="9" t="s">
        <v>32</v>
      </c>
      <c r="O3008" s="12" t="s">
        <v>33</v>
      </c>
      <c r="P3008" s="12" t="s">
        <v>34</v>
      </c>
      <c r="Q3008" s="9"/>
      <c r="R3008" s="18"/>
      <c r="S3008" s="18"/>
      <c r="T3008" s="18"/>
      <c r="U3008" s="18"/>
      <c r="V3008" s="18"/>
      <c r="W3008" s="15"/>
      <c r="X3008" s="15"/>
    </row>
    <row r="3009">
      <c r="A3009" s="7">
        <v>3008.0</v>
      </c>
      <c r="B3009" s="8" t="s">
        <v>12611</v>
      </c>
      <c r="C3009" s="9" t="s">
        <v>12612</v>
      </c>
      <c r="D3009" s="10" t="str">
        <f>HYPERLINK("https://facebook.com/367089020688300_551365758927291", "367089020688300_551365758927291")</f>
        <v>367089020688300_551365758927291</v>
      </c>
      <c r="E3009" s="11">
        <v>296.0</v>
      </c>
      <c r="F3009" s="11">
        <v>3.0</v>
      </c>
      <c r="G3009" s="11">
        <v>171.0</v>
      </c>
      <c r="H3009" s="9" t="s">
        <v>26</v>
      </c>
      <c r="I3009" s="9" t="s">
        <v>12613</v>
      </c>
      <c r="J3009" s="16" t="s">
        <v>12614</v>
      </c>
      <c r="K3009" s="9"/>
      <c r="L3009" s="9" t="s">
        <v>30</v>
      </c>
      <c r="M3009" s="9" t="s">
        <v>31</v>
      </c>
      <c r="N3009" s="9" t="s">
        <v>32</v>
      </c>
      <c r="O3009" s="12" t="s">
        <v>33</v>
      </c>
      <c r="P3009" s="12" t="s">
        <v>34</v>
      </c>
      <c r="Q3009" s="9"/>
      <c r="R3009" s="18"/>
      <c r="S3009" s="18"/>
      <c r="T3009" s="18"/>
      <c r="U3009" s="18"/>
      <c r="V3009" s="18"/>
      <c r="W3009" s="15"/>
      <c r="X3009" s="15"/>
    </row>
    <row r="3010">
      <c r="A3010" s="7">
        <v>3009.0</v>
      </c>
      <c r="B3010" s="8" t="s">
        <v>12615</v>
      </c>
      <c r="C3010" s="9" t="s">
        <v>12616</v>
      </c>
      <c r="D3010" s="10" t="str">
        <f>HYPERLINK("https://facebook.com/367089020688300_502186420511892", "367089020688300_502186420511892")</f>
        <v>367089020688300_502186420511892</v>
      </c>
      <c r="E3010" s="11">
        <v>8.0</v>
      </c>
      <c r="F3010" s="11">
        <v>0.0</v>
      </c>
      <c r="G3010" s="11">
        <v>3.0</v>
      </c>
      <c r="H3010" s="9" t="s">
        <v>26</v>
      </c>
      <c r="I3010" s="9" t="s">
        <v>9684</v>
      </c>
      <c r="J3010" s="9" t="s">
        <v>9685</v>
      </c>
      <c r="K3010" s="9" t="s">
        <v>12617</v>
      </c>
      <c r="L3010" s="9" t="s">
        <v>30</v>
      </c>
      <c r="M3010" s="9" t="s">
        <v>31</v>
      </c>
      <c r="N3010" s="9" t="s">
        <v>32</v>
      </c>
      <c r="O3010" s="12" t="s">
        <v>33</v>
      </c>
      <c r="P3010" s="12" t="s">
        <v>34</v>
      </c>
      <c r="Q3010" s="9"/>
      <c r="R3010" s="18"/>
      <c r="S3010" s="18"/>
      <c r="T3010" s="18"/>
      <c r="U3010" s="18"/>
      <c r="V3010" s="18"/>
      <c r="W3010" s="15"/>
      <c r="X3010" s="15"/>
    </row>
    <row r="3011">
      <c r="A3011" s="7">
        <v>3010.0</v>
      </c>
      <c r="B3011" s="8" t="s">
        <v>12618</v>
      </c>
      <c r="C3011" s="9" t="s">
        <v>12619</v>
      </c>
      <c r="D3011" s="10" t="str">
        <f>HYPERLINK("https://facebook.com/367089020688300_533733410690526", "367089020688300_533733410690526")</f>
        <v>367089020688300_533733410690526</v>
      </c>
      <c r="E3011" s="11">
        <v>218.0</v>
      </c>
      <c r="F3011" s="11">
        <v>4.0</v>
      </c>
      <c r="G3011" s="11">
        <v>146.0</v>
      </c>
      <c r="H3011" s="9" t="s">
        <v>26</v>
      </c>
      <c r="I3011" s="9" t="s">
        <v>5925</v>
      </c>
      <c r="J3011" s="9" t="s">
        <v>12620</v>
      </c>
      <c r="K3011" s="9" t="s">
        <v>12621</v>
      </c>
      <c r="L3011" s="9" t="s">
        <v>30</v>
      </c>
      <c r="M3011" s="9" t="s">
        <v>31</v>
      </c>
      <c r="N3011" s="9" t="s">
        <v>32</v>
      </c>
      <c r="O3011" s="12" t="s">
        <v>33</v>
      </c>
      <c r="P3011" s="12" t="s">
        <v>34</v>
      </c>
      <c r="Q3011" s="9"/>
      <c r="R3011" s="18"/>
      <c r="S3011" s="18"/>
      <c r="T3011" s="18"/>
      <c r="U3011" s="18"/>
      <c r="V3011" s="18"/>
      <c r="W3011" s="15"/>
      <c r="X3011" s="15"/>
    </row>
    <row r="3012">
      <c r="A3012" s="7">
        <v>3011.0</v>
      </c>
      <c r="B3012" s="8" t="s">
        <v>12622</v>
      </c>
      <c r="C3012" s="9" t="s">
        <v>12623</v>
      </c>
      <c r="D3012" s="10" t="str">
        <f>HYPERLINK("https://facebook.com/367089020688300_537936376936896", "367089020688300_537936376936896")</f>
        <v>367089020688300_537936376936896</v>
      </c>
      <c r="E3012" s="11">
        <v>33.0</v>
      </c>
      <c r="F3012" s="11">
        <v>0.0</v>
      </c>
      <c r="G3012" s="11">
        <v>26.0</v>
      </c>
      <c r="H3012" s="9" t="s">
        <v>26</v>
      </c>
      <c r="I3012" s="9" t="s">
        <v>12624</v>
      </c>
      <c r="J3012" s="16" t="s">
        <v>12625</v>
      </c>
      <c r="K3012" s="9"/>
      <c r="L3012" s="9" t="s">
        <v>30</v>
      </c>
      <c r="M3012" s="9" t="s">
        <v>31</v>
      </c>
      <c r="N3012" s="9" t="s">
        <v>32</v>
      </c>
      <c r="O3012" s="12" t="s">
        <v>33</v>
      </c>
      <c r="P3012" s="12" t="s">
        <v>34</v>
      </c>
      <c r="Q3012" s="9"/>
      <c r="R3012" s="18"/>
      <c r="S3012" s="18"/>
      <c r="T3012" s="18"/>
      <c r="U3012" s="18"/>
      <c r="V3012" s="18"/>
      <c r="W3012" s="15"/>
      <c r="X3012" s="15"/>
    </row>
    <row r="3013">
      <c r="A3013" s="7">
        <v>3012.0</v>
      </c>
      <c r="B3013" s="8" t="s">
        <v>12626</v>
      </c>
      <c r="C3013" s="9" t="s">
        <v>12627</v>
      </c>
      <c r="D3013" s="10" t="str">
        <f>HYPERLINK("https://facebook.com/367089020688300_518703352193532", "367089020688300_518703352193532")</f>
        <v>367089020688300_518703352193532</v>
      </c>
      <c r="E3013" s="11">
        <v>30.0</v>
      </c>
      <c r="F3013" s="11">
        <v>0.0</v>
      </c>
      <c r="G3013" s="11">
        <v>43.0</v>
      </c>
      <c r="H3013" s="9" t="s">
        <v>26</v>
      </c>
      <c r="I3013" s="9" t="s">
        <v>656</v>
      </c>
      <c r="J3013" s="16" t="s">
        <v>12628</v>
      </c>
      <c r="K3013" s="9"/>
      <c r="L3013" s="9" t="s">
        <v>30</v>
      </c>
      <c r="M3013" s="9" t="s">
        <v>31</v>
      </c>
      <c r="N3013" s="9" t="s">
        <v>32</v>
      </c>
      <c r="O3013" s="12" t="s">
        <v>33</v>
      </c>
      <c r="P3013" s="12" t="s">
        <v>34</v>
      </c>
      <c r="Q3013" s="9"/>
      <c r="R3013" s="18"/>
      <c r="S3013" s="18"/>
      <c r="T3013" s="18"/>
      <c r="U3013" s="18"/>
      <c r="V3013" s="18"/>
      <c r="W3013" s="15"/>
      <c r="X3013" s="15"/>
    </row>
    <row r="3014">
      <c r="A3014" s="7">
        <v>3013.0</v>
      </c>
      <c r="B3014" s="8" t="s">
        <v>12629</v>
      </c>
      <c r="C3014" s="9" t="s">
        <v>12630</v>
      </c>
      <c r="D3014" s="10" t="str">
        <f>HYPERLINK("https://facebook.com/367089020688300_546056966124837", "367089020688300_546056966124837")</f>
        <v>367089020688300_546056966124837</v>
      </c>
      <c r="E3014" s="11">
        <v>5.0</v>
      </c>
      <c r="F3014" s="11">
        <v>0.0</v>
      </c>
      <c r="G3014" s="11">
        <v>4.0</v>
      </c>
      <c r="H3014" s="9" t="s">
        <v>26</v>
      </c>
      <c r="I3014" s="9" t="s">
        <v>12631</v>
      </c>
      <c r="J3014" s="16" t="s">
        <v>12632</v>
      </c>
      <c r="K3014" s="9"/>
      <c r="L3014" s="9" t="s">
        <v>30</v>
      </c>
      <c r="M3014" s="9" t="s">
        <v>31</v>
      </c>
      <c r="N3014" s="9" t="s">
        <v>32</v>
      </c>
      <c r="O3014" s="12" t="s">
        <v>33</v>
      </c>
      <c r="P3014" s="12" t="s">
        <v>34</v>
      </c>
      <c r="Q3014" s="9"/>
      <c r="R3014" s="18"/>
      <c r="S3014" s="18"/>
      <c r="T3014" s="18"/>
      <c r="U3014" s="18"/>
      <c r="V3014" s="18"/>
      <c r="W3014" s="15"/>
      <c r="X3014" s="15"/>
    </row>
    <row r="3015">
      <c r="A3015" s="7">
        <v>3014.0</v>
      </c>
      <c r="B3015" s="8" t="s">
        <v>12633</v>
      </c>
      <c r="C3015" s="9" t="s">
        <v>12634</v>
      </c>
      <c r="D3015" s="10" t="str">
        <f>HYPERLINK("https://facebook.com/367089020688300_524297271634140", "367089020688300_524297271634140")</f>
        <v>367089020688300_524297271634140</v>
      </c>
      <c r="E3015" s="11">
        <v>51.0</v>
      </c>
      <c r="F3015" s="11">
        <v>0.0</v>
      </c>
      <c r="G3015" s="11">
        <v>73.0</v>
      </c>
      <c r="H3015" s="9" t="s">
        <v>26</v>
      </c>
      <c r="I3015" s="9" t="s">
        <v>12295</v>
      </c>
      <c r="J3015" s="9" t="s">
        <v>12635</v>
      </c>
      <c r="K3015" s="9" t="s">
        <v>12636</v>
      </c>
      <c r="L3015" s="9" t="s">
        <v>30</v>
      </c>
      <c r="M3015" s="9" t="s">
        <v>31</v>
      </c>
      <c r="N3015" s="9" t="s">
        <v>32</v>
      </c>
      <c r="O3015" s="12" t="s">
        <v>33</v>
      </c>
      <c r="P3015" s="12" t="s">
        <v>34</v>
      </c>
      <c r="Q3015" s="9"/>
      <c r="R3015" s="18"/>
      <c r="S3015" s="18"/>
      <c r="T3015" s="18"/>
      <c r="U3015" s="18"/>
      <c r="V3015" s="18"/>
      <c r="W3015" s="15"/>
      <c r="X3015" s="15"/>
    </row>
    <row r="3016">
      <c r="A3016" s="7">
        <v>3015.0</v>
      </c>
      <c r="B3016" s="8" t="s">
        <v>12637</v>
      </c>
      <c r="C3016" s="9" t="s">
        <v>12638</v>
      </c>
      <c r="D3016" s="10" t="str">
        <f>HYPERLINK("https://facebook.com/367089020688300_535100950553772", "367089020688300_535100950553772")</f>
        <v>367089020688300_535100950553772</v>
      </c>
      <c r="E3016" s="11">
        <v>170.0</v>
      </c>
      <c r="F3016" s="11">
        <v>0.0</v>
      </c>
      <c r="G3016" s="11">
        <v>73.0</v>
      </c>
      <c r="H3016" s="9" t="s">
        <v>26</v>
      </c>
      <c r="I3016" s="9" t="s">
        <v>637</v>
      </c>
      <c r="J3016" s="16" t="s">
        <v>12639</v>
      </c>
      <c r="K3016" s="9"/>
      <c r="L3016" s="9" t="s">
        <v>30</v>
      </c>
      <c r="M3016" s="9" t="s">
        <v>31</v>
      </c>
      <c r="N3016" s="9" t="s">
        <v>32</v>
      </c>
      <c r="O3016" s="12" t="s">
        <v>33</v>
      </c>
      <c r="P3016" s="12" t="s">
        <v>34</v>
      </c>
      <c r="Q3016" s="9"/>
      <c r="R3016" s="18"/>
      <c r="S3016" s="18"/>
      <c r="T3016" s="18"/>
      <c r="U3016" s="18"/>
      <c r="V3016" s="18"/>
      <c r="W3016" s="15"/>
      <c r="X3016" s="15"/>
    </row>
    <row r="3017">
      <c r="A3017" s="7">
        <v>3016.0</v>
      </c>
      <c r="B3017" s="8" t="s">
        <v>12640</v>
      </c>
      <c r="C3017" s="9" t="s">
        <v>12641</v>
      </c>
      <c r="D3017" s="10" t="str">
        <f>HYPERLINK("https://facebook.com/367089020688300_537889660274901", "367089020688300_537889660274901")</f>
        <v>367089020688300_537889660274901</v>
      </c>
      <c r="E3017" s="11">
        <v>44.0</v>
      </c>
      <c r="F3017" s="11">
        <v>0.0</v>
      </c>
      <c r="G3017" s="11">
        <v>76.0</v>
      </c>
      <c r="H3017" s="9" t="s">
        <v>26</v>
      </c>
      <c r="I3017" s="9" t="s">
        <v>3978</v>
      </c>
      <c r="J3017" s="9" t="s">
        <v>3979</v>
      </c>
      <c r="K3017" s="9" t="s">
        <v>9190</v>
      </c>
      <c r="L3017" s="9" t="s">
        <v>30</v>
      </c>
      <c r="M3017" s="9" t="s">
        <v>31</v>
      </c>
      <c r="N3017" s="9" t="s">
        <v>32</v>
      </c>
      <c r="O3017" s="12" t="s">
        <v>33</v>
      </c>
      <c r="P3017" s="12" t="s">
        <v>34</v>
      </c>
      <c r="Q3017" s="9"/>
      <c r="R3017" s="18"/>
      <c r="S3017" s="18"/>
      <c r="T3017" s="18"/>
      <c r="U3017" s="18"/>
      <c r="V3017" s="18"/>
      <c r="W3017" s="15"/>
      <c r="X3017" s="15"/>
    </row>
    <row r="3018">
      <c r="A3018" s="7">
        <v>3017.0</v>
      </c>
      <c r="B3018" s="8" t="s">
        <v>12642</v>
      </c>
      <c r="C3018" s="9" t="s">
        <v>12643</v>
      </c>
      <c r="D3018" s="10" t="str">
        <f>HYPERLINK("https://facebook.com/367089020688300_509823396414861", "367089020688300_509823396414861")</f>
        <v>367089020688300_509823396414861</v>
      </c>
      <c r="E3018" s="11">
        <v>52.0</v>
      </c>
      <c r="F3018" s="11">
        <v>0.0</v>
      </c>
      <c r="G3018" s="11">
        <v>23.0</v>
      </c>
      <c r="H3018" s="9" t="s">
        <v>26</v>
      </c>
      <c r="I3018" s="9" t="s">
        <v>12644</v>
      </c>
      <c r="J3018" s="9" t="s">
        <v>12645</v>
      </c>
      <c r="K3018" s="9" t="s">
        <v>12646</v>
      </c>
      <c r="L3018" s="9" t="s">
        <v>30</v>
      </c>
      <c r="M3018" s="9" t="s">
        <v>31</v>
      </c>
      <c r="N3018" s="9" t="s">
        <v>32</v>
      </c>
      <c r="O3018" s="12" t="s">
        <v>33</v>
      </c>
      <c r="P3018" s="12" t="s">
        <v>34</v>
      </c>
      <c r="Q3018" s="9"/>
      <c r="R3018" s="18"/>
      <c r="S3018" s="18"/>
      <c r="T3018" s="18"/>
      <c r="U3018" s="18"/>
      <c r="V3018" s="18"/>
      <c r="W3018" s="15"/>
      <c r="X3018" s="15"/>
    </row>
    <row r="3019">
      <c r="A3019" s="7">
        <v>3018.0</v>
      </c>
      <c r="B3019" s="8" t="s">
        <v>12647</v>
      </c>
      <c r="C3019" s="9" t="s">
        <v>12648</v>
      </c>
      <c r="D3019" s="10" t="str">
        <f>HYPERLINK("https://facebook.com/367089020688300_549105365819997", "367089020688300_549105365819997")</f>
        <v>367089020688300_549105365819997</v>
      </c>
      <c r="E3019" s="11">
        <v>315.0</v>
      </c>
      <c r="F3019" s="11">
        <v>2.0</v>
      </c>
      <c r="G3019" s="11">
        <v>353.0</v>
      </c>
      <c r="H3019" s="9" t="s">
        <v>26</v>
      </c>
      <c r="I3019" s="9" t="s">
        <v>1244</v>
      </c>
      <c r="J3019" s="16" t="s">
        <v>1245</v>
      </c>
      <c r="K3019" s="9"/>
      <c r="L3019" s="9" t="s">
        <v>30</v>
      </c>
      <c r="M3019" s="9" t="s">
        <v>31</v>
      </c>
      <c r="N3019" s="9" t="s">
        <v>32</v>
      </c>
      <c r="O3019" s="12" t="s">
        <v>33</v>
      </c>
      <c r="P3019" s="12" t="s">
        <v>34</v>
      </c>
      <c r="Q3019" s="9"/>
      <c r="R3019" s="18"/>
      <c r="S3019" s="18"/>
      <c r="T3019" s="18"/>
      <c r="U3019" s="18"/>
      <c r="V3019" s="18"/>
      <c r="W3019" s="15"/>
      <c r="X3019" s="15"/>
    </row>
    <row r="3020">
      <c r="A3020" s="7">
        <v>3019.0</v>
      </c>
      <c r="B3020" s="8" t="s">
        <v>12649</v>
      </c>
      <c r="C3020" s="9" t="s">
        <v>12650</v>
      </c>
      <c r="D3020" s="10" t="str">
        <f>HYPERLINK("https://facebook.com/367089020688300_468152437248624", "367089020688300_468152437248624")</f>
        <v>367089020688300_468152437248624</v>
      </c>
      <c r="E3020" s="11">
        <v>750.0</v>
      </c>
      <c r="F3020" s="11">
        <v>36.0</v>
      </c>
      <c r="G3020" s="11">
        <v>573.0</v>
      </c>
      <c r="H3020" s="9" t="s">
        <v>26</v>
      </c>
      <c r="I3020" s="9" t="s">
        <v>12651</v>
      </c>
      <c r="J3020" s="9" t="s">
        <v>12652</v>
      </c>
      <c r="K3020" s="9" t="s">
        <v>12653</v>
      </c>
      <c r="L3020" s="9" t="s">
        <v>30</v>
      </c>
      <c r="M3020" s="9" t="s">
        <v>31</v>
      </c>
      <c r="N3020" s="9" t="s">
        <v>32</v>
      </c>
      <c r="O3020" s="12" t="s">
        <v>33</v>
      </c>
      <c r="P3020" s="12" t="s">
        <v>34</v>
      </c>
      <c r="Q3020" s="9"/>
      <c r="R3020" s="18"/>
      <c r="S3020" s="18"/>
      <c r="T3020" s="18"/>
      <c r="U3020" s="18"/>
      <c r="V3020" s="18"/>
      <c r="W3020" s="15"/>
      <c r="X3020" s="15"/>
    </row>
    <row r="3021">
      <c r="A3021" s="7">
        <v>3020.0</v>
      </c>
      <c r="B3021" s="8" t="s">
        <v>12654</v>
      </c>
      <c r="C3021" s="9" t="s">
        <v>12655</v>
      </c>
      <c r="D3021" s="10" t="str">
        <f>HYPERLINK("https://facebook.com/367089020688300_552605472136653", "367089020688300_552605472136653")</f>
        <v>367089020688300_552605472136653</v>
      </c>
      <c r="E3021" s="11">
        <v>148.0</v>
      </c>
      <c r="F3021" s="11">
        <v>1.0</v>
      </c>
      <c r="G3021" s="11">
        <v>252.0</v>
      </c>
      <c r="H3021" s="9" t="s">
        <v>26</v>
      </c>
      <c r="I3021" s="9" t="s">
        <v>7509</v>
      </c>
      <c r="J3021" s="16" t="s">
        <v>12656</v>
      </c>
      <c r="K3021" s="9"/>
      <c r="L3021" s="9" t="s">
        <v>30</v>
      </c>
      <c r="M3021" s="9" t="s">
        <v>31</v>
      </c>
      <c r="N3021" s="9" t="s">
        <v>32</v>
      </c>
      <c r="O3021" s="12" t="s">
        <v>33</v>
      </c>
      <c r="P3021" s="12" t="s">
        <v>34</v>
      </c>
      <c r="Q3021" s="9"/>
      <c r="R3021" s="18"/>
      <c r="S3021" s="18"/>
      <c r="T3021" s="18"/>
      <c r="U3021" s="18"/>
      <c r="V3021" s="18"/>
      <c r="W3021" s="15"/>
      <c r="X3021" s="15"/>
    </row>
    <row r="3022">
      <c r="A3022" s="7">
        <v>3021.0</v>
      </c>
      <c r="B3022" s="8" t="s">
        <v>12657</v>
      </c>
      <c r="C3022" s="9" t="s">
        <v>12658</v>
      </c>
      <c r="D3022" s="10" t="str">
        <f>HYPERLINK("https://facebook.com/367089020688300_536402917090242", "367089020688300_536402917090242")</f>
        <v>367089020688300_536402917090242</v>
      </c>
      <c r="E3022" s="11">
        <v>123.0</v>
      </c>
      <c r="F3022" s="11">
        <v>2.0</v>
      </c>
      <c r="G3022" s="11">
        <v>111.0</v>
      </c>
      <c r="H3022" s="9" t="s">
        <v>26</v>
      </c>
      <c r="I3022" s="9" t="s">
        <v>12659</v>
      </c>
      <c r="J3022" s="9" t="s">
        <v>12660</v>
      </c>
      <c r="K3022" s="9" t="s">
        <v>1575</v>
      </c>
      <c r="L3022" s="9" t="s">
        <v>30</v>
      </c>
      <c r="M3022" s="9" t="s">
        <v>31</v>
      </c>
      <c r="N3022" s="9" t="s">
        <v>32</v>
      </c>
      <c r="O3022" s="12" t="s">
        <v>33</v>
      </c>
      <c r="P3022" s="12" t="s">
        <v>34</v>
      </c>
      <c r="Q3022" s="9"/>
      <c r="R3022" s="18"/>
      <c r="S3022" s="18"/>
      <c r="T3022" s="18"/>
      <c r="U3022" s="18"/>
      <c r="V3022" s="18"/>
      <c r="W3022" s="15"/>
      <c r="X3022" s="15"/>
    </row>
    <row r="3023">
      <c r="A3023" s="7">
        <v>3022.0</v>
      </c>
      <c r="B3023" s="8" t="s">
        <v>12661</v>
      </c>
      <c r="C3023" s="9" t="s">
        <v>12662</v>
      </c>
      <c r="D3023" s="10" t="str">
        <f>HYPERLINK("https://facebook.com/367089020688300_527902831273584", "367089020688300_527902831273584")</f>
        <v>367089020688300_527902831273584</v>
      </c>
      <c r="E3023" s="11">
        <v>773.0</v>
      </c>
      <c r="F3023" s="11">
        <v>42.0</v>
      </c>
      <c r="G3023" s="11">
        <v>622.0</v>
      </c>
      <c r="H3023" s="9" t="s">
        <v>26</v>
      </c>
      <c r="I3023" s="9" t="s">
        <v>12663</v>
      </c>
      <c r="J3023" s="9" t="s">
        <v>12664</v>
      </c>
      <c r="K3023" s="9" t="s">
        <v>12665</v>
      </c>
      <c r="L3023" s="9" t="s">
        <v>30</v>
      </c>
      <c r="M3023" s="9" t="s">
        <v>31</v>
      </c>
      <c r="N3023" s="9" t="s">
        <v>32</v>
      </c>
      <c r="O3023" s="12" t="s">
        <v>33</v>
      </c>
      <c r="P3023" s="12" t="s">
        <v>34</v>
      </c>
      <c r="Q3023" s="9"/>
      <c r="R3023" s="18"/>
      <c r="S3023" s="18"/>
      <c r="T3023" s="18"/>
      <c r="U3023" s="18"/>
      <c r="V3023" s="18"/>
      <c r="W3023" s="15"/>
      <c r="X3023" s="15"/>
    </row>
    <row r="3024">
      <c r="A3024" s="7">
        <v>3023.0</v>
      </c>
      <c r="B3024" s="8" t="s">
        <v>12666</v>
      </c>
      <c r="C3024" s="9" t="s">
        <v>12667</v>
      </c>
      <c r="D3024" s="10" t="str">
        <f>HYPERLINK("https://facebook.com/367089020688300_542694176461116", "367089020688300_542694176461116")</f>
        <v>367089020688300_542694176461116</v>
      </c>
      <c r="E3024" s="11">
        <v>10.0</v>
      </c>
      <c r="F3024" s="11">
        <v>0.0</v>
      </c>
      <c r="G3024" s="11">
        <v>2.0</v>
      </c>
      <c r="H3024" s="9" t="s">
        <v>26</v>
      </c>
      <c r="I3024" s="9" t="s">
        <v>12668</v>
      </c>
      <c r="J3024" s="9" t="s">
        <v>12669</v>
      </c>
      <c r="K3024" s="9" t="s">
        <v>12670</v>
      </c>
      <c r="L3024" s="9" t="s">
        <v>30</v>
      </c>
      <c r="M3024" s="9" t="s">
        <v>31</v>
      </c>
      <c r="N3024" s="9" t="s">
        <v>32</v>
      </c>
      <c r="O3024" s="12" t="s">
        <v>33</v>
      </c>
      <c r="P3024" s="12" t="s">
        <v>34</v>
      </c>
      <c r="Q3024" s="9"/>
      <c r="R3024" s="18"/>
      <c r="S3024" s="18"/>
      <c r="T3024" s="18"/>
      <c r="U3024" s="18"/>
      <c r="V3024" s="18"/>
      <c r="W3024" s="15"/>
      <c r="X3024" s="15"/>
    </row>
    <row r="3025">
      <c r="A3025" s="7">
        <v>3024.0</v>
      </c>
      <c r="B3025" s="8" t="s">
        <v>12671</v>
      </c>
      <c r="C3025" s="9" t="s">
        <v>12672</v>
      </c>
      <c r="D3025" s="10" t="str">
        <f>HYPERLINK("https://facebook.com/367089020688300_539515206779013", "367089020688300_539515206779013")</f>
        <v>367089020688300_539515206779013</v>
      </c>
      <c r="E3025" s="11">
        <v>24.0</v>
      </c>
      <c r="F3025" s="11">
        <v>0.0</v>
      </c>
      <c r="G3025" s="11">
        <v>7.0</v>
      </c>
      <c r="H3025" s="9" t="s">
        <v>26</v>
      </c>
      <c r="I3025" s="9" t="s">
        <v>12673</v>
      </c>
      <c r="J3025" s="9" t="s">
        <v>12674</v>
      </c>
      <c r="K3025" s="9" t="s">
        <v>12675</v>
      </c>
      <c r="L3025" s="9" t="s">
        <v>30</v>
      </c>
      <c r="M3025" s="9" t="s">
        <v>31</v>
      </c>
      <c r="N3025" s="9" t="s">
        <v>32</v>
      </c>
      <c r="O3025" s="12" t="s">
        <v>33</v>
      </c>
      <c r="P3025" s="12" t="s">
        <v>34</v>
      </c>
      <c r="Q3025" s="9"/>
      <c r="R3025" s="18"/>
      <c r="S3025" s="18"/>
      <c r="T3025" s="18"/>
      <c r="U3025" s="18"/>
      <c r="V3025" s="18"/>
      <c r="W3025" s="15"/>
      <c r="X3025" s="15"/>
    </row>
    <row r="3026">
      <c r="A3026" s="7">
        <v>3025.0</v>
      </c>
      <c r="B3026" s="8" t="s">
        <v>12676</v>
      </c>
      <c r="C3026" s="9" t="s">
        <v>12677</v>
      </c>
      <c r="D3026" s="10" t="str">
        <f>HYPERLINK("https://facebook.com/367089020688300_551611025569431", "367089020688300_551611025569431")</f>
        <v>367089020688300_551611025569431</v>
      </c>
      <c r="E3026" s="11">
        <v>12.0</v>
      </c>
      <c r="F3026" s="11">
        <v>0.0</v>
      </c>
      <c r="G3026" s="11">
        <v>8.0</v>
      </c>
      <c r="H3026" s="9" t="s">
        <v>26</v>
      </c>
      <c r="I3026" s="9" t="s">
        <v>12678</v>
      </c>
      <c r="J3026" s="9" t="s">
        <v>12679</v>
      </c>
      <c r="K3026" s="9" t="s">
        <v>214</v>
      </c>
      <c r="L3026" s="9" t="s">
        <v>30</v>
      </c>
      <c r="M3026" s="9" t="s">
        <v>31</v>
      </c>
      <c r="N3026" s="9" t="s">
        <v>32</v>
      </c>
      <c r="O3026" s="12" t="s">
        <v>33</v>
      </c>
      <c r="P3026" s="12" t="s">
        <v>34</v>
      </c>
      <c r="Q3026" s="9"/>
      <c r="R3026" s="18"/>
      <c r="S3026" s="18"/>
      <c r="T3026" s="18"/>
      <c r="U3026" s="18"/>
      <c r="V3026" s="18"/>
      <c r="W3026" s="15"/>
      <c r="X3026" s="15"/>
    </row>
    <row r="3027">
      <c r="A3027" s="7">
        <v>3026.0</v>
      </c>
      <c r="B3027" s="8" t="s">
        <v>12680</v>
      </c>
      <c r="C3027" s="9" t="s">
        <v>12681</v>
      </c>
      <c r="D3027" s="10" t="str">
        <f>HYPERLINK("https://facebook.com/367089020688300_528410081222859", "367089020688300_528410081222859")</f>
        <v>367089020688300_528410081222859</v>
      </c>
      <c r="E3027" s="11">
        <v>355.0</v>
      </c>
      <c r="F3027" s="11">
        <v>9.0</v>
      </c>
      <c r="G3027" s="11">
        <v>228.0</v>
      </c>
      <c r="H3027" s="9" t="s">
        <v>26</v>
      </c>
      <c r="I3027" s="9" t="s">
        <v>3922</v>
      </c>
      <c r="J3027" s="9" t="s">
        <v>3923</v>
      </c>
      <c r="K3027" s="9" t="s">
        <v>12682</v>
      </c>
      <c r="L3027" s="9" t="s">
        <v>30</v>
      </c>
      <c r="M3027" s="9" t="s">
        <v>31</v>
      </c>
      <c r="N3027" s="9" t="s">
        <v>32</v>
      </c>
      <c r="O3027" s="12" t="s">
        <v>33</v>
      </c>
      <c r="P3027" s="12" t="s">
        <v>34</v>
      </c>
      <c r="Q3027" s="9"/>
      <c r="R3027" s="18"/>
      <c r="S3027" s="18"/>
      <c r="T3027" s="18"/>
      <c r="U3027" s="18"/>
      <c r="V3027" s="18"/>
      <c r="W3027" s="15"/>
      <c r="X3027" s="15"/>
    </row>
    <row r="3028">
      <c r="A3028" s="7">
        <v>3027.0</v>
      </c>
      <c r="B3028" s="8" t="s">
        <v>12683</v>
      </c>
      <c r="C3028" s="9" t="s">
        <v>12684</v>
      </c>
      <c r="D3028" s="10" t="str">
        <f>HYPERLINK("https://facebook.com/367089020688300_448428332554368", "367089020688300_448428332554368")</f>
        <v>367089020688300_448428332554368</v>
      </c>
      <c r="E3028" s="11">
        <v>88.0</v>
      </c>
      <c r="F3028" s="11">
        <v>4.0</v>
      </c>
      <c r="G3028" s="11">
        <v>71.0</v>
      </c>
      <c r="H3028" s="9" t="s">
        <v>26</v>
      </c>
      <c r="I3028" s="9" t="s">
        <v>12685</v>
      </c>
      <c r="J3028" s="16" t="s">
        <v>12686</v>
      </c>
      <c r="K3028" s="9"/>
      <c r="L3028" s="9" t="s">
        <v>30</v>
      </c>
      <c r="M3028" s="9" t="s">
        <v>31</v>
      </c>
      <c r="N3028" s="9" t="s">
        <v>32</v>
      </c>
      <c r="O3028" s="12" t="s">
        <v>33</v>
      </c>
      <c r="P3028" s="12" t="s">
        <v>34</v>
      </c>
      <c r="Q3028" s="9"/>
      <c r="R3028" s="18"/>
      <c r="S3028" s="18"/>
      <c r="T3028" s="18"/>
      <c r="U3028" s="18"/>
      <c r="V3028" s="18"/>
      <c r="W3028" s="15"/>
      <c r="X3028" s="15"/>
    </row>
    <row r="3029">
      <c r="A3029" s="7">
        <v>3028.0</v>
      </c>
      <c r="B3029" s="8" t="s">
        <v>12687</v>
      </c>
      <c r="C3029" s="9" t="s">
        <v>12688</v>
      </c>
      <c r="D3029" s="10" t="str">
        <f>HYPERLINK("https://facebook.com/367089020688300_527027228027811", "367089020688300_527027228027811")</f>
        <v>367089020688300_527027228027811</v>
      </c>
      <c r="E3029" s="11">
        <v>295.0</v>
      </c>
      <c r="F3029" s="11">
        <v>8.0</v>
      </c>
      <c r="G3029" s="11">
        <v>394.0</v>
      </c>
      <c r="H3029" s="9" t="s">
        <v>26</v>
      </c>
      <c r="I3029" s="9" t="s">
        <v>12689</v>
      </c>
      <c r="J3029" s="9" t="s">
        <v>12690</v>
      </c>
      <c r="K3029" s="9" t="s">
        <v>12691</v>
      </c>
      <c r="L3029" s="9" t="s">
        <v>30</v>
      </c>
      <c r="M3029" s="9" t="s">
        <v>31</v>
      </c>
      <c r="N3029" s="9" t="s">
        <v>32</v>
      </c>
      <c r="O3029" s="12" t="s">
        <v>33</v>
      </c>
      <c r="P3029" s="12" t="s">
        <v>34</v>
      </c>
      <c r="Q3029" s="9"/>
      <c r="R3029" s="18"/>
      <c r="S3029" s="18"/>
      <c r="T3029" s="18"/>
      <c r="U3029" s="18"/>
      <c r="V3029" s="18"/>
      <c r="W3029" s="15"/>
      <c r="X3029" s="15"/>
    </row>
    <row r="3030">
      <c r="A3030" s="7">
        <v>3029.0</v>
      </c>
      <c r="B3030" s="8" t="s">
        <v>12692</v>
      </c>
      <c r="C3030" s="9" t="s">
        <v>12693</v>
      </c>
      <c r="D3030" s="10" t="str">
        <f>HYPERLINK("https://facebook.com/367089020688300_547875539276313", "367089020688300_547875539276313")</f>
        <v>367089020688300_547875539276313</v>
      </c>
      <c r="E3030" s="11">
        <v>1180.0</v>
      </c>
      <c r="F3030" s="11">
        <v>59.0</v>
      </c>
      <c r="G3030" s="11">
        <v>1290.0</v>
      </c>
      <c r="H3030" s="9" t="s">
        <v>26</v>
      </c>
      <c r="I3030" s="9" t="s">
        <v>12694</v>
      </c>
      <c r="J3030" s="16" t="s">
        <v>12695</v>
      </c>
      <c r="K3030" s="9"/>
      <c r="L3030" s="9" t="s">
        <v>30</v>
      </c>
      <c r="M3030" s="9" t="s">
        <v>31</v>
      </c>
      <c r="N3030" s="9" t="s">
        <v>32</v>
      </c>
      <c r="O3030" s="12" t="s">
        <v>33</v>
      </c>
      <c r="P3030" s="12" t="s">
        <v>34</v>
      </c>
      <c r="Q3030" s="9"/>
      <c r="R3030" s="18"/>
      <c r="S3030" s="18"/>
      <c r="T3030" s="18"/>
      <c r="U3030" s="18"/>
      <c r="V3030" s="18"/>
      <c r="W3030" s="15"/>
      <c r="X3030" s="15"/>
    </row>
    <row r="3031">
      <c r="A3031" s="7">
        <v>3030.0</v>
      </c>
      <c r="B3031" s="8" t="s">
        <v>12696</v>
      </c>
      <c r="C3031" s="9" t="s">
        <v>12697</v>
      </c>
      <c r="D3031" s="10" t="str">
        <f>HYPERLINK("https://facebook.com/367089020688300_557814441615756", "367089020688300_557814441615756")</f>
        <v>367089020688300_557814441615756</v>
      </c>
      <c r="E3031" s="11">
        <v>252.0</v>
      </c>
      <c r="F3031" s="11">
        <v>4.0</v>
      </c>
      <c r="G3031" s="11">
        <v>214.0</v>
      </c>
      <c r="H3031" s="9" t="s">
        <v>26</v>
      </c>
      <c r="I3031" s="9" t="s">
        <v>12698</v>
      </c>
      <c r="J3031" s="16" t="s">
        <v>12699</v>
      </c>
      <c r="K3031" s="9"/>
      <c r="L3031" s="9" t="s">
        <v>30</v>
      </c>
      <c r="M3031" s="9" t="s">
        <v>31</v>
      </c>
      <c r="N3031" s="9" t="s">
        <v>32</v>
      </c>
      <c r="O3031" s="12" t="s">
        <v>33</v>
      </c>
      <c r="P3031" s="12" t="s">
        <v>34</v>
      </c>
      <c r="Q3031" s="9"/>
      <c r="R3031" s="18"/>
      <c r="S3031" s="18"/>
      <c r="T3031" s="18"/>
      <c r="U3031" s="18"/>
      <c r="V3031" s="18"/>
      <c r="W3031" s="15"/>
      <c r="X3031" s="15"/>
    </row>
    <row r="3032">
      <c r="A3032" s="7">
        <v>3031.0</v>
      </c>
      <c r="B3032" s="8" t="s">
        <v>12700</v>
      </c>
      <c r="C3032" s="9" t="s">
        <v>12701</v>
      </c>
      <c r="D3032" s="10" t="str">
        <f>HYPERLINK("https://facebook.com/367089020688300_528534527877081", "367089020688300_528534527877081")</f>
        <v>367089020688300_528534527877081</v>
      </c>
      <c r="E3032" s="11">
        <v>73.0</v>
      </c>
      <c r="F3032" s="11">
        <v>0.0</v>
      </c>
      <c r="G3032" s="11">
        <v>40.0</v>
      </c>
      <c r="H3032" s="9" t="s">
        <v>26</v>
      </c>
      <c r="I3032" s="9" t="s">
        <v>12702</v>
      </c>
      <c r="J3032" s="16" t="s">
        <v>12703</v>
      </c>
      <c r="K3032" s="9"/>
      <c r="L3032" s="9" t="s">
        <v>30</v>
      </c>
      <c r="M3032" s="9" t="s">
        <v>31</v>
      </c>
      <c r="N3032" s="9" t="s">
        <v>32</v>
      </c>
      <c r="O3032" s="12" t="s">
        <v>33</v>
      </c>
      <c r="P3032" s="12" t="s">
        <v>34</v>
      </c>
      <c r="Q3032" s="9"/>
      <c r="R3032" s="18"/>
      <c r="S3032" s="18"/>
      <c r="T3032" s="18"/>
      <c r="U3032" s="18"/>
      <c r="V3032" s="18"/>
      <c r="W3032" s="15"/>
      <c r="X3032" s="15"/>
    </row>
    <row r="3033">
      <c r="A3033" s="7">
        <v>3032.0</v>
      </c>
      <c r="B3033" s="8" t="s">
        <v>12704</v>
      </c>
      <c r="C3033" s="9" t="s">
        <v>12705</v>
      </c>
      <c r="D3033" s="10" t="str">
        <f>HYPERLINK("https://facebook.com/367089020688300_536932980370569", "367089020688300_536932980370569")</f>
        <v>367089020688300_536932980370569</v>
      </c>
      <c r="E3033" s="11">
        <v>11.0</v>
      </c>
      <c r="F3033" s="11">
        <v>0.0</v>
      </c>
      <c r="G3033" s="11">
        <v>6.0</v>
      </c>
      <c r="H3033" s="9" t="s">
        <v>26</v>
      </c>
      <c r="I3033" s="9" t="s">
        <v>12706</v>
      </c>
      <c r="J3033" s="16" t="s">
        <v>12707</v>
      </c>
      <c r="K3033" s="9"/>
      <c r="L3033" s="9" t="s">
        <v>30</v>
      </c>
      <c r="M3033" s="9" t="s">
        <v>31</v>
      </c>
      <c r="N3033" s="9" t="s">
        <v>32</v>
      </c>
      <c r="O3033" s="12" t="s">
        <v>33</v>
      </c>
      <c r="P3033" s="12" t="s">
        <v>34</v>
      </c>
      <c r="Q3033" s="9"/>
      <c r="R3033" s="18"/>
      <c r="S3033" s="18"/>
      <c r="T3033" s="18"/>
      <c r="U3033" s="18"/>
      <c r="V3033" s="18"/>
      <c r="W3033" s="15"/>
      <c r="X3033" s="15"/>
    </row>
    <row r="3034">
      <c r="A3034" s="7">
        <v>3033.0</v>
      </c>
      <c r="B3034" s="8" t="s">
        <v>12708</v>
      </c>
      <c r="C3034" s="9" t="s">
        <v>12709</v>
      </c>
      <c r="D3034" s="10" t="str">
        <f>HYPERLINK("https://facebook.com/367089020688300_541245996605934", "367089020688300_541245996605934")</f>
        <v>367089020688300_541245996605934</v>
      </c>
      <c r="E3034" s="11">
        <v>115.0</v>
      </c>
      <c r="F3034" s="11">
        <v>3.0</v>
      </c>
      <c r="G3034" s="11">
        <v>19.0</v>
      </c>
      <c r="H3034" s="9" t="s">
        <v>26</v>
      </c>
      <c r="I3034" s="9" t="s">
        <v>6092</v>
      </c>
      <c r="J3034" s="16" t="s">
        <v>6093</v>
      </c>
      <c r="K3034" s="9"/>
      <c r="L3034" s="9" t="s">
        <v>30</v>
      </c>
      <c r="M3034" s="9" t="s">
        <v>31</v>
      </c>
      <c r="N3034" s="9" t="s">
        <v>32</v>
      </c>
      <c r="O3034" s="12" t="s">
        <v>33</v>
      </c>
      <c r="P3034" s="12" t="s">
        <v>34</v>
      </c>
      <c r="Q3034" s="9"/>
      <c r="R3034" s="18"/>
      <c r="S3034" s="18"/>
      <c r="T3034" s="18"/>
      <c r="U3034" s="18"/>
      <c r="V3034" s="18"/>
      <c r="W3034" s="15"/>
      <c r="X3034" s="15"/>
    </row>
    <row r="3035">
      <c r="A3035" s="7">
        <v>3034.0</v>
      </c>
      <c r="B3035" s="8" t="s">
        <v>12710</v>
      </c>
      <c r="C3035" s="9" t="s">
        <v>12711</v>
      </c>
      <c r="D3035" s="10" t="str">
        <f>HYPERLINK("https://facebook.com/367089020688300_553432608720606", "367089020688300_553432608720606")</f>
        <v>367089020688300_553432608720606</v>
      </c>
      <c r="E3035" s="11">
        <v>46.0</v>
      </c>
      <c r="F3035" s="11">
        <v>0.0</v>
      </c>
      <c r="G3035" s="11">
        <v>83.0</v>
      </c>
      <c r="H3035" s="9" t="s">
        <v>26</v>
      </c>
      <c r="I3035" s="9" t="s">
        <v>12712</v>
      </c>
      <c r="J3035" s="9" t="s">
        <v>12713</v>
      </c>
      <c r="K3035" s="9" t="s">
        <v>2556</v>
      </c>
      <c r="L3035" s="9" t="s">
        <v>30</v>
      </c>
      <c r="M3035" s="9" t="s">
        <v>31</v>
      </c>
      <c r="N3035" s="9" t="s">
        <v>32</v>
      </c>
      <c r="O3035" s="12" t="s">
        <v>33</v>
      </c>
      <c r="P3035" s="12" t="s">
        <v>34</v>
      </c>
      <c r="Q3035" s="9"/>
      <c r="R3035" s="18"/>
      <c r="S3035" s="18"/>
      <c r="T3035" s="18"/>
      <c r="U3035" s="18"/>
      <c r="V3035" s="18"/>
      <c r="W3035" s="15"/>
      <c r="X3035" s="15"/>
    </row>
    <row r="3036">
      <c r="A3036" s="7">
        <v>3035.0</v>
      </c>
      <c r="B3036" s="8" t="s">
        <v>12714</v>
      </c>
      <c r="C3036" s="9" t="s">
        <v>12715</v>
      </c>
      <c r="D3036" s="10" t="str">
        <f>HYPERLINK("https://facebook.com/367089020688300_416179119112623", "367089020688300_416179119112623")</f>
        <v>367089020688300_416179119112623</v>
      </c>
      <c r="E3036" s="11">
        <v>109.0</v>
      </c>
      <c r="F3036" s="11">
        <v>1.0</v>
      </c>
      <c r="G3036" s="11">
        <v>73.0</v>
      </c>
      <c r="H3036" s="9" t="s">
        <v>26</v>
      </c>
      <c r="I3036" s="9" t="s">
        <v>12716</v>
      </c>
      <c r="J3036" s="9" t="s">
        <v>12717</v>
      </c>
      <c r="K3036" s="9" t="s">
        <v>12718</v>
      </c>
      <c r="L3036" s="9" t="s">
        <v>30</v>
      </c>
      <c r="M3036" s="9" t="s">
        <v>31</v>
      </c>
      <c r="N3036" s="9" t="s">
        <v>32</v>
      </c>
      <c r="O3036" s="12" t="s">
        <v>33</v>
      </c>
      <c r="P3036" s="12" t="s">
        <v>34</v>
      </c>
      <c r="Q3036" s="9"/>
      <c r="R3036" s="18"/>
      <c r="S3036" s="18"/>
      <c r="T3036" s="18"/>
      <c r="U3036" s="18"/>
      <c r="V3036" s="18"/>
      <c r="W3036" s="15"/>
      <c r="X3036" s="15"/>
    </row>
    <row r="3037">
      <c r="A3037" s="7">
        <v>3036.0</v>
      </c>
      <c r="B3037" s="8" t="s">
        <v>12719</v>
      </c>
      <c r="C3037" s="9" t="s">
        <v>12720</v>
      </c>
      <c r="D3037" s="10" t="str">
        <f>HYPERLINK("https://facebook.com/367089020688300_448575979206270", "367089020688300_448575979206270")</f>
        <v>367089020688300_448575979206270</v>
      </c>
      <c r="E3037" s="11">
        <v>378.0</v>
      </c>
      <c r="F3037" s="11">
        <v>21.0</v>
      </c>
      <c r="G3037" s="11">
        <v>590.0</v>
      </c>
      <c r="H3037" s="9" t="s">
        <v>26</v>
      </c>
      <c r="I3037" s="9" t="s">
        <v>12721</v>
      </c>
      <c r="J3037" s="9" t="s">
        <v>12722</v>
      </c>
      <c r="K3037" s="9" t="s">
        <v>12723</v>
      </c>
      <c r="L3037" s="9" t="s">
        <v>30</v>
      </c>
      <c r="M3037" s="9" t="s">
        <v>31</v>
      </c>
      <c r="N3037" s="9" t="s">
        <v>32</v>
      </c>
      <c r="O3037" s="12" t="s">
        <v>33</v>
      </c>
      <c r="P3037" s="12" t="s">
        <v>34</v>
      </c>
      <c r="Q3037" s="9"/>
      <c r="R3037" s="18"/>
      <c r="S3037" s="18"/>
      <c r="T3037" s="18"/>
      <c r="U3037" s="18"/>
      <c r="V3037" s="18"/>
      <c r="W3037" s="15"/>
      <c r="X3037" s="15"/>
    </row>
    <row r="3038">
      <c r="A3038" s="7">
        <v>3037.0</v>
      </c>
      <c r="B3038" s="8" t="s">
        <v>12724</v>
      </c>
      <c r="C3038" s="9" t="s">
        <v>12725</v>
      </c>
      <c r="D3038" s="10" t="str">
        <f>HYPERLINK("https://facebook.com/367089020688300_545012692895931", "367089020688300_545012692895931")</f>
        <v>367089020688300_545012692895931</v>
      </c>
      <c r="E3038" s="11">
        <v>8.0</v>
      </c>
      <c r="F3038" s="11">
        <v>0.0</v>
      </c>
      <c r="G3038" s="11">
        <v>7.0</v>
      </c>
      <c r="H3038" s="9" t="s">
        <v>26</v>
      </c>
      <c r="I3038" s="9" t="s">
        <v>12726</v>
      </c>
      <c r="J3038" s="16" t="s">
        <v>12727</v>
      </c>
      <c r="K3038" s="9"/>
      <c r="L3038" s="9" t="s">
        <v>30</v>
      </c>
      <c r="M3038" s="9" t="s">
        <v>31</v>
      </c>
      <c r="N3038" s="9" t="s">
        <v>32</v>
      </c>
      <c r="O3038" s="12" t="s">
        <v>33</v>
      </c>
      <c r="P3038" s="12" t="s">
        <v>34</v>
      </c>
      <c r="Q3038" s="9"/>
      <c r="R3038" s="18"/>
      <c r="S3038" s="18"/>
      <c r="T3038" s="18"/>
      <c r="U3038" s="18"/>
      <c r="V3038" s="18"/>
      <c r="W3038" s="15"/>
      <c r="X3038" s="15"/>
    </row>
    <row r="3039">
      <c r="A3039" s="7">
        <v>3038.0</v>
      </c>
      <c r="B3039" s="8" t="s">
        <v>12728</v>
      </c>
      <c r="C3039" s="9" t="s">
        <v>12729</v>
      </c>
      <c r="D3039" s="10" t="str">
        <f>HYPERLINK("https://facebook.com/367089020688300_558187058245161", "367089020688300_558187058245161")</f>
        <v>367089020688300_558187058245161</v>
      </c>
      <c r="E3039" s="11">
        <v>471.0</v>
      </c>
      <c r="F3039" s="11">
        <v>16.0</v>
      </c>
      <c r="G3039" s="11">
        <v>214.0</v>
      </c>
      <c r="H3039" s="9" t="s">
        <v>26</v>
      </c>
      <c r="I3039" s="9" t="s">
        <v>12730</v>
      </c>
      <c r="J3039" s="16" t="s">
        <v>12731</v>
      </c>
      <c r="K3039" s="9"/>
      <c r="L3039" s="9" t="s">
        <v>30</v>
      </c>
      <c r="M3039" s="9" t="s">
        <v>31</v>
      </c>
      <c r="N3039" s="9" t="s">
        <v>32</v>
      </c>
      <c r="O3039" s="12" t="s">
        <v>33</v>
      </c>
      <c r="P3039" s="12" t="s">
        <v>34</v>
      </c>
      <c r="Q3039" s="9"/>
      <c r="R3039" s="18"/>
      <c r="S3039" s="18"/>
      <c r="T3039" s="18"/>
      <c r="U3039" s="18"/>
      <c r="V3039" s="18"/>
      <c r="W3039" s="15"/>
      <c r="X3039" s="15"/>
    </row>
    <row r="3040">
      <c r="A3040" s="7">
        <v>3039.0</v>
      </c>
      <c r="B3040" s="8" t="s">
        <v>12732</v>
      </c>
      <c r="C3040" s="9" t="s">
        <v>12733</v>
      </c>
      <c r="D3040" s="10" t="str">
        <f>HYPERLINK("https://facebook.com/367089020688300_524224354974765", "367089020688300_524224354974765")</f>
        <v>367089020688300_524224354974765</v>
      </c>
      <c r="E3040" s="11">
        <v>108.0</v>
      </c>
      <c r="F3040" s="11">
        <v>3.0</v>
      </c>
      <c r="G3040" s="11">
        <v>152.0</v>
      </c>
      <c r="H3040" s="9" t="s">
        <v>26</v>
      </c>
      <c r="I3040" s="9" t="s">
        <v>12734</v>
      </c>
      <c r="J3040" s="9" t="s">
        <v>12735</v>
      </c>
      <c r="K3040" s="9" t="s">
        <v>12736</v>
      </c>
      <c r="L3040" s="9" t="s">
        <v>30</v>
      </c>
      <c r="M3040" s="9" t="s">
        <v>31</v>
      </c>
      <c r="N3040" s="9" t="s">
        <v>32</v>
      </c>
      <c r="O3040" s="12" t="s">
        <v>33</v>
      </c>
      <c r="P3040" s="12" t="s">
        <v>34</v>
      </c>
      <c r="Q3040" s="9"/>
      <c r="R3040" s="18"/>
      <c r="S3040" s="18"/>
      <c r="T3040" s="18"/>
      <c r="U3040" s="18"/>
      <c r="V3040" s="18"/>
      <c r="W3040" s="15"/>
      <c r="X3040" s="15"/>
    </row>
    <row r="3041">
      <c r="A3041" s="7">
        <v>3040.0</v>
      </c>
      <c r="B3041" s="8" t="s">
        <v>12737</v>
      </c>
      <c r="C3041" s="9" t="s">
        <v>12738</v>
      </c>
      <c r="D3041" s="10" t="str">
        <f>HYPERLINK("https://facebook.com/367089020688300_544958336234700", "367089020688300_544958336234700")</f>
        <v>367089020688300_544958336234700</v>
      </c>
      <c r="E3041" s="11">
        <v>68.0</v>
      </c>
      <c r="F3041" s="11">
        <v>0.0</v>
      </c>
      <c r="G3041" s="11">
        <v>21.0</v>
      </c>
      <c r="H3041" s="9" t="s">
        <v>26</v>
      </c>
      <c r="I3041" s="9" t="s">
        <v>12739</v>
      </c>
      <c r="J3041" s="16" t="s">
        <v>12740</v>
      </c>
      <c r="K3041" s="9"/>
      <c r="L3041" s="9" t="s">
        <v>30</v>
      </c>
      <c r="M3041" s="9" t="s">
        <v>31</v>
      </c>
      <c r="N3041" s="9" t="s">
        <v>32</v>
      </c>
      <c r="O3041" s="12" t="s">
        <v>33</v>
      </c>
      <c r="P3041" s="12" t="s">
        <v>34</v>
      </c>
      <c r="Q3041" s="9"/>
      <c r="R3041" s="18"/>
      <c r="S3041" s="18"/>
      <c r="T3041" s="18"/>
      <c r="U3041" s="18"/>
      <c r="V3041" s="18"/>
      <c r="W3041" s="15"/>
      <c r="X3041" s="15"/>
    </row>
    <row r="3042">
      <c r="A3042" s="7">
        <v>3041.0</v>
      </c>
      <c r="B3042" s="8" t="s">
        <v>12741</v>
      </c>
      <c r="C3042" s="9" t="s">
        <v>12742</v>
      </c>
      <c r="D3042" s="10" t="str">
        <f>HYPERLINK("https://facebook.com/367089020688300_539207420143125", "367089020688300_539207420143125")</f>
        <v>367089020688300_539207420143125</v>
      </c>
      <c r="E3042" s="11">
        <v>333.0</v>
      </c>
      <c r="F3042" s="11">
        <v>6.0</v>
      </c>
      <c r="G3042" s="11">
        <v>160.0</v>
      </c>
      <c r="H3042" s="9" t="s">
        <v>26</v>
      </c>
      <c r="I3042" s="9" t="s">
        <v>5043</v>
      </c>
      <c r="J3042" s="16" t="s">
        <v>5044</v>
      </c>
      <c r="K3042" s="9"/>
      <c r="L3042" s="9" t="s">
        <v>30</v>
      </c>
      <c r="M3042" s="9" t="s">
        <v>31</v>
      </c>
      <c r="N3042" s="9" t="s">
        <v>32</v>
      </c>
      <c r="O3042" s="12" t="s">
        <v>33</v>
      </c>
      <c r="P3042" s="12" t="s">
        <v>34</v>
      </c>
      <c r="Q3042" s="9"/>
      <c r="R3042" s="18"/>
      <c r="S3042" s="18"/>
      <c r="T3042" s="18"/>
      <c r="U3042" s="18"/>
      <c r="V3042" s="18"/>
      <c r="W3042" s="15"/>
      <c r="X3042" s="15"/>
    </row>
    <row r="3043">
      <c r="A3043" s="7">
        <v>3042.0</v>
      </c>
      <c r="B3043" s="8" t="s">
        <v>12743</v>
      </c>
      <c r="C3043" s="9" t="s">
        <v>12744</v>
      </c>
      <c r="D3043" s="10" t="str">
        <f>HYPERLINK("https://facebook.com/367089020688300_559598508104016", "367089020688300_559598508104016")</f>
        <v>367089020688300_559598508104016</v>
      </c>
      <c r="E3043" s="11">
        <v>161.0</v>
      </c>
      <c r="F3043" s="11">
        <v>1.0</v>
      </c>
      <c r="G3043" s="11">
        <v>197.0</v>
      </c>
      <c r="H3043" s="9" t="s">
        <v>26</v>
      </c>
      <c r="I3043" s="9" t="s">
        <v>12745</v>
      </c>
      <c r="J3043" s="16" t="s">
        <v>12746</v>
      </c>
      <c r="K3043" s="9"/>
      <c r="L3043" s="9" t="s">
        <v>30</v>
      </c>
      <c r="M3043" s="9" t="s">
        <v>31</v>
      </c>
      <c r="N3043" s="9" t="s">
        <v>32</v>
      </c>
      <c r="O3043" s="12" t="s">
        <v>33</v>
      </c>
      <c r="P3043" s="12" t="s">
        <v>34</v>
      </c>
      <c r="Q3043" s="9"/>
      <c r="R3043" s="18"/>
      <c r="S3043" s="18"/>
      <c r="T3043" s="18"/>
      <c r="U3043" s="18"/>
      <c r="V3043" s="18"/>
      <c r="W3043" s="15"/>
      <c r="X3043" s="15"/>
    </row>
    <row r="3044">
      <c r="A3044" s="7">
        <v>3043.0</v>
      </c>
      <c r="B3044" s="8" t="s">
        <v>12747</v>
      </c>
      <c r="C3044" s="9" t="s">
        <v>12748</v>
      </c>
      <c r="D3044" s="10" t="str">
        <f>HYPERLINK("https://facebook.com/367089020688300_556540955076438", "367089020688300_556540955076438")</f>
        <v>367089020688300_556540955076438</v>
      </c>
      <c r="E3044" s="11">
        <v>653.0</v>
      </c>
      <c r="F3044" s="11">
        <v>25.0</v>
      </c>
      <c r="G3044" s="11">
        <v>234.0</v>
      </c>
      <c r="H3044" s="9" t="s">
        <v>26</v>
      </c>
      <c r="I3044" s="9" t="s">
        <v>12749</v>
      </c>
      <c r="J3044" s="9" t="s">
        <v>12750</v>
      </c>
      <c r="K3044" s="9" t="s">
        <v>1087</v>
      </c>
      <c r="L3044" s="9" t="s">
        <v>30</v>
      </c>
      <c r="M3044" s="9" t="s">
        <v>31</v>
      </c>
      <c r="N3044" s="9" t="s">
        <v>32</v>
      </c>
      <c r="O3044" s="12" t="s">
        <v>33</v>
      </c>
      <c r="P3044" s="12" t="s">
        <v>34</v>
      </c>
      <c r="Q3044" s="9"/>
      <c r="R3044" s="18"/>
      <c r="S3044" s="18"/>
      <c r="T3044" s="18"/>
      <c r="U3044" s="18"/>
      <c r="V3044" s="18"/>
      <c r="W3044" s="15"/>
      <c r="X3044" s="15"/>
    </row>
    <row r="3045">
      <c r="A3045" s="7">
        <v>3044.0</v>
      </c>
      <c r="B3045" s="8" t="s">
        <v>12751</v>
      </c>
      <c r="C3045" s="9" t="s">
        <v>12752</v>
      </c>
      <c r="D3045" s="10" t="str">
        <f>HYPERLINK("https://facebook.com/367089020688300_515582455838955", "367089020688300_515582455838955")</f>
        <v>367089020688300_515582455838955</v>
      </c>
      <c r="E3045" s="11">
        <v>12.0</v>
      </c>
      <c r="F3045" s="11">
        <v>2.0</v>
      </c>
      <c r="G3045" s="11">
        <v>25.0</v>
      </c>
      <c r="H3045" s="9" t="s">
        <v>26</v>
      </c>
      <c r="I3045" s="9" t="s">
        <v>12753</v>
      </c>
      <c r="J3045" s="9" t="s">
        <v>12754</v>
      </c>
      <c r="K3045" s="9" t="s">
        <v>12755</v>
      </c>
      <c r="L3045" s="9" t="s">
        <v>30</v>
      </c>
      <c r="M3045" s="9" t="s">
        <v>31</v>
      </c>
      <c r="N3045" s="9" t="s">
        <v>32</v>
      </c>
      <c r="O3045" s="12" t="s">
        <v>33</v>
      </c>
      <c r="P3045" s="12" t="s">
        <v>34</v>
      </c>
      <c r="Q3045" s="9"/>
      <c r="R3045" s="18"/>
      <c r="S3045" s="18"/>
      <c r="T3045" s="18"/>
      <c r="U3045" s="18"/>
      <c r="V3045" s="18"/>
      <c r="W3045" s="15"/>
      <c r="X3045" s="15"/>
    </row>
    <row r="3046">
      <c r="A3046" s="7">
        <v>3045.0</v>
      </c>
      <c r="B3046" s="8" t="s">
        <v>12756</v>
      </c>
      <c r="C3046" s="9" t="s">
        <v>12757</v>
      </c>
      <c r="D3046" s="10" t="str">
        <f>HYPERLINK("https://facebook.com/367089020688300_451405355589999", "367089020688300_451405355589999")</f>
        <v>367089020688300_451405355589999</v>
      </c>
      <c r="E3046" s="11">
        <v>2532.0</v>
      </c>
      <c r="F3046" s="11">
        <v>37.0</v>
      </c>
      <c r="G3046" s="11">
        <v>1233.0</v>
      </c>
      <c r="H3046" s="9" t="s">
        <v>26</v>
      </c>
      <c r="I3046" s="9" t="s">
        <v>12758</v>
      </c>
      <c r="J3046" s="9" t="s">
        <v>12759</v>
      </c>
      <c r="K3046" s="9" t="s">
        <v>254</v>
      </c>
      <c r="L3046" s="9" t="s">
        <v>30</v>
      </c>
      <c r="M3046" s="9" t="s">
        <v>31</v>
      </c>
      <c r="N3046" s="9" t="s">
        <v>32</v>
      </c>
      <c r="O3046" s="12" t="s">
        <v>33</v>
      </c>
      <c r="P3046" s="12" t="s">
        <v>34</v>
      </c>
      <c r="Q3046" s="9"/>
      <c r="R3046" s="18"/>
      <c r="S3046" s="18"/>
      <c r="T3046" s="18"/>
      <c r="U3046" s="18"/>
      <c r="V3046" s="18"/>
      <c r="W3046" s="15"/>
      <c r="X3046" s="15"/>
    </row>
    <row r="3047">
      <c r="A3047" s="7">
        <v>3046.0</v>
      </c>
      <c r="B3047" s="8" t="s">
        <v>12760</v>
      </c>
      <c r="C3047" s="9" t="s">
        <v>12761</v>
      </c>
      <c r="D3047" s="10" t="str">
        <f>HYPERLINK("https://facebook.com/367089020688300_512388072825060", "367089020688300_512388072825060")</f>
        <v>367089020688300_512388072825060</v>
      </c>
      <c r="E3047" s="11">
        <v>1268.0</v>
      </c>
      <c r="F3047" s="11">
        <v>24.0</v>
      </c>
      <c r="G3047" s="11">
        <v>424.0</v>
      </c>
      <c r="H3047" s="9" t="s">
        <v>26</v>
      </c>
      <c r="I3047" s="9" t="s">
        <v>12762</v>
      </c>
      <c r="J3047" s="16" t="s">
        <v>12763</v>
      </c>
      <c r="K3047" s="9"/>
      <c r="L3047" s="9" t="s">
        <v>30</v>
      </c>
      <c r="M3047" s="9" t="s">
        <v>31</v>
      </c>
      <c r="N3047" s="9" t="s">
        <v>32</v>
      </c>
      <c r="O3047" s="12" t="s">
        <v>33</v>
      </c>
      <c r="P3047" s="12" t="s">
        <v>34</v>
      </c>
      <c r="Q3047" s="9"/>
      <c r="R3047" s="18"/>
      <c r="S3047" s="18"/>
      <c r="T3047" s="18"/>
      <c r="U3047" s="18"/>
      <c r="V3047" s="18"/>
      <c r="W3047" s="15"/>
      <c r="X3047" s="15"/>
    </row>
    <row r="3048">
      <c r="A3048" s="7">
        <v>3047.0</v>
      </c>
      <c r="B3048" s="8" t="s">
        <v>12764</v>
      </c>
      <c r="C3048" s="9" t="s">
        <v>12765</v>
      </c>
      <c r="D3048" s="10" t="str">
        <f>HYPERLINK("https://facebook.com/367089020688300_553230158740851", "367089020688300_553230158740851")</f>
        <v>367089020688300_553230158740851</v>
      </c>
      <c r="E3048" s="11">
        <v>435.0</v>
      </c>
      <c r="F3048" s="11">
        <v>5.0</v>
      </c>
      <c r="G3048" s="11">
        <v>601.0</v>
      </c>
      <c r="H3048" s="9" t="s">
        <v>26</v>
      </c>
      <c r="I3048" s="9" t="s">
        <v>12766</v>
      </c>
      <c r="J3048" s="9" t="s">
        <v>12767</v>
      </c>
      <c r="K3048" s="9" t="s">
        <v>12768</v>
      </c>
      <c r="L3048" s="9" t="s">
        <v>30</v>
      </c>
      <c r="M3048" s="9" t="s">
        <v>31</v>
      </c>
      <c r="N3048" s="9" t="s">
        <v>32</v>
      </c>
      <c r="O3048" s="12" t="s">
        <v>33</v>
      </c>
      <c r="P3048" s="12" t="s">
        <v>34</v>
      </c>
      <c r="Q3048" s="9"/>
      <c r="R3048" s="18"/>
      <c r="S3048" s="18"/>
      <c r="T3048" s="18"/>
      <c r="U3048" s="18"/>
      <c r="V3048" s="18"/>
      <c r="W3048" s="15"/>
      <c r="X3048" s="15"/>
    </row>
    <row r="3049">
      <c r="A3049" s="7">
        <v>3048.0</v>
      </c>
      <c r="B3049" s="8" t="s">
        <v>12769</v>
      </c>
      <c r="C3049" s="9" t="s">
        <v>12770</v>
      </c>
      <c r="D3049" s="10" t="str">
        <f>HYPERLINK("https://facebook.com/367089020688300_558031544927379", "367089020688300_558031544927379")</f>
        <v>367089020688300_558031544927379</v>
      </c>
      <c r="E3049" s="11">
        <v>56.0</v>
      </c>
      <c r="F3049" s="11">
        <v>5.0</v>
      </c>
      <c r="G3049" s="11">
        <v>103.0</v>
      </c>
      <c r="H3049" s="9" t="s">
        <v>26</v>
      </c>
      <c r="I3049" s="9" t="s">
        <v>12771</v>
      </c>
      <c r="J3049" s="16" t="s">
        <v>12772</v>
      </c>
      <c r="K3049" s="9"/>
      <c r="L3049" s="9" t="s">
        <v>30</v>
      </c>
      <c r="M3049" s="9" t="s">
        <v>31</v>
      </c>
      <c r="N3049" s="9" t="s">
        <v>32</v>
      </c>
      <c r="O3049" s="12" t="s">
        <v>33</v>
      </c>
      <c r="P3049" s="12" t="s">
        <v>34</v>
      </c>
      <c r="Q3049" s="9"/>
      <c r="R3049" s="18"/>
      <c r="S3049" s="18"/>
      <c r="T3049" s="18"/>
      <c r="U3049" s="18"/>
      <c r="V3049" s="18"/>
      <c r="W3049" s="15"/>
      <c r="X3049" s="15"/>
    </row>
    <row r="3050">
      <c r="A3050" s="7">
        <v>3049.0</v>
      </c>
      <c r="B3050" s="8" t="s">
        <v>12773</v>
      </c>
      <c r="C3050" s="9" t="s">
        <v>12774</v>
      </c>
      <c r="D3050" s="10" t="str">
        <f>HYPERLINK("https://facebook.com/367089020688300_544516962945504", "367089020688300_544516962945504")</f>
        <v>367089020688300_544516962945504</v>
      </c>
      <c r="E3050" s="11">
        <v>133.0</v>
      </c>
      <c r="F3050" s="11">
        <v>2.0</v>
      </c>
      <c r="G3050" s="11">
        <v>156.0</v>
      </c>
      <c r="H3050" s="9" t="s">
        <v>26</v>
      </c>
      <c r="I3050" s="9" t="s">
        <v>6481</v>
      </c>
      <c r="J3050" s="16" t="s">
        <v>12775</v>
      </c>
      <c r="K3050" s="9"/>
      <c r="L3050" s="9" t="s">
        <v>30</v>
      </c>
      <c r="M3050" s="9" t="s">
        <v>31</v>
      </c>
      <c r="N3050" s="9" t="s">
        <v>32</v>
      </c>
      <c r="O3050" s="12" t="s">
        <v>33</v>
      </c>
      <c r="P3050" s="12" t="s">
        <v>34</v>
      </c>
      <c r="Q3050" s="9"/>
      <c r="R3050" s="18"/>
      <c r="S3050" s="18"/>
      <c r="T3050" s="18"/>
      <c r="U3050" s="18"/>
      <c r="V3050" s="18"/>
      <c r="W3050" s="15"/>
      <c r="X3050" s="15"/>
    </row>
    <row r="3051">
      <c r="A3051" s="7">
        <v>3050.0</v>
      </c>
      <c r="B3051" s="8" t="s">
        <v>12776</v>
      </c>
      <c r="C3051" s="9" t="s">
        <v>12777</v>
      </c>
      <c r="D3051" s="10" t="str">
        <f>HYPERLINK("https://facebook.com/367089020688300_490744168322784", "367089020688300_490744168322784")</f>
        <v>367089020688300_490744168322784</v>
      </c>
      <c r="E3051" s="11">
        <v>2809.0</v>
      </c>
      <c r="F3051" s="11">
        <v>13.0</v>
      </c>
      <c r="G3051" s="11">
        <v>772.0</v>
      </c>
      <c r="H3051" s="9" t="s">
        <v>26</v>
      </c>
      <c r="I3051" s="9" t="s">
        <v>12778</v>
      </c>
      <c r="J3051" s="9" t="s">
        <v>12779</v>
      </c>
      <c r="K3051" s="9" t="s">
        <v>12780</v>
      </c>
      <c r="L3051" s="9" t="s">
        <v>30</v>
      </c>
      <c r="M3051" s="9" t="s">
        <v>31</v>
      </c>
      <c r="N3051" s="9" t="s">
        <v>32</v>
      </c>
      <c r="O3051" s="12" t="s">
        <v>33</v>
      </c>
      <c r="P3051" s="12" t="s">
        <v>34</v>
      </c>
      <c r="Q3051" s="9"/>
      <c r="R3051" s="18"/>
      <c r="S3051" s="18"/>
      <c r="T3051" s="18"/>
      <c r="U3051" s="18"/>
      <c r="V3051" s="18"/>
      <c r="W3051" s="15"/>
      <c r="X3051" s="15"/>
    </row>
    <row r="3052">
      <c r="A3052" s="7">
        <v>3051.0</v>
      </c>
      <c r="B3052" s="8" t="s">
        <v>12781</v>
      </c>
      <c r="C3052" s="9" t="s">
        <v>12782</v>
      </c>
      <c r="D3052" s="10" t="str">
        <f>HYPERLINK("https://facebook.com/367089020688300_543445633052637", "367089020688300_543445633052637")</f>
        <v>367089020688300_543445633052637</v>
      </c>
      <c r="E3052" s="11">
        <v>13.0</v>
      </c>
      <c r="F3052" s="11">
        <v>0.0</v>
      </c>
      <c r="G3052" s="11">
        <v>4.0</v>
      </c>
      <c r="H3052" s="9" t="s">
        <v>26</v>
      </c>
      <c r="I3052" s="9" t="s">
        <v>12783</v>
      </c>
      <c r="J3052" s="9" t="s">
        <v>12784</v>
      </c>
      <c r="K3052" s="9" t="s">
        <v>12785</v>
      </c>
      <c r="L3052" s="9" t="s">
        <v>30</v>
      </c>
      <c r="M3052" s="9" t="s">
        <v>31</v>
      </c>
      <c r="N3052" s="9" t="s">
        <v>32</v>
      </c>
      <c r="O3052" s="12" t="s">
        <v>33</v>
      </c>
      <c r="P3052" s="12" t="s">
        <v>34</v>
      </c>
      <c r="Q3052" s="9"/>
      <c r="R3052" s="18"/>
      <c r="S3052" s="18"/>
      <c r="T3052" s="18"/>
      <c r="U3052" s="18"/>
      <c r="V3052" s="18"/>
      <c r="W3052" s="15"/>
      <c r="X3052" s="15"/>
    </row>
    <row r="3053">
      <c r="A3053" s="7">
        <v>3052.0</v>
      </c>
      <c r="B3053" s="8" t="s">
        <v>12786</v>
      </c>
      <c r="C3053" s="9" t="s">
        <v>12787</v>
      </c>
      <c r="D3053" s="10" t="str">
        <f>HYPERLINK("https://facebook.com/367089020688300_534866647243869", "367089020688300_534866647243869")</f>
        <v>367089020688300_534866647243869</v>
      </c>
      <c r="E3053" s="11">
        <v>1787.0</v>
      </c>
      <c r="F3053" s="11">
        <v>38.0</v>
      </c>
      <c r="G3053" s="11">
        <v>422.0</v>
      </c>
      <c r="H3053" s="9" t="s">
        <v>26</v>
      </c>
      <c r="I3053" s="9" t="s">
        <v>3785</v>
      </c>
      <c r="J3053" s="16" t="s">
        <v>3786</v>
      </c>
      <c r="K3053" s="9"/>
      <c r="L3053" s="9" t="s">
        <v>30</v>
      </c>
      <c r="M3053" s="9" t="s">
        <v>31</v>
      </c>
      <c r="N3053" s="9" t="s">
        <v>32</v>
      </c>
      <c r="O3053" s="12" t="s">
        <v>33</v>
      </c>
      <c r="P3053" s="12" t="s">
        <v>34</v>
      </c>
      <c r="Q3053" s="9"/>
      <c r="R3053" s="18"/>
      <c r="S3053" s="18"/>
      <c r="T3053" s="18"/>
      <c r="U3053" s="18"/>
      <c r="V3053" s="18"/>
      <c r="W3053" s="15"/>
      <c r="X3053" s="15"/>
    </row>
    <row r="3054">
      <c r="A3054" s="7">
        <v>3053.0</v>
      </c>
      <c r="B3054" s="8" t="s">
        <v>12788</v>
      </c>
      <c r="C3054" s="9" t="s">
        <v>12789</v>
      </c>
      <c r="D3054" s="10" t="str">
        <f>HYPERLINK("https://facebook.com/367089020688300_549480059115861", "367089020688300_549480059115861")</f>
        <v>367089020688300_549480059115861</v>
      </c>
      <c r="E3054" s="11">
        <v>5.0</v>
      </c>
      <c r="F3054" s="11">
        <v>0.0</v>
      </c>
      <c r="G3054" s="11">
        <v>0.0</v>
      </c>
      <c r="H3054" s="9" t="s">
        <v>26</v>
      </c>
      <c r="I3054" s="9" t="s">
        <v>12790</v>
      </c>
      <c r="J3054" s="9" t="s">
        <v>12791</v>
      </c>
      <c r="K3054" s="9" t="s">
        <v>12792</v>
      </c>
      <c r="L3054" s="9" t="s">
        <v>30</v>
      </c>
      <c r="M3054" s="9" t="s">
        <v>31</v>
      </c>
      <c r="N3054" s="9" t="s">
        <v>32</v>
      </c>
      <c r="O3054" s="12" t="s">
        <v>33</v>
      </c>
      <c r="P3054" s="12" t="s">
        <v>34</v>
      </c>
      <c r="Q3054" s="9"/>
      <c r="R3054" s="18"/>
      <c r="S3054" s="18"/>
      <c r="T3054" s="18"/>
      <c r="U3054" s="18"/>
      <c r="V3054" s="18"/>
      <c r="W3054" s="15"/>
      <c r="X3054" s="15"/>
    </row>
    <row r="3055">
      <c r="A3055" s="7">
        <v>3054.0</v>
      </c>
      <c r="B3055" s="8" t="s">
        <v>12793</v>
      </c>
      <c r="C3055" s="9" t="s">
        <v>12794</v>
      </c>
      <c r="D3055" s="10" t="str">
        <f>HYPERLINK("https://facebook.com/367089020688300_546024152794785", "367089020688300_546024152794785")</f>
        <v>367089020688300_546024152794785</v>
      </c>
      <c r="E3055" s="11">
        <v>303.0</v>
      </c>
      <c r="F3055" s="11">
        <v>5.0</v>
      </c>
      <c r="G3055" s="11">
        <v>252.0</v>
      </c>
      <c r="H3055" s="9" t="s">
        <v>26</v>
      </c>
      <c r="I3055" s="9" t="s">
        <v>12795</v>
      </c>
      <c r="J3055" s="16" t="s">
        <v>12796</v>
      </c>
      <c r="K3055" s="9"/>
      <c r="L3055" s="9" t="s">
        <v>30</v>
      </c>
      <c r="M3055" s="9" t="s">
        <v>31</v>
      </c>
      <c r="N3055" s="9" t="s">
        <v>32</v>
      </c>
      <c r="O3055" s="12" t="s">
        <v>33</v>
      </c>
      <c r="P3055" s="12" t="s">
        <v>34</v>
      </c>
      <c r="Q3055" s="9"/>
      <c r="R3055" s="18"/>
      <c r="S3055" s="18"/>
      <c r="T3055" s="18"/>
      <c r="U3055" s="18"/>
      <c r="V3055" s="18"/>
      <c r="W3055" s="15"/>
      <c r="X3055" s="15"/>
    </row>
    <row r="3056">
      <c r="A3056" s="7">
        <v>3055.0</v>
      </c>
      <c r="B3056" s="8" t="s">
        <v>12797</v>
      </c>
      <c r="C3056" s="9" t="s">
        <v>12798</v>
      </c>
      <c r="D3056" s="10" t="str">
        <f>HYPERLINK("https://facebook.com/367089020688300_563050521092148", "367089020688300_563050521092148")</f>
        <v>367089020688300_563050521092148</v>
      </c>
      <c r="E3056" s="11">
        <v>125.0</v>
      </c>
      <c r="F3056" s="11">
        <v>3.0</v>
      </c>
      <c r="G3056" s="11">
        <v>66.0</v>
      </c>
      <c r="H3056" s="9" t="s">
        <v>26</v>
      </c>
      <c r="I3056" s="9" t="s">
        <v>12799</v>
      </c>
      <c r="J3056" s="16" t="s">
        <v>12800</v>
      </c>
      <c r="K3056" s="9"/>
      <c r="L3056" s="9" t="s">
        <v>30</v>
      </c>
      <c r="M3056" s="9" t="s">
        <v>31</v>
      </c>
      <c r="N3056" s="9" t="s">
        <v>32</v>
      </c>
      <c r="O3056" s="12" t="s">
        <v>33</v>
      </c>
      <c r="P3056" s="12" t="s">
        <v>34</v>
      </c>
      <c r="Q3056" s="9"/>
      <c r="R3056" s="18"/>
      <c r="S3056" s="18"/>
      <c r="T3056" s="18"/>
      <c r="U3056" s="18"/>
      <c r="V3056" s="18"/>
      <c r="W3056" s="15"/>
      <c r="X3056" s="15"/>
    </row>
    <row r="3057">
      <c r="A3057" s="7">
        <v>3056.0</v>
      </c>
      <c r="B3057" s="8" t="s">
        <v>12801</v>
      </c>
      <c r="C3057" s="9" t="s">
        <v>12802</v>
      </c>
      <c r="D3057" s="10" t="str">
        <f>HYPERLINK("https://facebook.com/367089020688300_467119810685220", "367089020688300_467119810685220")</f>
        <v>367089020688300_467119810685220</v>
      </c>
      <c r="E3057" s="11">
        <v>179.0</v>
      </c>
      <c r="F3057" s="11">
        <v>2.0</v>
      </c>
      <c r="G3057" s="11">
        <v>93.0</v>
      </c>
      <c r="H3057" s="9" t="s">
        <v>26</v>
      </c>
      <c r="I3057" s="9" t="s">
        <v>12803</v>
      </c>
      <c r="J3057" s="9" t="s">
        <v>12804</v>
      </c>
      <c r="K3057" s="9" t="s">
        <v>1749</v>
      </c>
      <c r="L3057" s="9" t="s">
        <v>30</v>
      </c>
      <c r="M3057" s="9" t="s">
        <v>31</v>
      </c>
      <c r="N3057" s="9" t="s">
        <v>32</v>
      </c>
      <c r="O3057" s="12" t="s">
        <v>33</v>
      </c>
      <c r="P3057" s="12" t="s">
        <v>34</v>
      </c>
      <c r="Q3057" s="9"/>
      <c r="R3057" s="18"/>
      <c r="S3057" s="18"/>
      <c r="T3057" s="18"/>
      <c r="U3057" s="18"/>
      <c r="V3057" s="18"/>
      <c r="W3057" s="15"/>
      <c r="X3057" s="15"/>
    </row>
    <row r="3058">
      <c r="A3058" s="7">
        <v>3057.0</v>
      </c>
      <c r="B3058" s="8" t="s">
        <v>12805</v>
      </c>
      <c r="C3058" s="9" t="s">
        <v>12806</v>
      </c>
      <c r="D3058" s="10" t="str">
        <f>HYPERLINK("https://facebook.com/367089020688300_405952896801912", "367089020688300_405952896801912")</f>
        <v>367089020688300_405952896801912</v>
      </c>
      <c r="E3058" s="11">
        <v>159.0</v>
      </c>
      <c r="F3058" s="11">
        <v>16.0</v>
      </c>
      <c r="G3058" s="11">
        <v>265.0</v>
      </c>
      <c r="H3058" s="9" t="s">
        <v>26</v>
      </c>
      <c r="I3058" s="9" t="s">
        <v>4400</v>
      </c>
      <c r="J3058" s="9" t="s">
        <v>12807</v>
      </c>
      <c r="K3058" s="9" t="s">
        <v>12808</v>
      </c>
      <c r="L3058" s="9" t="s">
        <v>30</v>
      </c>
      <c r="M3058" s="9" t="s">
        <v>31</v>
      </c>
      <c r="N3058" s="9" t="s">
        <v>32</v>
      </c>
      <c r="O3058" s="12" t="s">
        <v>33</v>
      </c>
      <c r="P3058" s="12" t="s">
        <v>34</v>
      </c>
      <c r="Q3058" s="9"/>
      <c r="R3058" s="18"/>
      <c r="S3058" s="18"/>
      <c r="T3058" s="18"/>
      <c r="U3058" s="18"/>
      <c r="V3058" s="18"/>
      <c r="W3058" s="15"/>
      <c r="X3058" s="15"/>
    </row>
    <row r="3059">
      <c r="A3059" s="7">
        <v>3058.0</v>
      </c>
      <c r="B3059" s="8" t="s">
        <v>12809</v>
      </c>
      <c r="C3059" s="9" t="s">
        <v>12810</v>
      </c>
      <c r="D3059" s="10" t="str">
        <f>HYPERLINK("https://facebook.com/367089020688300_550892822307918", "367089020688300_550892822307918")</f>
        <v>367089020688300_550892822307918</v>
      </c>
      <c r="E3059" s="11">
        <v>69.0</v>
      </c>
      <c r="F3059" s="11">
        <v>0.0</v>
      </c>
      <c r="G3059" s="11">
        <v>15.0</v>
      </c>
      <c r="H3059" s="9" t="s">
        <v>26</v>
      </c>
      <c r="I3059" s="9" t="s">
        <v>12811</v>
      </c>
      <c r="J3059" s="16" t="s">
        <v>12812</v>
      </c>
      <c r="K3059" s="9"/>
      <c r="L3059" s="9" t="s">
        <v>30</v>
      </c>
      <c r="M3059" s="9" t="s">
        <v>31</v>
      </c>
      <c r="N3059" s="9" t="s">
        <v>32</v>
      </c>
      <c r="O3059" s="12" t="s">
        <v>33</v>
      </c>
      <c r="P3059" s="12" t="s">
        <v>34</v>
      </c>
      <c r="Q3059" s="9"/>
      <c r="R3059" s="18"/>
      <c r="S3059" s="18"/>
      <c r="T3059" s="18"/>
      <c r="U3059" s="18"/>
      <c r="V3059" s="18"/>
      <c r="W3059" s="15"/>
      <c r="X3059" s="15"/>
    </row>
    <row r="3060">
      <c r="A3060" s="7">
        <v>3059.0</v>
      </c>
      <c r="B3060" s="8" t="s">
        <v>12813</v>
      </c>
      <c r="C3060" s="9" t="s">
        <v>12814</v>
      </c>
      <c r="D3060" s="10" t="str">
        <f>HYPERLINK("https://facebook.com/367089020688300_455614885169046", "367089020688300_455614885169046")</f>
        <v>367089020688300_455614885169046</v>
      </c>
      <c r="E3060" s="11">
        <v>171.0</v>
      </c>
      <c r="F3060" s="11">
        <v>3.0</v>
      </c>
      <c r="G3060" s="11">
        <v>120.0</v>
      </c>
      <c r="H3060" s="9" t="s">
        <v>26</v>
      </c>
      <c r="I3060" s="9" t="s">
        <v>12815</v>
      </c>
      <c r="J3060" s="9" t="s">
        <v>12816</v>
      </c>
      <c r="K3060" s="9" t="s">
        <v>219</v>
      </c>
      <c r="L3060" s="9" t="s">
        <v>30</v>
      </c>
      <c r="M3060" s="9" t="s">
        <v>31</v>
      </c>
      <c r="N3060" s="9" t="s">
        <v>32</v>
      </c>
      <c r="O3060" s="12" t="s">
        <v>33</v>
      </c>
      <c r="P3060" s="12" t="s">
        <v>34</v>
      </c>
      <c r="Q3060" s="9"/>
      <c r="R3060" s="18"/>
      <c r="S3060" s="18"/>
      <c r="T3060" s="18"/>
      <c r="U3060" s="18"/>
      <c r="V3060" s="18"/>
      <c r="W3060" s="15"/>
      <c r="X3060" s="15"/>
    </row>
    <row r="3061">
      <c r="A3061" s="7">
        <v>3060.0</v>
      </c>
      <c r="B3061" s="8" t="s">
        <v>12817</v>
      </c>
      <c r="C3061" s="9" t="s">
        <v>12818</v>
      </c>
      <c r="D3061" s="10" t="str">
        <f>HYPERLINK("https://facebook.com/367089020688300_561169274613606", "367089020688300_561169274613606")</f>
        <v>367089020688300_561169274613606</v>
      </c>
      <c r="E3061" s="11">
        <v>125.0</v>
      </c>
      <c r="F3061" s="11">
        <v>1.0</v>
      </c>
      <c r="G3061" s="11">
        <v>60.0</v>
      </c>
      <c r="H3061" s="9" t="s">
        <v>26</v>
      </c>
      <c r="I3061" s="9" t="s">
        <v>6768</v>
      </c>
      <c r="J3061" s="16" t="s">
        <v>7778</v>
      </c>
      <c r="K3061" s="9"/>
      <c r="L3061" s="9" t="s">
        <v>30</v>
      </c>
      <c r="M3061" s="9" t="s">
        <v>31</v>
      </c>
      <c r="N3061" s="9" t="s">
        <v>32</v>
      </c>
      <c r="O3061" s="12" t="s">
        <v>33</v>
      </c>
      <c r="P3061" s="12" t="s">
        <v>34</v>
      </c>
      <c r="Q3061" s="9"/>
      <c r="R3061" s="18"/>
      <c r="S3061" s="18"/>
      <c r="T3061" s="18"/>
      <c r="U3061" s="18"/>
      <c r="V3061" s="18"/>
      <c r="W3061" s="15"/>
      <c r="X3061" s="15"/>
    </row>
    <row r="3062">
      <c r="A3062" s="7">
        <v>3061.0</v>
      </c>
      <c r="B3062" s="8" t="s">
        <v>12819</v>
      </c>
      <c r="C3062" s="9" t="s">
        <v>12820</v>
      </c>
      <c r="D3062" s="10" t="str">
        <f>HYPERLINK("https://facebook.com/367089020688300_501231120607422", "367089020688300_501231120607422")</f>
        <v>367089020688300_501231120607422</v>
      </c>
      <c r="E3062" s="11">
        <v>388.0</v>
      </c>
      <c r="F3062" s="11">
        <v>23.0</v>
      </c>
      <c r="G3062" s="11">
        <v>546.0</v>
      </c>
      <c r="H3062" s="9" t="s">
        <v>26</v>
      </c>
      <c r="I3062" s="9" t="s">
        <v>12821</v>
      </c>
      <c r="J3062" s="9" t="s">
        <v>12822</v>
      </c>
      <c r="K3062" s="9" t="s">
        <v>3196</v>
      </c>
      <c r="L3062" s="9" t="s">
        <v>30</v>
      </c>
      <c r="M3062" s="9" t="s">
        <v>31</v>
      </c>
      <c r="N3062" s="9" t="s">
        <v>32</v>
      </c>
      <c r="O3062" s="12" t="s">
        <v>33</v>
      </c>
      <c r="P3062" s="12" t="s">
        <v>34</v>
      </c>
      <c r="Q3062" s="9"/>
      <c r="R3062" s="18"/>
      <c r="S3062" s="18"/>
      <c r="T3062" s="18"/>
      <c r="U3062" s="18"/>
      <c r="V3062" s="18"/>
      <c r="W3062" s="15"/>
      <c r="X3062" s="15"/>
    </row>
    <row r="3063">
      <c r="A3063" s="7">
        <v>3062.0</v>
      </c>
      <c r="B3063" s="8" t="s">
        <v>12823</v>
      </c>
      <c r="C3063" s="9" t="s">
        <v>12824</v>
      </c>
      <c r="D3063" s="10" t="str">
        <f>HYPERLINK("https://facebook.com/367089020688300_559416608122206", "367089020688300_559416608122206")</f>
        <v>367089020688300_559416608122206</v>
      </c>
      <c r="E3063" s="11">
        <v>214.0</v>
      </c>
      <c r="F3063" s="11">
        <v>0.0</v>
      </c>
      <c r="G3063" s="11">
        <v>97.0</v>
      </c>
      <c r="H3063" s="9" t="s">
        <v>26</v>
      </c>
      <c r="I3063" s="9" t="s">
        <v>12130</v>
      </c>
      <c r="J3063" s="16" t="s">
        <v>12131</v>
      </c>
      <c r="K3063" s="9"/>
      <c r="L3063" s="9" t="s">
        <v>30</v>
      </c>
      <c r="M3063" s="9" t="s">
        <v>31</v>
      </c>
      <c r="N3063" s="9" t="s">
        <v>32</v>
      </c>
      <c r="O3063" s="12" t="s">
        <v>33</v>
      </c>
      <c r="P3063" s="12" t="s">
        <v>34</v>
      </c>
      <c r="Q3063" s="9"/>
      <c r="R3063" s="18"/>
      <c r="S3063" s="18"/>
      <c r="T3063" s="18"/>
      <c r="U3063" s="18"/>
      <c r="V3063" s="18"/>
      <c r="W3063" s="15"/>
      <c r="X3063" s="15"/>
    </row>
    <row r="3064">
      <c r="A3064" s="7">
        <v>3063.0</v>
      </c>
      <c r="B3064" s="8" t="s">
        <v>12825</v>
      </c>
      <c r="C3064" s="9" t="s">
        <v>12826</v>
      </c>
      <c r="D3064" s="10" t="str">
        <f>HYPERLINK("https://facebook.com/367089020688300_506178503446017", "367089020688300_506178503446017")</f>
        <v>367089020688300_506178503446017</v>
      </c>
      <c r="E3064" s="11">
        <v>1359.0</v>
      </c>
      <c r="F3064" s="11">
        <v>21.0</v>
      </c>
      <c r="G3064" s="11">
        <v>1994.0</v>
      </c>
      <c r="H3064" s="9" t="s">
        <v>26</v>
      </c>
      <c r="I3064" s="9" t="s">
        <v>12827</v>
      </c>
      <c r="J3064" s="9" t="s">
        <v>12828</v>
      </c>
      <c r="K3064" s="9" t="s">
        <v>12517</v>
      </c>
      <c r="L3064" s="9" t="s">
        <v>30</v>
      </c>
      <c r="M3064" s="9" t="s">
        <v>31</v>
      </c>
      <c r="N3064" s="9" t="s">
        <v>32</v>
      </c>
      <c r="O3064" s="12" t="s">
        <v>33</v>
      </c>
      <c r="P3064" s="12" t="s">
        <v>34</v>
      </c>
      <c r="Q3064" s="9"/>
      <c r="R3064" s="18"/>
      <c r="S3064" s="18"/>
      <c r="T3064" s="18"/>
      <c r="U3064" s="18"/>
      <c r="V3064" s="18"/>
      <c r="W3064" s="15"/>
      <c r="X3064" s="15"/>
    </row>
    <row r="3065">
      <c r="A3065" s="7">
        <v>3064.0</v>
      </c>
      <c r="B3065" s="8" t="s">
        <v>12829</v>
      </c>
      <c r="C3065" s="9" t="s">
        <v>12830</v>
      </c>
      <c r="D3065" s="10" t="str">
        <f>HYPERLINK("https://facebook.com/367089020688300_548204445910089", "367089020688300_548204445910089")</f>
        <v>367089020688300_548204445910089</v>
      </c>
      <c r="E3065" s="11">
        <v>8.0</v>
      </c>
      <c r="F3065" s="11">
        <v>0.0</v>
      </c>
      <c r="G3065" s="11">
        <v>3.0</v>
      </c>
      <c r="H3065" s="9" t="s">
        <v>26</v>
      </c>
      <c r="I3065" s="9" t="s">
        <v>12831</v>
      </c>
      <c r="J3065" s="9" t="s">
        <v>12832</v>
      </c>
      <c r="K3065" s="9" t="s">
        <v>249</v>
      </c>
      <c r="L3065" s="9" t="s">
        <v>30</v>
      </c>
      <c r="M3065" s="9" t="s">
        <v>31</v>
      </c>
      <c r="N3065" s="9" t="s">
        <v>32</v>
      </c>
      <c r="O3065" s="12" t="s">
        <v>33</v>
      </c>
      <c r="P3065" s="12" t="s">
        <v>34</v>
      </c>
      <c r="Q3065" s="9"/>
      <c r="R3065" s="18"/>
      <c r="S3065" s="18"/>
      <c r="T3065" s="18"/>
      <c r="U3065" s="18"/>
      <c r="V3065" s="18"/>
      <c r="W3065" s="15"/>
      <c r="X3065" s="15"/>
    </row>
    <row r="3066">
      <c r="A3066" s="7">
        <v>3065.0</v>
      </c>
      <c r="B3066" s="8" t="s">
        <v>12833</v>
      </c>
      <c r="C3066" s="9" t="s">
        <v>12834</v>
      </c>
      <c r="D3066" s="10" t="str">
        <f>HYPERLINK("https://facebook.com/367089020688300_520495155347685", "367089020688300_520495155347685")</f>
        <v>367089020688300_520495155347685</v>
      </c>
      <c r="E3066" s="11">
        <v>702.0</v>
      </c>
      <c r="F3066" s="11">
        <v>1.0</v>
      </c>
      <c r="G3066" s="11">
        <v>369.0</v>
      </c>
      <c r="H3066" s="9" t="s">
        <v>26</v>
      </c>
      <c r="I3066" s="9" t="s">
        <v>10831</v>
      </c>
      <c r="J3066" s="16" t="s">
        <v>10832</v>
      </c>
      <c r="K3066" s="9"/>
      <c r="L3066" s="9" t="s">
        <v>30</v>
      </c>
      <c r="M3066" s="9" t="s">
        <v>31</v>
      </c>
      <c r="N3066" s="9" t="s">
        <v>32</v>
      </c>
      <c r="O3066" s="12" t="s">
        <v>33</v>
      </c>
      <c r="P3066" s="12" t="s">
        <v>34</v>
      </c>
      <c r="Q3066" s="9"/>
      <c r="R3066" s="18"/>
      <c r="S3066" s="18"/>
      <c r="T3066" s="18"/>
      <c r="U3066" s="18"/>
      <c r="V3066" s="18"/>
      <c r="W3066" s="15"/>
      <c r="X3066" s="15"/>
    </row>
    <row r="3067">
      <c r="A3067" s="7">
        <v>3066.0</v>
      </c>
      <c r="B3067" s="8" t="s">
        <v>12835</v>
      </c>
      <c r="C3067" s="9" t="s">
        <v>12836</v>
      </c>
      <c r="D3067" s="10" t="str">
        <f>HYPERLINK("https://facebook.com/367089020688300_538086113588589", "367089020688300_538086113588589")</f>
        <v>367089020688300_538086113588589</v>
      </c>
      <c r="E3067" s="11">
        <v>12.0</v>
      </c>
      <c r="F3067" s="11">
        <v>0.0</v>
      </c>
      <c r="G3067" s="11">
        <v>6.0</v>
      </c>
      <c r="H3067" s="9" t="s">
        <v>26</v>
      </c>
      <c r="I3067" s="9" t="s">
        <v>12837</v>
      </c>
      <c r="J3067" s="16" t="s">
        <v>12838</v>
      </c>
      <c r="K3067" s="9"/>
      <c r="L3067" s="9" t="s">
        <v>30</v>
      </c>
      <c r="M3067" s="9" t="s">
        <v>31</v>
      </c>
      <c r="N3067" s="9" t="s">
        <v>32</v>
      </c>
      <c r="O3067" s="12" t="s">
        <v>33</v>
      </c>
      <c r="P3067" s="12" t="s">
        <v>34</v>
      </c>
      <c r="Q3067" s="9"/>
      <c r="R3067" s="18"/>
      <c r="S3067" s="18"/>
      <c r="T3067" s="18"/>
      <c r="U3067" s="18"/>
      <c r="V3067" s="18"/>
      <c r="W3067" s="15"/>
      <c r="X3067" s="15"/>
    </row>
    <row r="3068">
      <c r="A3068" s="7">
        <v>3067.0</v>
      </c>
      <c r="B3068" s="8" t="s">
        <v>12839</v>
      </c>
      <c r="C3068" s="9" t="s">
        <v>12840</v>
      </c>
      <c r="D3068" s="10" t="str">
        <f>HYPERLINK("https://facebook.com/367089020688300_517036252360242", "367089020688300_517036252360242")</f>
        <v>367089020688300_517036252360242</v>
      </c>
      <c r="E3068" s="11">
        <v>1044.0</v>
      </c>
      <c r="F3068" s="11">
        <v>41.0</v>
      </c>
      <c r="G3068" s="11">
        <v>1075.0</v>
      </c>
      <c r="H3068" s="9" t="s">
        <v>26</v>
      </c>
      <c r="I3068" s="9" t="s">
        <v>12841</v>
      </c>
      <c r="J3068" s="9" t="s">
        <v>12842</v>
      </c>
      <c r="K3068" s="9" t="s">
        <v>12843</v>
      </c>
      <c r="L3068" s="9" t="s">
        <v>30</v>
      </c>
      <c r="M3068" s="9" t="s">
        <v>31</v>
      </c>
      <c r="N3068" s="9" t="s">
        <v>32</v>
      </c>
      <c r="O3068" s="12" t="s">
        <v>33</v>
      </c>
      <c r="P3068" s="12" t="s">
        <v>34</v>
      </c>
      <c r="Q3068" s="9"/>
      <c r="R3068" s="18"/>
      <c r="S3068" s="18"/>
      <c r="T3068" s="18"/>
      <c r="U3068" s="18"/>
      <c r="V3068" s="18"/>
      <c r="W3068" s="15"/>
      <c r="X3068" s="15"/>
    </row>
    <row r="3069">
      <c r="A3069" s="7">
        <v>3068.0</v>
      </c>
      <c r="B3069" s="8" t="s">
        <v>12844</v>
      </c>
      <c r="C3069" s="9" t="s">
        <v>12845</v>
      </c>
      <c r="D3069" s="10" t="str">
        <f>HYPERLINK("https://facebook.com/367089020688300_513610469369487", "367089020688300_513610469369487")</f>
        <v>367089020688300_513610469369487</v>
      </c>
      <c r="E3069" s="11">
        <v>198.0</v>
      </c>
      <c r="F3069" s="11">
        <v>0.0</v>
      </c>
      <c r="G3069" s="11">
        <v>234.0</v>
      </c>
      <c r="H3069" s="9" t="s">
        <v>26</v>
      </c>
      <c r="I3069" s="9" t="s">
        <v>12846</v>
      </c>
      <c r="J3069" s="9" t="s">
        <v>12847</v>
      </c>
      <c r="K3069" s="9" t="s">
        <v>12848</v>
      </c>
      <c r="L3069" s="9" t="s">
        <v>30</v>
      </c>
      <c r="M3069" s="9" t="s">
        <v>31</v>
      </c>
      <c r="N3069" s="9" t="s">
        <v>32</v>
      </c>
      <c r="O3069" s="12" t="s">
        <v>33</v>
      </c>
      <c r="P3069" s="12" t="s">
        <v>34</v>
      </c>
      <c r="Q3069" s="9"/>
      <c r="R3069" s="18"/>
      <c r="S3069" s="18"/>
      <c r="T3069" s="18"/>
      <c r="U3069" s="18"/>
      <c r="V3069" s="18"/>
      <c r="W3069" s="15"/>
      <c r="X3069" s="15"/>
    </row>
    <row r="3070">
      <c r="A3070" s="7">
        <v>3069.0</v>
      </c>
      <c r="B3070" s="8" t="s">
        <v>12849</v>
      </c>
      <c r="C3070" s="9" t="s">
        <v>12850</v>
      </c>
      <c r="D3070" s="10" t="str">
        <f>HYPERLINK("https://facebook.com/367089020688300_548111899252677", "367089020688300_548111899252677")</f>
        <v>367089020688300_548111899252677</v>
      </c>
      <c r="E3070" s="11">
        <v>44.0</v>
      </c>
      <c r="F3070" s="11">
        <v>0.0</v>
      </c>
      <c r="G3070" s="11">
        <v>16.0</v>
      </c>
      <c r="H3070" s="9" t="s">
        <v>26</v>
      </c>
      <c r="I3070" s="9" t="s">
        <v>7795</v>
      </c>
      <c r="J3070" s="16" t="s">
        <v>7796</v>
      </c>
      <c r="K3070" s="9"/>
      <c r="L3070" s="9" t="s">
        <v>30</v>
      </c>
      <c r="M3070" s="9" t="s">
        <v>31</v>
      </c>
      <c r="N3070" s="9" t="s">
        <v>32</v>
      </c>
      <c r="O3070" s="12" t="s">
        <v>33</v>
      </c>
      <c r="P3070" s="12" t="s">
        <v>34</v>
      </c>
      <c r="Q3070" s="9"/>
      <c r="R3070" s="18"/>
      <c r="S3070" s="18"/>
      <c r="T3070" s="18"/>
      <c r="U3070" s="18"/>
      <c r="V3070" s="18"/>
      <c r="W3070" s="15"/>
      <c r="X3070" s="15"/>
    </row>
    <row r="3071">
      <c r="A3071" s="7">
        <v>3070.0</v>
      </c>
      <c r="B3071" s="8" t="s">
        <v>12851</v>
      </c>
      <c r="C3071" s="9" t="s">
        <v>12852</v>
      </c>
      <c r="D3071" s="10" t="str">
        <f>HYPERLINK("https://facebook.com/367089020688300_367292197334649", "367089020688300_367292197334649")</f>
        <v>367089020688300_367292197334649</v>
      </c>
      <c r="E3071" s="11">
        <v>364.0</v>
      </c>
      <c r="F3071" s="11">
        <v>3.0</v>
      </c>
      <c r="G3071" s="11">
        <v>512.0</v>
      </c>
      <c r="H3071" s="9" t="s">
        <v>26</v>
      </c>
      <c r="I3071" s="9" t="s">
        <v>12853</v>
      </c>
      <c r="J3071" s="16" t="s">
        <v>12854</v>
      </c>
      <c r="K3071" s="9"/>
      <c r="L3071" s="9" t="s">
        <v>30</v>
      </c>
      <c r="M3071" s="9" t="s">
        <v>31</v>
      </c>
      <c r="N3071" s="9" t="s">
        <v>32</v>
      </c>
      <c r="O3071" s="12" t="s">
        <v>33</v>
      </c>
      <c r="P3071" s="12" t="s">
        <v>34</v>
      </c>
      <c r="Q3071" s="9"/>
      <c r="R3071" s="18"/>
      <c r="S3071" s="18"/>
      <c r="T3071" s="18"/>
      <c r="U3071" s="18"/>
      <c r="V3071" s="18"/>
      <c r="W3071" s="15"/>
      <c r="X3071" s="15"/>
    </row>
    <row r="3072">
      <c r="A3072" s="7">
        <v>3071.0</v>
      </c>
      <c r="B3072" s="8" t="s">
        <v>12855</v>
      </c>
      <c r="C3072" s="9" t="s">
        <v>12856</v>
      </c>
      <c r="D3072" s="10" t="str">
        <f>HYPERLINK("https://facebook.com/367089020688300_410376036359598", "367089020688300_410376036359598")</f>
        <v>367089020688300_410376036359598</v>
      </c>
      <c r="E3072" s="11">
        <v>63.0</v>
      </c>
      <c r="F3072" s="11">
        <v>0.0</v>
      </c>
      <c r="G3072" s="11">
        <v>56.0</v>
      </c>
      <c r="H3072" s="9" t="s">
        <v>26</v>
      </c>
      <c r="I3072" s="9" t="s">
        <v>12857</v>
      </c>
      <c r="J3072" s="9" t="s">
        <v>12858</v>
      </c>
      <c r="K3072" s="9" t="s">
        <v>12859</v>
      </c>
      <c r="L3072" s="9" t="s">
        <v>30</v>
      </c>
      <c r="M3072" s="9" t="s">
        <v>31</v>
      </c>
      <c r="N3072" s="9" t="s">
        <v>32</v>
      </c>
      <c r="O3072" s="12" t="s">
        <v>33</v>
      </c>
      <c r="P3072" s="12" t="s">
        <v>34</v>
      </c>
      <c r="Q3072" s="9"/>
      <c r="R3072" s="18"/>
      <c r="S3072" s="18"/>
      <c r="T3072" s="18"/>
      <c r="U3072" s="18"/>
      <c r="V3072" s="18"/>
      <c r="W3072" s="15"/>
      <c r="X3072" s="15"/>
    </row>
    <row r="3073">
      <c r="A3073" s="7">
        <v>3072.0</v>
      </c>
      <c r="B3073" s="8" t="s">
        <v>12860</v>
      </c>
      <c r="C3073" s="9" t="s">
        <v>12861</v>
      </c>
      <c r="D3073" s="10" t="str">
        <f>HYPERLINK("https://facebook.com/367089020688300_425318574865344", "367089020688300_425318574865344")</f>
        <v>367089020688300_425318574865344</v>
      </c>
      <c r="E3073" s="11">
        <v>306.0</v>
      </c>
      <c r="F3073" s="11">
        <v>7.0</v>
      </c>
      <c r="G3073" s="11">
        <v>363.0</v>
      </c>
      <c r="H3073" s="9" t="s">
        <v>26</v>
      </c>
      <c r="I3073" s="9" t="s">
        <v>12862</v>
      </c>
      <c r="J3073" s="9" t="s">
        <v>12863</v>
      </c>
      <c r="K3073" s="9" t="s">
        <v>476</v>
      </c>
      <c r="L3073" s="9" t="s">
        <v>30</v>
      </c>
      <c r="M3073" s="9" t="s">
        <v>31</v>
      </c>
      <c r="N3073" s="9" t="s">
        <v>32</v>
      </c>
      <c r="O3073" s="12" t="s">
        <v>33</v>
      </c>
      <c r="P3073" s="12" t="s">
        <v>34</v>
      </c>
      <c r="Q3073" s="9"/>
      <c r="R3073" s="18"/>
      <c r="S3073" s="18"/>
      <c r="T3073" s="18"/>
      <c r="U3073" s="18"/>
      <c r="V3073" s="18"/>
      <c r="W3073" s="15"/>
      <c r="X3073" s="15"/>
    </row>
    <row r="3074">
      <c r="A3074" s="7">
        <v>3073.0</v>
      </c>
      <c r="B3074" s="8" t="s">
        <v>12864</v>
      </c>
      <c r="C3074" s="9" t="s">
        <v>12865</v>
      </c>
      <c r="D3074" s="10" t="str">
        <f>HYPERLINK("https://facebook.com/367089020688300_536176300446237", "367089020688300_536176300446237")</f>
        <v>367089020688300_536176300446237</v>
      </c>
      <c r="E3074" s="11">
        <v>55.0</v>
      </c>
      <c r="F3074" s="11">
        <v>0.0</v>
      </c>
      <c r="G3074" s="11">
        <v>30.0</v>
      </c>
      <c r="H3074" s="9" t="s">
        <v>26</v>
      </c>
      <c r="I3074" s="9" t="s">
        <v>5759</v>
      </c>
      <c r="J3074" s="16" t="s">
        <v>9265</v>
      </c>
      <c r="K3074" s="9"/>
      <c r="L3074" s="9" t="s">
        <v>30</v>
      </c>
      <c r="M3074" s="9" t="s">
        <v>31</v>
      </c>
      <c r="N3074" s="9" t="s">
        <v>32</v>
      </c>
      <c r="O3074" s="12" t="s">
        <v>33</v>
      </c>
      <c r="P3074" s="12" t="s">
        <v>34</v>
      </c>
      <c r="Q3074" s="9"/>
      <c r="R3074" s="18"/>
      <c r="S3074" s="18"/>
      <c r="T3074" s="18"/>
      <c r="U3074" s="18"/>
      <c r="V3074" s="18"/>
      <c r="W3074" s="15"/>
      <c r="X3074" s="15"/>
    </row>
    <row r="3075">
      <c r="A3075" s="7">
        <v>3074.0</v>
      </c>
      <c r="B3075" s="8" t="s">
        <v>12866</v>
      </c>
      <c r="C3075" s="9" t="s">
        <v>12867</v>
      </c>
      <c r="D3075" s="10" t="str">
        <f>HYPERLINK("https://facebook.com/367089020688300_522938511770016", "367089020688300_522938511770016")</f>
        <v>367089020688300_522938511770016</v>
      </c>
      <c r="E3075" s="11">
        <v>712.0</v>
      </c>
      <c r="F3075" s="11">
        <v>14.0</v>
      </c>
      <c r="G3075" s="11">
        <v>415.0</v>
      </c>
      <c r="H3075" s="9" t="s">
        <v>26</v>
      </c>
      <c r="I3075" s="9" t="s">
        <v>12868</v>
      </c>
      <c r="J3075" s="9" t="s">
        <v>12869</v>
      </c>
      <c r="K3075" s="9" t="s">
        <v>249</v>
      </c>
      <c r="L3075" s="9" t="s">
        <v>30</v>
      </c>
      <c r="M3075" s="9" t="s">
        <v>31</v>
      </c>
      <c r="N3075" s="9" t="s">
        <v>32</v>
      </c>
      <c r="O3075" s="12" t="s">
        <v>33</v>
      </c>
      <c r="P3075" s="12" t="s">
        <v>34</v>
      </c>
      <c r="Q3075" s="9"/>
      <c r="R3075" s="18"/>
      <c r="S3075" s="18"/>
      <c r="T3075" s="18"/>
      <c r="U3075" s="18"/>
      <c r="V3075" s="18"/>
      <c r="W3075" s="15"/>
      <c r="X3075" s="15"/>
    </row>
    <row r="3076">
      <c r="A3076" s="7">
        <v>3075.0</v>
      </c>
      <c r="B3076" s="8" t="s">
        <v>12870</v>
      </c>
      <c r="C3076" s="9" t="s">
        <v>12871</v>
      </c>
      <c r="D3076" s="10" t="str">
        <f>HYPERLINK("https://facebook.com/367089020688300_375419139855288", "367089020688300_375419139855288")</f>
        <v>367089020688300_375419139855288</v>
      </c>
      <c r="E3076" s="11">
        <v>194.0</v>
      </c>
      <c r="F3076" s="11">
        <v>0.0</v>
      </c>
      <c r="G3076" s="11">
        <v>264.0</v>
      </c>
      <c r="H3076" s="9" t="s">
        <v>26</v>
      </c>
      <c r="I3076" s="9" t="s">
        <v>9534</v>
      </c>
      <c r="J3076" s="16" t="s">
        <v>12872</v>
      </c>
      <c r="K3076" s="9"/>
      <c r="L3076" s="9" t="s">
        <v>30</v>
      </c>
      <c r="M3076" s="9" t="s">
        <v>31</v>
      </c>
      <c r="N3076" s="9" t="s">
        <v>32</v>
      </c>
      <c r="O3076" s="12" t="s">
        <v>33</v>
      </c>
      <c r="P3076" s="12" t="s">
        <v>34</v>
      </c>
      <c r="Q3076" s="9"/>
      <c r="R3076" s="18"/>
      <c r="S3076" s="18"/>
      <c r="T3076" s="18"/>
      <c r="U3076" s="18"/>
      <c r="V3076" s="18"/>
      <c r="W3076" s="15"/>
      <c r="X3076" s="15"/>
    </row>
    <row r="3077">
      <c r="A3077" s="7">
        <v>3076.0</v>
      </c>
      <c r="B3077" s="8" t="s">
        <v>12873</v>
      </c>
      <c r="C3077" s="9" t="s">
        <v>12874</v>
      </c>
      <c r="D3077" s="10" t="str">
        <f>HYPERLINK("https://facebook.com/367089020688300_548529042544296", "367089020688300_548529042544296")</f>
        <v>367089020688300_548529042544296</v>
      </c>
      <c r="E3077" s="11">
        <v>119.0</v>
      </c>
      <c r="F3077" s="11">
        <v>0.0</v>
      </c>
      <c r="G3077" s="11">
        <v>82.0</v>
      </c>
      <c r="H3077" s="9" t="s">
        <v>26</v>
      </c>
      <c r="I3077" s="9" t="s">
        <v>12875</v>
      </c>
      <c r="J3077" s="9" t="s">
        <v>12876</v>
      </c>
      <c r="K3077" s="9" t="s">
        <v>12877</v>
      </c>
      <c r="L3077" s="9" t="s">
        <v>30</v>
      </c>
      <c r="M3077" s="9" t="s">
        <v>31</v>
      </c>
      <c r="N3077" s="9" t="s">
        <v>32</v>
      </c>
      <c r="O3077" s="12" t="s">
        <v>33</v>
      </c>
      <c r="P3077" s="12" t="s">
        <v>34</v>
      </c>
      <c r="Q3077" s="9"/>
      <c r="R3077" s="18"/>
      <c r="S3077" s="18"/>
      <c r="T3077" s="18"/>
      <c r="U3077" s="18"/>
      <c r="V3077" s="18"/>
      <c r="W3077" s="15"/>
      <c r="X3077" s="15"/>
    </row>
    <row r="3078">
      <c r="A3078" s="7">
        <v>3077.0</v>
      </c>
      <c r="B3078" s="8" t="s">
        <v>12878</v>
      </c>
      <c r="C3078" s="9" t="s">
        <v>12879</v>
      </c>
      <c r="D3078" s="10" t="str">
        <f>HYPERLINK("https://facebook.com/367089020688300_562851881112012", "367089020688300_562851881112012")</f>
        <v>367089020688300_562851881112012</v>
      </c>
      <c r="E3078" s="11">
        <v>171.0</v>
      </c>
      <c r="F3078" s="11">
        <v>2.0</v>
      </c>
      <c r="G3078" s="11">
        <v>227.0</v>
      </c>
      <c r="H3078" s="9" t="s">
        <v>26</v>
      </c>
      <c r="I3078" s="9" t="s">
        <v>12880</v>
      </c>
      <c r="J3078" s="9" t="s">
        <v>12881</v>
      </c>
      <c r="K3078" s="9" t="s">
        <v>663</v>
      </c>
      <c r="L3078" s="9" t="s">
        <v>30</v>
      </c>
      <c r="M3078" s="9" t="s">
        <v>31</v>
      </c>
      <c r="N3078" s="9" t="s">
        <v>32</v>
      </c>
      <c r="O3078" s="12" t="s">
        <v>33</v>
      </c>
      <c r="P3078" s="12" t="s">
        <v>34</v>
      </c>
      <c r="Q3078" s="9"/>
      <c r="R3078" s="18"/>
      <c r="S3078" s="18"/>
      <c r="T3078" s="18"/>
      <c r="U3078" s="18"/>
      <c r="V3078" s="18"/>
      <c r="W3078" s="15"/>
      <c r="X3078" s="15"/>
    </row>
    <row r="3079">
      <c r="A3079" s="7">
        <v>3078.0</v>
      </c>
      <c r="B3079" s="8" t="s">
        <v>12882</v>
      </c>
      <c r="C3079" s="9" t="s">
        <v>12883</v>
      </c>
      <c r="D3079" s="10" t="str">
        <f>HYPERLINK("https://facebook.com/367089020688300_548524652544735", "367089020688300_548524652544735")</f>
        <v>367089020688300_548524652544735</v>
      </c>
      <c r="E3079" s="11">
        <v>66.0</v>
      </c>
      <c r="F3079" s="11">
        <v>0.0</v>
      </c>
      <c r="G3079" s="11">
        <v>46.0</v>
      </c>
      <c r="H3079" s="9" t="s">
        <v>26</v>
      </c>
      <c r="I3079" s="9" t="s">
        <v>12884</v>
      </c>
      <c r="J3079" s="9" t="s">
        <v>12885</v>
      </c>
      <c r="K3079" s="9" t="s">
        <v>12886</v>
      </c>
      <c r="L3079" s="9" t="s">
        <v>30</v>
      </c>
      <c r="M3079" s="9" t="s">
        <v>31</v>
      </c>
      <c r="N3079" s="9" t="s">
        <v>32</v>
      </c>
      <c r="O3079" s="12" t="s">
        <v>33</v>
      </c>
      <c r="P3079" s="12" t="s">
        <v>34</v>
      </c>
      <c r="Q3079" s="9"/>
      <c r="R3079" s="18"/>
      <c r="S3079" s="18"/>
      <c r="T3079" s="18"/>
      <c r="U3079" s="18"/>
      <c r="V3079" s="18"/>
      <c r="W3079" s="15"/>
      <c r="X3079" s="15"/>
    </row>
    <row r="3080">
      <c r="A3080" s="7">
        <v>3079.0</v>
      </c>
      <c r="B3080" s="8" t="s">
        <v>12887</v>
      </c>
      <c r="C3080" s="9" t="s">
        <v>12888</v>
      </c>
      <c r="D3080" s="10" t="str">
        <f>HYPERLINK("https://facebook.com/367089020688300_547977429266124", "367089020688300_547977429266124")</f>
        <v>367089020688300_547977429266124</v>
      </c>
      <c r="E3080" s="11">
        <v>111.0</v>
      </c>
      <c r="F3080" s="11">
        <v>0.0</v>
      </c>
      <c r="G3080" s="11">
        <v>48.0</v>
      </c>
      <c r="H3080" s="9" t="s">
        <v>26</v>
      </c>
      <c r="I3080" s="9" t="s">
        <v>12889</v>
      </c>
      <c r="J3080" s="16" t="s">
        <v>12890</v>
      </c>
      <c r="K3080" s="9"/>
      <c r="L3080" s="9" t="s">
        <v>30</v>
      </c>
      <c r="M3080" s="9" t="s">
        <v>31</v>
      </c>
      <c r="N3080" s="9" t="s">
        <v>32</v>
      </c>
      <c r="O3080" s="12" t="s">
        <v>33</v>
      </c>
      <c r="P3080" s="12" t="s">
        <v>34</v>
      </c>
      <c r="Q3080" s="9"/>
      <c r="R3080" s="18"/>
      <c r="S3080" s="18"/>
      <c r="T3080" s="18"/>
      <c r="U3080" s="18"/>
      <c r="V3080" s="18"/>
      <c r="W3080" s="15"/>
      <c r="X3080" s="15"/>
    </row>
    <row r="3081">
      <c r="A3081" s="7">
        <v>3080.0</v>
      </c>
      <c r="B3081" s="8" t="s">
        <v>12891</v>
      </c>
      <c r="C3081" s="9" t="s">
        <v>12892</v>
      </c>
      <c r="D3081" s="10" t="str">
        <f>HYPERLINK("https://facebook.com/367089020688300_558712981525902", "367089020688300_558712981525902")</f>
        <v>367089020688300_558712981525902</v>
      </c>
      <c r="E3081" s="11">
        <v>15.0</v>
      </c>
      <c r="F3081" s="11">
        <v>0.0</v>
      </c>
      <c r="G3081" s="11">
        <v>14.0</v>
      </c>
      <c r="H3081" s="9" t="s">
        <v>26</v>
      </c>
      <c r="I3081" s="9" t="s">
        <v>12893</v>
      </c>
      <c r="J3081" s="16" t="s">
        <v>12894</v>
      </c>
      <c r="K3081" s="9"/>
      <c r="L3081" s="9" t="s">
        <v>30</v>
      </c>
      <c r="M3081" s="9" t="s">
        <v>31</v>
      </c>
      <c r="N3081" s="9" t="s">
        <v>32</v>
      </c>
      <c r="O3081" s="12" t="s">
        <v>33</v>
      </c>
      <c r="P3081" s="12" t="s">
        <v>34</v>
      </c>
      <c r="Q3081" s="9"/>
      <c r="R3081" s="18"/>
      <c r="S3081" s="18"/>
      <c r="T3081" s="18"/>
      <c r="U3081" s="18"/>
      <c r="V3081" s="18"/>
      <c r="W3081" s="15"/>
      <c r="X3081" s="15"/>
    </row>
    <row r="3082">
      <c r="A3082" s="7">
        <v>3081.0</v>
      </c>
      <c r="B3082" s="8" t="s">
        <v>12895</v>
      </c>
      <c r="C3082" s="9" t="s">
        <v>12896</v>
      </c>
      <c r="D3082" s="10" t="str">
        <f>HYPERLINK("https://facebook.com/367089020688300_542030376527496", "367089020688300_542030376527496")</f>
        <v>367089020688300_542030376527496</v>
      </c>
      <c r="E3082" s="11">
        <v>2.0</v>
      </c>
      <c r="F3082" s="11">
        <v>0.0</v>
      </c>
      <c r="G3082" s="11">
        <v>1.0</v>
      </c>
      <c r="H3082" s="9" t="s">
        <v>26</v>
      </c>
      <c r="I3082" s="9" t="s">
        <v>12897</v>
      </c>
      <c r="J3082" s="16" t="s">
        <v>12898</v>
      </c>
      <c r="K3082" s="9"/>
      <c r="L3082" s="9" t="s">
        <v>30</v>
      </c>
      <c r="M3082" s="9" t="s">
        <v>31</v>
      </c>
      <c r="N3082" s="9" t="s">
        <v>32</v>
      </c>
      <c r="O3082" s="12" t="s">
        <v>33</v>
      </c>
      <c r="P3082" s="12" t="s">
        <v>34</v>
      </c>
      <c r="Q3082" s="9"/>
      <c r="R3082" s="18"/>
      <c r="S3082" s="18"/>
      <c r="T3082" s="18"/>
      <c r="U3082" s="18"/>
      <c r="V3082" s="18"/>
      <c r="W3082" s="15"/>
      <c r="X3082" s="15"/>
    </row>
    <row r="3083">
      <c r="A3083" s="7">
        <v>3082.0</v>
      </c>
      <c r="B3083" s="8" t="s">
        <v>12899</v>
      </c>
      <c r="C3083" s="9" t="s">
        <v>12900</v>
      </c>
      <c r="D3083" s="10" t="str">
        <f>HYPERLINK("https://facebook.com/367089020688300_443417739722094", "367089020688300_443417739722094")</f>
        <v>367089020688300_443417739722094</v>
      </c>
      <c r="E3083" s="11">
        <v>263.0</v>
      </c>
      <c r="F3083" s="11">
        <v>8.0</v>
      </c>
      <c r="G3083" s="11">
        <v>439.0</v>
      </c>
      <c r="H3083" s="9" t="s">
        <v>26</v>
      </c>
      <c r="I3083" s="9" t="s">
        <v>12901</v>
      </c>
      <c r="J3083" s="9" t="s">
        <v>12902</v>
      </c>
      <c r="K3083" s="9" t="s">
        <v>12903</v>
      </c>
      <c r="L3083" s="9" t="s">
        <v>30</v>
      </c>
      <c r="M3083" s="9" t="s">
        <v>31</v>
      </c>
      <c r="N3083" s="9" t="s">
        <v>32</v>
      </c>
      <c r="O3083" s="12" t="s">
        <v>33</v>
      </c>
      <c r="P3083" s="12" t="s">
        <v>34</v>
      </c>
      <c r="Q3083" s="9"/>
      <c r="R3083" s="18"/>
      <c r="S3083" s="18"/>
      <c r="T3083" s="18"/>
      <c r="U3083" s="18"/>
      <c r="V3083" s="18"/>
      <c r="W3083" s="15"/>
      <c r="X3083" s="15"/>
    </row>
    <row r="3084">
      <c r="A3084" s="7">
        <v>3083.0</v>
      </c>
      <c r="B3084" s="8" t="s">
        <v>12904</v>
      </c>
      <c r="C3084" s="9" t="s">
        <v>12905</v>
      </c>
      <c r="D3084" s="10" t="str">
        <f>HYPERLINK("https://facebook.com/367089020688300_563262434404290", "367089020688300_563262434404290")</f>
        <v>367089020688300_563262434404290</v>
      </c>
      <c r="E3084" s="11">
        <v>325.0</v>
      </c>
      <c r="F3084" s="11">
        <v>2.0</v>
      </c>
      <c r="G3084" s="11">
        <v>177.0</v>
      </c>
      <c r="H3084" s="9" t="s">
        <v>26</v>
      </c>
      <c r="I3084" s="9" t="s">
        <v>4516</v>
      </c>
      <c r="J3084" s="9" t="s">
        <v>4517</v>
      </c>
      <c r="K3084" s="9" t="s">
        <v>12906</v>
      </c>
      <c r="L3084" s="9" t="s">
        <v>30</v>
      </c>
      <c r="M3084" s="9" t="s">
        <v>31</v>
      </c>
      <c r="N3084" s="9" t="s">
        <v>32</v>
      </c>
      <c r="O3084" s="12" t="s">
        <v>33</v>
      </c>
      <c r="P3084" s="12" t="s">
        <v>34</v>
      </c>
      <c r="Q3084" s="9"/>
      <c r="R3084" s="18"/>
      <c r="S3084" s="18"/>
      <c r="T3084" s="18"/>
      <c r="U3084" s="18"/>
      <c r="V3084" s="18"/>
      <c r="W3084" s="15"/>
      <c r="X3084" s="15"/>
    </row>
    <row r="3085">
      <c r="A3085" s="7">
        <v>3084.0</v>
      </c>
      <c r="B3085" s="8" t="s">
        <v>12907</v>
      </c>
      <c r="C3085" s="9" t="s">
        <v>12908</v>
      </c>
      <c r="D3085" s="10" t="str">
        <f>HYPERLINK("https://facebook.com/367089020688300_541657799898087", "367089020688300_541657799898087")</f>
        <v>367089020688300_541657799898087</v>
      </c>
      <c r="E3085" s="11">
        <v>728.0</v>
      </c>
      <c r="F3085" s="11">
        <v>12.0</v>
      </c>
      <c r="G3085" s="11">
        <v>853.0</v>
      </c>
      <c r="H3085" s="9" t="s">
        <v>26</v>
      </c>
      <c r="I3085" s="9" t="s">
        <v>12909</v>
      </c>
      <c r="J3085" s="16" t="s">
        <v>12910</v>
      </c>
      <c r="K3085" s="9"/>
      <c r="L3085" s="9" t="s">
        <v>30</v>
      </c>
      <c r="M3085" s="9" t="s">
        <v>31</v>
      </c>
      <c r="N3085" s="9" t="s">
        <v>32</v>
      </c>
      <c r="O3085" s="12" t="s">
        <v>33</v>
      </c>
      <c r="P3085" s="12" t="s">
        <v>34</v>
      </c>
      <c r="Q3085" s="9"/>
      <c r="R3085" s="18"/>
      <c r="S3085" s="18"/>
      <c r="T3085" s="18"/>
      <c r="U3085" s="18"/>
      <c r="V3085" s="18"/>
      <c r="W3085" s="15"/>
      <c r="X3085" s="15"/>
    </row>
    <row r="3086">
      <c r="A3086" s="7">
        <v>3085.0</v>
      </c>
      <c r="B3086" s="8" t="s">
        <v>12911</v>
      </c>
      <c r="C3086" s="9" t="s">
        <v>12912</v>
      </c>
      <c r="D3086" s="10" t="str">
        <f>HYPERLINK("https://facebook.com/367089020688300_563278604402673", "367089020688300_563278604402673")</f>
        <v>367089020688300_563278604402673</v>
      </c>
      <c r="E3086" s="11">
        <v>29.0</v>
      </c>
      <c r="F3086" s="11">
        <v>0.0</v>
      </c>
      <c r="G3086" s="11">
        <v>37.0</v>
      </c>
      <c r="H3086" s="9" t="s">
        <v>26</v>
      </c>
      <c r="I3086" s="9" t="s">
        <v>12913</v>
      </c>
      <c r="J3086" s="16" t="s">
        <v>12914</v>
      </c>
      <c r="K3086" s="9"/>
      <c r="L3086" s="9" t="s">
        <v>30</v>
      </c>
      <c r="M3086" s="9" t="s">
        <v>31</v>
      </c>
      <c r="N3086" s="9" t="s">
        <v>32</v>
      </c>
      <c r="O3086" s="12" t="s">
        <v>33</v>
      </c>
      <c r="P3086" s="12" t="s">
        <v>34</v>
      </c>
      <c r="Q3086" s="9"/>
      <c r="R3086" s="18"/>
      <c r="S3086" s="18"/>
      <c r="T3086" s="18"/>
      <c r="U3086" s="18"/>
      <c r="V3086" s="18"/>
      <c r="W3086" s="15"/>
      <c r="X3086" s="15"/>
    </row>
    <row r="3087">
      <c r="A3087" s="7">
        <v>3086.0</v>
      </c>
      <c r="B3087" s="8" t="s">
        <v>12915</v>
      </c>
      <c r="C3087" s="9" t="s">
        <v>12916</v>
      </c>
      <c r="D3087" s="10" t="str">
        <f>HYPERLINK("https://facebook.com/367089020688300_394154967981705", "367089020688300_394154967981705")</f>
        <v>367089020688300_394154967981705</v>
      </c>
      <c r="E3087" s="11">
        <v>792.0</v>
      </c>
      <c r="F3087" s="11">
        <v>2.0</v>
      </c>
      <c r="G3087" s="11">
        <v>823.0</v>
      </c>
      <c r="H3087" s="9" t="s">
        <v>26</v>
      </c>
      <c r="I3087" s="9" t="s">
        <v>12917</v>
      </c>
      <c r="J3087" s="9" t="s">
        <v>12918</v>
      </c>
      <c r="K3087" s="9" t="s">
        <v>249</v>
      </c>
      <c r="L3087" s="9" t="s">
        <v>30</v>
      </c>
      <c r="M3087" s="9" t="s">
        <v>31</v>
      </c>
      <c r="N3087" s="9" t="s">
        <v>32</v>
      </c>
      <c r="O3087" s="12" t="s">
        <v>33</v>
      </c>
      <c r="P3087" s="12" t="s">
        <v>34</v>
      </c>
      <c r="Q3087" s="9"/>
      <c r="R3087" s="18"/>
      <c r="S3087" s="18"/>
      <c r="T3087" s="18"/>
      <c r="U3087" s="18"/>
      <c r="V3087" s="18"/>
      <c r="W3087" s="15"/>
      <c r="X3087" s="15"/>
    </row>
    <row r="3088">
      <c r="A3088" s="7">
        <v>3087.0</v>
      </c>
      <c r="B3088" s="8" t="s">
        <v>12919</v>
      </c>
      <c r="C3088" s="9" t="s">
        <v>12920</v>
      </c>
      <c r="D3088" s="10" t="str">
        <f>HYPERLINK("https://facebook.com/367089020688300_562825391114661", "367089020688300_562825391114661")</f>
        <v>367089020688300_562825391114661</v>
      </c>
      <c r="E3088" s="11">
        <v>24.0</v>
      </c>
      <c r="F3088" s="11">
        <v>0.0</v>
      </c>
      <c r="G3088" s="11">
        <v>27.0</v>
      </c>
      <c r="H3088" s="9" t="s">
        <v>26</v>
      </c>
      <c r="I3088" s="9" t="s">
        <v>12921</v>
      </c>
      <c r="J3088" s="16" t="s">
        <v>12922</v>
      </c>
      <c r="K3088" s="9"/>
      <c r="L3088" s="9" t="s">
        <v>30</v>
      </c>
      <c r="M3088" s="9" t="s">
        <v>31</v>
      </c>
      <c r="N3088" s="9" t="s">
        <v>32</v>
      </c>
      <c r="O3088" s="12" t="s">
        <v>33</v>
      </c>
      <c r="P3088" s="12" t="s">
        <v>34</v>
      </c>
      <c r="Q3088" s="9"/>
      <c r="R3088" s="18"/>
      <c r="S3088" s="18"/>
      <c r="T3088" s="18"/>
      <c r="U3088" s="18"/>
      <c r="V3088" s="18"/>
      <c r="W3088" s="15"/>
      <c r="X3088" s="15"/>
    </row>
    <row r="3089">
      <c r="A3089" s="7">
        <v>3088.0</v>
      </c>
      <c r="B3089" s="8" t="s">
        <v>12923</v>
      </c>
      <c r="C3089" s="9" t="s">
        <v>12924</v>
      </c>
      <c r="D3089" s="10" t="str">
        <f>HYPERLINK("https://facebook.com/367089020688300_551902365540297", "367089020688300_551902365540297")</f>
        <v>367089020688300_551902365540297</v>
      </c>
      <c r="E3089" s="11">
        <v>186.0</v>
      </c>
      <c r="F3089" s="11">
        <v>7.0</v>
      </c>
      <c r="G3089" s="11">
        <v>132.0</v>
      </c>
      <c r="H3089" s="9" t="s">
        <v>26</v>
      </c>
      <c r="I3089" s="9" t="s">
        <v>12925</v>
      </c>
      <c r="J3089" s="9" t="s">
        <v>12926</v>
      </c>
      <c r="K3089" s="9" t="s">
        <v>12927</v>
      </c>
      <c r="L3089" s="9" t="s">
        <v>30</v>
      </c>
      <c r="M3089" s="9" t="s">
        <v>31</v>
      </c>
      <c r="N3089" s="9" t="s">
        <v>32</v>
      </c>
      <c r="O3089" s="12" t="s">
        <v>33</v>
      </c>
      <c r="P3089" s="12" t="s">
        <v>34</v>
      </c>
      <c r="Q3089" s="9"/>
      <c r="R3089" s="18"/>
      <c r="S3089" s="18"/>
      <c r="T3089" s="18"/>
      <c r="U3089" s="18"/>
      <c r="V3089" s="18"/>
      <c r="W3089" s="15"/>
      <c r="X3089" s="15"/>
    </row>
    <row r="3090">
      <c r="A3090" s="7">
        <v>3089.0</v>
      </c>
      <c r="B3090" s="8" t="s">
        <v>12928</v>
      </c>
      <c r="C3090" s="9" t="s">
        <v>12929</v>
      </c>
      <c r="D3090" s="10" t="str">
        <f>HYPERLINK("https://facebook.com/367089020688300_488782961852238", "367089020688300_488782961852238")</f>
        <v>367089020688300_488782961852238</v>
      </c>
      <c r="E3090" s="11">
        <v>55.0</v>
      </c>
      <c r="F3090" s="11">
        <v>1.0</v>
      </c>
      <c r="G3090" s="11">
        <v>159.0</v>
      </c>
      <c r="H3090" s="9" t="s">
        <v>26</v>
      </c>
      <c r="I3090" s="9" t="s">
        <v>8387</v>
      </c>
      <c r="J3090" s="9" t="s">
        <v>12930</v>
      </c>
      <c r="K3090" s="9" t="s">
        <v>51</v>
      </c>
      <c r="L3090" s="9" t="s">
        <v>30</v>
      </c>
      <c r="M3090" s="9" t="s">
        <v>31</v>
      </c>
      <c r="N3090" s="9" t="s">
        <v>32</v>
      </c>
      <c r="O3090" s="12" t="s">
        <v>33</v>
      </c>
      <c r="P3090" s="12" t="s">
        <v>34</v>
      </c>
      <c r="Q3090" s="9"/>
      <c r="R3090" s="18"/>
      <c r="S3090" s="18"/>
      <c r="T3090" s="18"/>
      <c r="U3090" s="18"/>
      <c r="V3090" s="18"/>
      <c r="W3090" s="15"/>
      <c r="X3090" s="15"/>
    </row>
    <row r="3091">
      <c r="A3091" s="7">
        <v>3090.0</v>
      </c>
      <c r="B3091" s="8" t="s">
        <v>12931</v>
      </c>
      <c r="C3091" s="9" t="s">
        <v>12932</v>
      </c>
      <c r="D3091" s="10" t="str">
        <f>HYPERLINK("https://facebook.com/367089020688300_535370310526836", "367089020688300_535370310526836")</f>
        <v>367089020688300_535370310526836</v>
      </c>
      <c r="E3091" s="11">
        <v>55.0</v>
      </c>
      <c r="F3091" s="11">
        <v>1.0</v>
      </c>
      <c r="G3091" s="11">
        <v>55.0</v>
      </c>
      <c r="H3091" s="9" t="s">
        <v>26</v>
      </c>
      <c r="I3091" s="9" t="s">
        <v>12933</v>
      </c>
      <c r="J3091" s="16" t="s">
        <v>12934</v>
      </c>
      <c r="K3091" s="9"/>
      <c r="L3091" s="9" t="s">
        <v>30</v>
      </c>
      <c r="M3091" s="9" t="s">
        <v>31</v>
      </c>
      <c r="N3091" s="9" t="s">
        <v>32</v>
      </c>
      <c r="O3091" s="12" t="s">
        <v>33</v>
      </c>
      <c r="P3091" s="12" t="s">
        <v>34</v>
      </c>
      <c r="Q3091" s="9"/>
      <c r="R3091" s="18"/>
      <c r="S3091" s="18"/>
      <c r="T3091" s="18"/>
      <c r="U3091" s="18"/>
      <c r="V3091" s="18"/>
      <c r="W3091" s="15"/>
      <c r="X3091" s="15"/>
    </row>
    <row r="3092">
      <c r="A3092" s="7">
        <v>3091.0</v>
      </c>
      <c r="B3092" s="8" t="s">
        <v>12935</v>
      </c>
      <c r="C3092" s="9" t="s">
        <v>12936</v>
      </c>
      <c r="D3092" s="10" t="str">
        <f>HYPERLINK("https://facebook.com/367089020688300_562865077777359", "367089020688300_562865077777359")</f>
        <v>367089020688300_562865077777359</v>
      </c>
      <c r="E3092" s="11">
        <v>38.0</v>
      </c>
      <c r="F3092" s="11">
        <v>2.0</v>
      </c>
      <c r="G3092" s="11">
        <v>146.0</v>
      </c>
      <c r="H3092" s="9" t="s">
        <v>26</v>
      </c>
      <c r="I3092" s="9" t="s">
        <v>2655</v>
      </c>
      <c r="J3092" s="9" t="s">
        <v>12937</v>
      </c>
      <c r="K3092" s="9" t="s">
        <v>789</v>
      </c>
      <c r="L3092" s="9" t="s">
        <v>30</v>
      </c>
      <c r="M3092" s="9" t="s">
        <v>31</v>
      </c>
      <c r="N3092" s="9" t="s">
        <v>32</v>
      </c>
      <c r="O3092" s="12" t="s">
        <v>33</v>
      </c>
      <c r="P3092" s="12" t="s">
        <v>34</v>
      </c>
      <c r="Q3092" s="9"/>
      <c r="R3092" s="18"/>
      <c r="S3092" s="18"/>
      <c r="T3092" s="18"/>
      <c r="U3092" s="18"/>
      <c r="V3092" s="18"/>
      <c r="W3092" s="15"/>
      <c r="X3092" s="15"/>
    </row>
    <row r="3093">
      <c r="A3093" s="7">
        <v>3092.0</v>
      </c>
      <c r="B3093" s="8" t="s">
        <v>12938</v>
      </c>
      <c r="C3093" s="9" t="s">
        <v>12939</v>
      </c>
      <c r="D3093" s="10" t="str">
        <f>HYPERLINK("https://facebook.com/367089020688300_547125526017981", "367089020688300_547125526017981")</f>
        <v>367089020688300_547125526017981</v>
      </c>
      <c r="E3093" s="11">
        <v>135.0</v>
      </c>
      <c r="F3093" s="11">
        <v>0.0</v>
      </c>
      <c r="G3093" s="11">
        <v>96.0</v>
      </c>
      <c r="H3093" s="9" t="s">
        <v>26</v>
      </c>
      <c r="I3093" s="9" t="s">
        <v>1668</v>
      </c>
      <c r="J3093" s="16" t="s">
        <v>12940</v>
      </c>
      <c r="K3093" s="9"/>
      <c r="L3093" s="9" t="s">
        <v>30</v>
      </c>
      <c r="M3093" s="9" t="s">
        <v>31</v>
      </c>
      <c r="N3093" s="9" t="s">
        <v>32</v>
      </c>
      <c r="O3093" s="12" t="s">
        <v>33</v>
      </c>
      <c r="P3093" s="12" t="s">
        <v>34</v>
      </c>
      <c r="Q3093" s="9"/>
      <c r="R3093" s="18"/>
      <c r="S3093" s="18"/>
      <c r="T3093" s="18"/>
      <c r="U3093" s="18"/>
      <c r="V3093" s="18"/>
      <c r="W3093" s="15"/>
      <c r="X3093" s="15"/>
    </row>
    <row r="3094">
      <c r="A3094" s="7">
        <v>3093.0</v>
      </c>
      <c r="B3094" s="8" t="s">
        <v>12941</v>
      </c>
      <c r="C3094" s="9" t="s">
        <v>12942</v>
      </c>
      <c r="D3094" s="10" t="str">
        <f>HYPERLINK("https://facebook.com/367089020688300_542849513112249", "367089020688300_542849513112249")</f>
        <v>367089020688300_542849513112249</v>
      </c>
      <c r="E3094" s="11">
        <v>70.0</v>
      </c>
      <c r="F3094" s="11">
        <v>0.0</v>
      </c>
      <c r="G3094" s="11">
        <v>30.0</v>
      </c>
      <c r="H3094" s="9" t="s">
        <v>26</v>
      </c>
      <c r="I3094" s="9" t="s">
        <v>12943</v>
      </c>
      <c r="J3094" s="16" t="s">
        <v>12944</v>
      </c>
      <c r="K3094" s="9"/>
      <c r="L3094" s="9" t="s">
        <v>30</v>
      </c>
      <c r="M3094" s="9" t="s">
        <v>31</v>
      </c>
      <c r="N3094" s="9" t="s">
        <v>32</v>
      </c>
      <c r="O3094" s="12" t="s">
        <v>33</v>
      </c>
      <c r="P3094" s="12" t="s">
        <v>34</v>
      </c>
      <c r="Q3094" s="9"/>
      <c r="R3094" s="18"/>
      <c r="S3094" s="18"/>
      <c r="T3094" s="18"/>
      <c r="U3094" s="18"/>
      <c r="V3094" s="18"/>
      <c r="W3094" s="15"/>
      <c r="X3094" s="15"/>
    </row>
    <row r="3095">
      <c r="A3095" s="7">
        <v>3094.0</v>
      </c>
      <c r="B3095" s="8" t="s">
        <v>12945</v>
      </c>
      <c r="C3095" s="9" t="s">
        <v>12946</v>
      </c>
      <c r="D3095" s="10" t="str">
        <f>HYPERLINK("https://facebook.com/367089020688300_561976737866193", "367089020688300_561976737866193")</f>
        <v>367089020688300_561976737866193</v>
      </c>
      <c r="E3095" s="11">
        <v>52.0</v>
      </c>
      <c r="F3095" s="11">
        <v>0.0</v>
      </c>
      <c r="G3095" s="11">
        <v>83.0</v>
      </c>
      <c r="H3095" s="9" t="s">
        <v>26</v>
      </c>
      <c r="I3095" s="9" t="s">
        <v>1587</v>
      </c>
      <c r="J3095" s="16" t="s">
        <v>1588</v>
      </c>
      <c r="K3095" s="9"/>
      <c r="L3095" s="9" t="s">
        <v>30</v>
      </c>
      <c r="M3095" s="9" t="s">
        <v>31</v>
      </c>
      <c r="N3095" s="9" t="s">
        <v>32</v>
      </c>
      <c r="O3095" s="12" t="s">
        <v>33</v>
      </c>
      <c r="P3095" s="12" t="s">
        <v>34</v>
      </c>
      <c r="Q3095" s="9"/>
      <c r="R3095" s="18"/>
      <c r="S3095" s="18"/>
      <c r="T3095" s="18"/>
      <c r="U3095" s="18"/>
      <c r="V3095" s="18"/>
      <c r="W3095" s="15"/>
      <c r="X3095" s="15"/>
    </row>
    <row r="3096">
      <c r="A3096" s="7">
        <v>3095.0</v>
      </c>
      <c r="B3096" s="8" t="s">
        <v>12947</v>
      </c>
      <c r="C3096" s="9" t="s">
        <v>12948</v>
      </c>
      <c r="D3096" s="10" t="str">
        <f>HYPERLINK("https://facebook.com/367089020688300_543689916361542", "367089020688300_543689916361542")</f>
        <v>367089020688300_543689916361542</v>
      </c>
      <c r="E3096" s="11">
        <v>26.0</v>
      </c>
      <c r="F3096" s="11">
        <v>0.0</v>
      </c>
      <c r="G3096" s="11">
        <v>14.0</v>
      </c>
      <c r="H3096" s="9" t="s">
        <v>26</v>
      </c>
      <c r="I3096" s="9" t="s">
        <v>3498</v>
      </c>
      <c r="J3096" s="9" t="s">
        <v>12949</v>
      </c>
      <c r="K3096" s="9" t="s">
        <v>8398</v>
      </c>
      <c r="L3096" s="9" t="s">
        <v>30</v>
      </c>
      <c r="M3096" s="9" t="s">
        <v>31</v>
      </c>
      <c r="N3096" s="9" t="s">
        <v>32</v>
      </c>
      <c r="O3096" s="12" t="s">
        <v>33</v>
      </c>
      <c r="P3096" s="12" t="s">
        <v>34</v>
      </c>
      <c r="Q3096" s="9"/>
      <c r="R3096" s="18"/>
      <c r="S3096" s="18"/>
      <c r="T3096" s="18"/>
      <c r="U3096" s="18"/>
      <c r="V3096" s="18"/>
      <c r="W3096" s="15"/>
      <c r="X3096" s="15"/>
    </row>
    <row r="3097">
      <c r="A3097" s="7">
        <v>3096.0</v>
      </c>
      <c r="B3097" s="8" t="s">
        <v>12950</v>
      </c>
      <c r="C3097" s="9" t="s">
        <v>12951</v>
      </c>
      <c r="D3097" s="10" t="str">
        <f>HYPERLINK("https://facebook.com/367089020688300_555113648552502", "367089020688300_555113648552502")</f>
        <v>367089020688300_555113648552502</v>
      </c>
      <c r="E3097" s="11">
        <v>1441.0</v>
      </c>
      <c r="F3097" s="11">
        <v>7.0</v>
      </c>
      <c r="G3097" s="11">
        <v>267.0</v>
      </c>
      <c r="H3097" s="9" t="s">
        <v>26</v>
      </c>
      <c r="I3097" s="9" t="s">
        <v>12952</v>
      </c>
      <c r="J3097" s="16" t="s">
        <v>12953</v>
      </c>
      <c r="K3097" s="9"/>
      <c r="L3097" s="9" t="s">
        <v>30</v>
      </c>
      <c r="M3097" s="9" t="s">
        <v>31</v>
      </c>
      <c r="N3097" s="9" t="s">
        <v>32</v>
      </c>
      <c r="O3097" s="12" t="s">
        <v>33</v>
      </c>
      <c r="P3097" s="12" t="s">
        <v>34</v>
      </c>
      <c r="Q3097" s="9"/>
      <c r="R3097" s="18"/>
      <c r="S3097" s="18"/>
      <c r="T3097" s="18"/>
      <c r="U3097" s="18"/>
      <c r="V3097" s="18"/>
      <c r="W3097" s="15"/>
      <c r="X3097" s="15"/>
    </row>
    <row r="3098">
      <c r="A3098" s="7">
        <v>3097.0</v>
      </c>
      <c r="B3098" s="8" t="s">
        <v>12954</v>
      </c>
      <c r="C3098" s="9" t="s">
        <v>12955</v>
      </c>
      <c r="D3098" s="10" t="str">
        <f>HYPERLINK("https://facebook.com/367089020688300_541676573229543", "367089020688300_541676573229543")</f>
        <v>367089020688300_541676573229543</v>
      </c>
      <c r="E3098" s="11">
        <v>93.0</v>
      </c>
      <c r="F3098" s="11">
        <v>4.0</v>
      </c>
      <c r="G3098" s="11">
        <v>68.0</v>
      </c>
      <c r="H3098" s="9" t="s">
        <v>26</v>
      </c>
      <c r="I3098" s="9" t="s">
        <v>863</v>
      </c>
      <c r="J3098" s="16" t="s">
        <v>12956</v>
      </c>
      <c r="K3098" s="9"/>
      <c r="L3098" s="9" t="s">
        <v>30</v>
      </c>
      <c r="M3098" s="9" t="s">
        <v>31</v>
      </c>
      <c r="N3098" s="9" t="s">
        <v>32</v>
      </c>
      <c r="O3098" s="12" t="s">
        <v>33</v>
      </c>
      <c r="P3098" s="12" t="s">
        <v>34</v>
      </c>
      <c r="Q3098" s="9"/>
      <c r="R3098" s="18"/>
      <c r="S3098" s="18"/>
      <c r="T3098" s="18"/>
      <c r="U3098" s="18"/>
      <c r="V3098" s="18"/>
      <c r="W3098" s="15"/>
      <c r="X3098" s="15"/>
    </row>
    <row r="3099">
      <c r="A3099" s="7">
        <v>3098.0</v>
      </c>
      <c r="B3099" s="8" t="s">
        <v>12957</v>
      </c>
      <c r="C3099" s="9" t="s">
        <v>12958</v>
      </c>
      <c r="D3099" s="10" t="str">
        <f>HYPERLINK("https://facebook.com/367089020688300_540853196645214", "367089020688300_540853196645214")</f>
        <v>367089020688300_540853196645214</v>
      </c>
      <c r="E3099" s="11">
        <v>1.0</v>
      </c>
      <c r="F3099" s="11">
        <v>0.0</v>
      </c>
      <c r="G3099" s="11">
        <v>4.0</v>
      </c>
      <c r="H3099" s="9" t="s">
        <v>26</v>
      </c>
      <c r="I3099" s="9" t="s">
        <v>12959</v>
      </c>
      <c r="J3099" s="16" t="s">
        <v>12960</v>
      </c>
      <c r="K3099" s="9"/>
      <c r="L3099" s="9" t="s">
        <v>30</v>
      </c>
      <c r="M3099" s="9" t="s">
        <v>31</v>
      </c>
      <c r="N3099" s="9" t="s">
        <v>32</v>
      </c>
      <c r="O3099" s="12" t="s">
        <v>33</v>
      </c>
      <c r="P3099" s="12" t="s">
        <v>34</v>
      </c>
      <c r="Q3099" s="9"/>
      <c r="R3099" s="18"/>
      <c r="S3099" s="18"/>
      <c r="T3099" s="18"/>
      <c r="U3099" s="18"/>
      <c r="V3099" s="18"/>
      <c r="W3099" s="15"/>
      <c r="X3099" s="15"/>
    </row>
    <row r="3100">
      <c r="A3100" s="7">
        <v>3099.0</v>
      </c>
      <c r="B3100" s="8" t="s">
        <v>12961</v>
      </c>
      <c r="C3100" s="9" t="s">
        <v>12962</v>
      </c>
      <c r="D3100" s="10" t="str">
        <f>HYPERLINK("https://facebook.com/367089020688300_537396990324168", "367089020688300_537396990324168")</f>
        <v>367089020688300_537396990324168</v>
      </c>
      <c r="E3100" s="11">
        <v>9.0</v>
      </c>
      <c r="F3100" s="11">
        <v>0.0</v>
      </c>
      <c r="G3100" s="11">
        <v>10.0</v>
      </c>
      <c r="H3100" s="9" t="s">
        <v>26</v>
      </c>
      <c r="I3100" s="9" t="s">
        <v>12963</v>
      </c>
      <c r="J3100" s="16" t="s">
        <v>12964</v>
      </c>
      <c r="K3100" s="9"/>
      <c r="L3100" s="9" t="s">
        <v>30</v>
      </c>
      <c r="M3100" s="9" t="s">
        <v>31</v>
      </c>
      <c r="N3100" s="9" t="s">
        <v>32</v>
      </c>
      <c r="O3100" s="12" t="s">
        <v>33</v>
      </c>
      <c r="P3100" s="12" t="s">
        <v>34</v>
      </c>
      <c r="Q3100" s="9"/>
      <c r="R3100" s="18"/>
      <c r="S3100" s="18"/>
      <c r="T3100" s="18"/>
      <c r="U3100" s="18"/>
      <c r="V3100" s="18"/>
      <c r="W3100" s="15"/>
      <c r="X3100" s="15"/>
    </row>
    <row r="3101">
      <c r="A3101" s="7">
        <v>3100.0</v>
      </c>
      <c r="B3101" s="8" t="s">
        <v>12965</v>
      </c>
      <c r="C3101" s="9" t="s">
        <v>12966</v>
      </c>
      <c r="D3101" s="10" t="str">
        <f>HYPERLINK("https://facebook.com/367089020688300_515138379216696", "367089020688300_515138379216696")</f>
        <v>367089020688300_515138379216696</v>
      </c>
      <c r="E3101" s="11">
        <v>513.0</v>
      </c>
      <c r="F3101" s="11">
        <v>25.0</v>
      </c>
      <c r="G3101" s="11">
        <v>52.0</v>
      </c>
      <c r="H3101" s="9" t="s">
        <v>26</v>
      </c>
      <c r="I3101" s="9" t="s">
        <v>6503</v>
      </c>
      <c r="J3101" s="9" t="s">
        <v>6504</v>
      </c>
      <c r="K3101" s="9" t="s">
        <v>6505</v>
      </c>
      <c r="L3101" s="9" t="s">
        <v>30</v>
      </c>
      <c r="M3101" s="9" t="s">
        <v>31</v>
      </c>
      <c r="N3101" s="9" t="s">
        <v>32</v>
      </c>
      <c r="O3101" s="12" t="s">
        <v>33</v>
      </c>
      <c r="P3101" s="12" t="s">
        <v>34</v>
      </c>
      <c r="Q3101" s="9"/>
      <c r="R3101" s="18"/>
      <c r="S3101" s="18"/>
      <c r="T3101" s="18"/>
      <c r="U3101" s="18"/>
      <c r="V3101" s="18"/>
      <c r="W3101" s="15"/>
      <c r="X3101" s="15"/>
    </row>
    <row r="3102">
      <c r="A3102" s="7">
        <v>3101.0</v>
      </c>
      <c r="B3102" s="8" t="s">
        <v>12967</v>
      </c>
      <c r="C3102" s="9" t="s">
        <v>12968</v>
      </c>
      <c r="D3102" s="10" t="str">
        <f>HYPERLINK("https://facebook.com/367089020688300_450720272325174", "367089020688300_450720272325174")</f>
        <v>367089020688300_450720272325174</v>
      </c>
      <c r="E3102" s="11">
        <v>824.0</v>
      </c>
      <c r="F3102" s="11">
        <v>13.0</v>
      </c>
      <c r="G3102" s="11">
        <v>561.0</v>
      </c>
      <c r="H3102" s="9" t="s">
        <v>26</v>
      </c>
      <c r="I3102" s="9" t="s">
        <v>12969</v>
      </c>
      <c r="J3102" s="9" t="s">
        <v>12970</v>
      </c>
      <c r="K3102" s="9" t="s">
        <v>663</v>
      </c>
      <c r="L3102" s="9" t="s">
        <v>30</v>
      </c>
      <c r="M3102" s="9" t="s">
        <v>31</v>
      </c>
      <c r="N3102" s="9" t="s">
        <v>32</v>
      </c>
      <c r="O3102" s="12" t="s">
        <v>33</v>
      </c>
      <c r="P3102" s="12" t="s">
        <v>34</v>
      </c>
      <c r="Q3102" s="9"/>
      <c r="R3102" s="18"/>
      <c r="S3102" s="18"/>
      <c r="T3102" s="18"/>
      <c r="U3102" s="18"/>
      <c r="V3102" s="18"/>
      <c r="W3102" s="15"/>
      <c r="X3102" s="15"/>
    </row>
    <row r="3103">
      <c r="A3103" s="7">
        <v>3102.0</v>
      </c>
      <c r="B3103" s="8" t="s">
        <v>12971</v>
      </c>
      <c r="C3103" s="9" t="s">
        <v>12972</v>
      </c>
      <c r="D3103" s="10" t="str">
        <f>HYPERLINK("https://facebook.com/367089020688300_537349110328956", "367089020688300_537349110328956")</f>
        <v>367089020688300_537349110328956</v>
      </c>
      <c r="E3103" s="11">
        <v>233.0</v>
      </c>
      <c r="F3103" s="11">
        <v>12.0</v>
      </c>
      <c r="G3103" s="11">
        <v>354.0</v>
      </c>
      <c r="H3103" s="9" t="s">
        <v>26</v>
      </c>
      <c r="I3103" s="9" t="s">
        <v>12973</v>
      </c>
      <c r="J3103" s="9" t="s">
        <v>12974</v>
      </c>
      <c r="K3103" s="9" t="s">
        <v>12665</v>
      </c>
      <c r="L3103" s="9" t="s">
        <v>30</v>
      </c>
      <c r="M3103" s="9" t="s">
        <v>31</v>
      </c>
      <c r="N3103" s="9" t="s">
        <v>32</v>
      </c>
      <c r="O3103" s="12" t="s">
        <v>33</v>
      </c>
      <c r="P3103" s="12" t="s">
        <v>34</v>
      </c>
      <c r="Q3103" s="9"/>
      <c r="R3103" s="18"/>
      <c r="S3103" s="18"/>
      <c r="T3103" s="18"/>
      <c r="U3103" s="18"/>
      <c r="V3103" s="18"/>
      <c r="W3103" s="15"/>
      <c r="X3103" s="15"/>
    </row>
    <row r="3104">
      <c r="A3104" s="7">
        <v>3103.0</v>
      </c>
      <c r="B3104" s="8" t="s">
        <v>12975</v>
      </c>
      <c r="C3104" s="9" t="s">
        <v>12976</v>
      </c>
      <c r="D3104" s="10" t="str">
        <f>HYPERLINK("https://facebook.com/367089020688300_512637732800094", "367089020688300_512637732800094")</f>
        <v>367089020688300_512637732800094</v>
      </c>
      <c r="E3104" s="11">
        <v>115.0</v>
      </c>
      <c r="F3104" s="11">
        <v>8.0</v>
      </c>
      <c r="G3104" s="11">
        <v>202.0</v>
      </c>
      <c r="H3104" s="9" t="s">
        <v>26</v>
      </c>
      <c r="I3104" s="9" t="s">
        <v>12977</v>
      </c>
      <c r="J3104" s="9" t="s">
        <v>12978</v>
      </c>
      <c r="K3104" s="9" t="s">
        <v>12979</v>
      </c>
      <c r="L3104" s="9" t="s">
        <v>30</v>
      </c>
      <c r="M3104" s="9" t="s">
        <v>31</v>
      </c>
      <c r="N3104" s="9" t="s">
        <v>32</v>
      </c>
      <c r="O3104" s="12" t="s">
        <v>33</v>
      </c>
      <c r="P3104" s="12" t="s">
        <v>34</v>
      </c>
      <c r="Q3104" s="9"/>
      <c r="R3104" s="18"/>
      <c r="S3104" s="18"/>
      <c r="T3104" s="18"/>
      <c r="U3104" s="18"/>
      <c r="V3104" s="18"/>
      <c r="W3104" s="15"/>
      <c r="X3104" s="15"/>
    </row>
    <row r="3105">
      <c r="A3105" s="7">
        <v>3104.0</v>
      </c>
      <c r="B3105" s="8" t="s">
        <v>12980</v>
      </c>
      <c r="C3105" s="9" t="s">
        <v>12981</v>
      </c>
      <c r="D3105" s="10" t="str">
        <f>HYPERLINK("https://facebook.com/367089020688300_535673293829871", "367089020688300_535673293829871")</f>
        <v>367089020688300_535673293829871</v>
      </c>
      <c r="E3105" s="11">
        <v>27.0</v>
      </c>
      <c r="F3105" s="11">
        <v>0.0</v>
      </c>
      <c r="G3105" s="11">
        <v>15.0</v>
      </c>
      <c r="H3105" s="9" t="s">
        <v>26</v>
      </c>
      <c r="I3105" s="9" t="s">
        <v>12982</v>
      </c>
      <c r="J3105" s="16" t="s">
        <v>12983</v>
      </c>
      <c r="K3105" s="9"/>
      <c r="L3105" s="9" t="s">
        <v>30</v>
      </c>
      <c r="M3105" s="9" t="s">
        <v>31</v>
      </c>
      <c r="N3105" s="9" t="s">
        <v>32</v>
      </c>
      <c r="O3105" s="12" t="s">
        <v>33</v>
      </c>
      <c r="P3105" s="12" t="s">
        <v>34</v>
      </c>
      <c r="Q3105" s="9"/>
      <c r="R3105" s="18"/>
      <c r="S3105" s="18"/>
      <c r="T3105" s="18"/>
      <c r="U3105" s="18"/>
      <c r="V3105" s="18"/>
      <c r="W3105" s="15"/>
      <c r="X3105" s="15"/>
    </row>
    <row r="3106">
      <c r="A3106" s="7">
        <v>3105.0</v>
      </c>
      <c r="B3106" s="8" t="s">
        <v>12984</v>
      </c>
      <c r="C3106" s="9" t="s">
        <v>12985</v>
      </c>
      <c r="D3106" s="10" t="str">
        <f>HYPERLINK("https://facebook.com/367089020688300_542629099800957", "367089020688300_542629099800957")</f>
        <v>367089020688300_542629099800957</v>
      </c>
      <c r="E3106" s="11">
        <v>21.0</v>
      </c>
      <c r="F3106" s="11">
        <v>0.0</v>
      </c>
      <c r="G3106" s="11">
        <v>5.0</v>
      </c>
      <c r="H3106" s="9" t="s">
        <v>26</v>
      </c>
      <c r="I3106" s="9" t="s">
        <v>12986</v>
      </c>
      <c r="J3106" s="16" t="s">
        <v>12987</v>
      </c>
      <c r="K3106" s="9"/>
      <c r="L3106" s="9" t="s">
        <v>30</v>
      </c>
      <c r="M3106" s="9" t="s">
        <v>31</v>
      </c>
      <c r="N3106" s="9" t="s">
        <v>32</v>
      </c>
      <c r="O3106" s="12" t="s">
        <v>33</v>
      </c>
      <c r="P3106" s="12" t="s">
        <v>34</v>
      </c>
      <c r="Q3106" s="9"/>
      <c r="R3106" s="18"/>
      <c r="S3106" s="18"/>
      <c r="T3106" s="18"/>
      <c r="U3106" s="18"/>
      <c r="V3106" s="18"/>
      <c r="W3106" s="15"/>
      <c r="X3106" s="15"/>
    </row>
    <row r="3107">
      <c r="A3107" s="7">
        <v>3106.0</v>
      </c>
      <c r="B3107" s="8" t="s">
        <v>12988</v>
      </c>
      <c r="C3107" s="9" t="s">
        <v>12989</v>
      </c>
      <c r="D3107" s="10" t="str">
        <f>HYPERLINK("https://facebook.com/367089020688300_514656245931576", "367089020688300_514656245931576")</f>
        <v>367089020688300_514656245931576</v>
      </c>
      <c r="E3107" s="11">
        <v>93.0</v>
      </c>
      <c r="F3107" s="11">
        <v>3.0</v>
      </c>
      <c r="G3107" s="11">
        <v>134.0</v>
      </c>
      <c r="H3107" s="9" t="s">
        <v>26</v>
      </c>
      <c r="I3107" s="9" t="s">
        <v>12990</v>
      </c>
      <c r="J3107" s="9" t="s">
        <v>12991</v>
      </c>
      <c r="K3107" s="9" t="s">
        <v>12992</v>
      </c>
      <c r="L3107" s="9" t="s">
        <v>30</v>
      </c>
      <c r="M3107" s="9" t="s">
        <v>31</v>
      </c>
      <c r="N3107" s="9" t="s">
        <v>32</v>
      </c>
      <c r="O3107" s="12" t="s">
        <v>33</v>
      </c>
      <c r="P3107" s="12" t="s">
        <v>34</v>
      </c>
      <c r="Q3107" s="9"/>
      <c r="R3107" s="18"/>
      <c r="S3107" s="18"/>
      <c r="T3107" s="18"/>
      <c r="U3107" s="18"/>
      <c r="V3107" s="18"/>
      <c r="W3107" s="15"/>
      <c r="X3107" s="15"/>
    </row>
    <row r="3108">
      <c r="A3108" s="7">
        <v>3107.0</v>
      </c>
      <c r="B3108" s="8" t="s">
        <v>12993</v>
      </c>
      <c r="C3108" s="9" t="s">
        <v>12994</v>
      </c>
      <c r="D3108" s="10" t="str">
        <f>HYPERLINK("https://facebook.com/367089020688300_539138023483398", "367089020688300_539138023483398")</f>
        <v>367089020688300_539138023483398</v>
      </c>
      <c r="E3108" s="11">
        <v>97.0</v>
      </c>
      <c r="F3108" s="11">
        <v>1.0</v>
      </c>
      <c r="G3108" s="11">
        <v>115.0</v>
      </c>
      <c r="H3108" s="9" t="s">
        <v>26</v>
      </c>
      <c r="I3108" s="9" t="s">
        <v>1984</v>
      </c>
      <c r="J3108" s="9" t="s">
        <v>12995</v>
      </c>
      <c r="K3108" s="9" t="s">
        <v>1575</v>
      </c>
      <c r="L3108" s="9" t="s">
        <v>30</v>
      </c>
      <c r="M3108" s="9" t="s">
        <v>31</v>
      </c>
      <c r="N3108" s="9" t="s">
        <v>32</v>
      </c>
      <c r="O3108" s="12" t="s">
        <v>33</v>
      </c>
      <c r="P3108" s="12" t="s">
        <v>34</v>
      </c>
      <c r="Q3108" s="9"/>
      <c r="R3108" s="18"/>
      <c r="S3108" s="18"/>
      <c r="T3108" s="18"/>
      <c r="U3108" s="18"/>
      <c r="V3108" s="18"/>
      <c r="W3108" s="15"/>
      <c r="X3108" s="15"/>
    </row>
    <row r="3109">
      <c r="A3109" s="7">
        <v>3108.0</v>
      </c>
      <c r="B3109" s="8" t="s">
        <v>12996</v>
      </c>
      <c r="C3109" s="9" t="s">
        <v>12997</v>
      </c>
      <c r="D3109" s="10" t="str">
        <f>HYPERLINK("https://facebook.com/367089020688300_527806171283250", "367089020688300_527806171283250")</f>
        <v>367089020688300_527806171283250</v>
      </c>
      <c r="E3109" s="11">
        <v>170.0</v>
      </c>
      <c r="F3109" s="11">
        <v>5.0</v>
      </c>
      <c r="G3109" s="11">
        <v>87.0</v>
      </c>
      <c r="H3109" s="9" t="s">
        <v>26</v>
      </c>
      <c r="I3109" s="9" t="s">
        <v>12998</v>
      </c>
      <c r="J3109" s="9" t="s">
        <v>12999</v>
      </c>
      <c r="K3109" s="9" t="s">
        <v>8087</v>
      </c>
      <c r="L3109" s="9" t="s">
        <v>30</v>
      </c>
      <c r="M3109" s="9" t="s">
        <v>31</v>
      </c>
      <c r="N3109" s="9" t="s">
        <v>32</v>
      </c>
      <c r="O3109" s="12" t="s">
        <v>33</v>
      </c>
      <c r="P3109" s="12" t="s">
        <v>34</v>
      </c>
      <c r="Q3109" s="9"/>
      <c r="R3109" s="18"/>
      <c r="S3109" s="18"/>
      <c r="T3109" s="18"/>
      <c r="U3109" s="18"/>
      <c r="V3109" s="18"/>
      <c r="W3109" s="15"/>
      <c r="X3109" s="15"/>
    </row>
    <row r="3110">
      <c r="A3110" s="7">
        <v>3109.0</v>
      </c>
      <c r="B3110" s="8" t="s">
        <v>13000</v>
      </c>
      <c r="C3110" s="9" t="s">
        <v>13001</v>
      </c>
      <c r="D3110" s="10" t="str">
        <f>HYPERLINK("https://facebook.com/367089020688300_548131942584006", "367089020688300_548131942584006")</f>
        <v>367089020688300_548131942584006</v>
      </c>
      <c r="E3110" s="11">
        <v>24.0</v>
      </c>
      <c r="F3110" s="11">
        <v>0.0</v>
      </c>
      <c r="G3110" s="11">
        <v>24.0</v>
      </c>
      <c r="H3110" s="9" t="s">
        <v>26</v>
      </c>
      <c r="I3110" s="9" t="s">
        <v>13002</v>
      </c>
      <c r="J3110" s="16" t="s">
        <v>13003</v>
      </c>
      <c r="K3110" s="9"/>
      <c r="L3110" s="9" t="s">
        <v>30</v>
      </c>
      <c r="M3110" s="9" t="s">
        <v>31</v>
      </c>
      <c r="N3110" s="9" t="s">
        <v>32</v>
      </c>
      <c r="O3110" s="12" t="s">
        <v>33</v>
      </c>
      <c r="P3110" s="12" t="s">
        <v>34</v>
      </c>
      <c r="Q3110" s="9"/>
      <c r="R3110" s="18"/>
      <c r="S3110" s="18"/>
      <c r="T3110" s="18"/>
      <c r="U3110" s="18"/>
      <c r="V3110" s="18"/>
      <c r="W3110" s="15"/>
      <c r="X3110" s="15"/>
    </row>
    <row r="3111">
      <c r="A3111" s="7">
        <v>3110.0</v>
      </c>
      <c r="B3111" s="8" t="s">
        <v>13004</v>
      </c>
      <c r="C3111" s="9" t="s">
        <v>13005</v>
      </c>
      <c r="D3111" s="10" t="str">
        <f>HYPERLINK("https://facebook.com/367089020688300_526484228082111", "367089020688300_526484228082111")</f>
        <v>367089020688300_526484228082111</v>
      </c>
      <c r="E3111" s="11">
        <v>165.0</v>
      </c>
      <c r="F3111" s="11">
        <v>4.0</v>
      </c>
      <c r="G3111" s="11">
        <v>353.0</v>
      </c>
      <c r="H3111" s="9" t="s">
        <v>26</v>
      </c>
      <c r="I3111" s="9" t="s">
        <v>13006</v>
      </c>
      <c r="J3111" s="16" t="s">
        <v>13007</v>
      </c>
      <c r="K3111" s="9"/>
      <c r="L3111" s="9" t="s">
        <v>30</v>
      </c>
      <c r="M3111" s="9" t="s">
        <v>31</v>
      </c>
      <c r="N3111" s="9" t="s">
        <v>32</v>
      </c>
      <c r="O3111" s="12" t="s">
        <v>33</v>
      </c>
      <c r="P3111" s="12" t="s">
        <v>34</v>
      </c>
      <c r="Q3111" s="9"/>
      <c r="R3111" s="18"/>
      <c r="S3111" s="18"/>
      <c r="T3111" s="18"/>
      <c r="U3111" s="18"/>
      <c r="V3111" s="18"/>
      <c r="W3111" s="15"/>
      <c r="X3111" s="15"/>
    </row>
    <row r="3112">
      <c r="A3112" s="7">
        <v>3111.0</v>
      </c>
      <c r="B3112" s="8" t="s">
        <v>13008</v>
      </c>
      <c r="C3112" s="9" t="s">
        <v>13009</v>
      </c>
      <c r="D3112" s="10" t="str">
        <f>HYPERLINK("https://facebook.com/367089020688300_559421728121694", "367089020688300_559421728121694")</f>
        <v>367089020688300_559421728121694</v>
      </c>
      <c r="E3112" s="11">
        <v>153.0</v>
      </c>
      <c r="F3112" s="11">
        <v>2.0</v>
      </c>
      <c r="G3112" s="11">
        <v>132.0</v>
      </c>
      <c r="H3112" s="9" t="s">
        <v>26</v>
      </c>
      <c r="I3112" s="9" t="s">
        <v>13010</v>
      </c>
      <c r="J3112" s="9" t="s">
        <v>13011</v>
      </c>
      <c r="K3112" s="9" t="s">
        <v>2724</v>
      </c>
      <c r="L3112" s="9" t="s">
        <v>30</v>
      </c>
      <c r="M3112" s="9" t="s">
        <v>31</v>
      </c>
      <c r="N3112" s="9" t="s">
        <v>32</v>
      </c>
      <c r="O3112" s="12" t="s">
        <v>33</v>
      </c>
      <c r="P3112" s="12" t="s">
        <v>34</v>
      </c>
      <c r="Q3112" s="9"/>
      <c r="R3112" s="18"/>
      <c r="S3112" s="18"/>
      <c r="T3112" s="18"/>
      <c r="U3112" s="18"/>
      <c r="V3112" s="18"/>
      <c r="W3112" s="15"/>
      <c r="X3112" s="15"/>
    </row>
    <row r="3113">
      <c r="A3113" s="7">
        <v>3112.0</v>
      </c>
      <c r="B3113" s="8" t="s">
        <v>13012</v>
      </c>
      <c r="C3113" s="9" t="s">
        <v>13013</v>
      </c>
      <c r="D3113" s="10" t="str">
        <f>HYPERLINK("https://facebook.com/367089020688300_501973407199860", "367089020688300_501973407199860")</f>
        <v>367089020688300_501973407199860</v>
      </c>
      <c r="E3113" s="11">
        <v>518.0</v>
      </c>
      <c r="F3113" s="11">
        <v>3.0</v>
      </c>
      <c r="G3113" s="11">
        <v>228.0</v>
      </c>
      <c r="H3113" s="9" t="s">
        <v>26</v>
      </c>
      <c r="I3113" s="9" t="s">
        <v>13014</v>
      </c>
      <c r="J3113" s="9" t="s">
        <v>13015</v>
      </c>
      <c r="K3113" s="9" t="s">
        <v>13016</v>
      </c>
      <c r="L3113" s="9" t="s">
        <v>30</v>
      </c>
      <c r="M3113" s="9" t="s">
        <v>31</v>
      </c>
      <c r="N3113" s="9" t="s">
        <v>32</v>
      </c>
      <c r="O3113" s="12" t="s">
        <v>33</v>
      </c>
      <c r="P3113" s="12" t="s">
        <v>34</v>
      </c>
      <c r="Q3113" s="9"/>
      <c r="R3113" s="18"/>
      <c r="S3113" s="18"/>
      <c r="T3113" s="18"/>
      <c r="U3113" s="18"/>
      <c r="V3113" s="18"/>
      <c r="W3113" s="15"/>
      <c r="X3113" s="15"/>
    </row>
    <row r="3114">
      <c r="A3114" s="7">
        <v>3113.0</v>
      </c>
      <c r="B3114" s="8" t="s">
        <v>13017</v>
      </c>
      <c r="C3114" s="9" t="s">
        <v>13018</v>
      </c>
      <c r="D3114" s="10" t="str">
        <f>HYPERLINK("https://facebook.com/367089020688300_563046991092501", "367089020688300_563046991092501")</f>
        <v>367089020688300_563046991092501</v>
      </c>
      <c r="E3114" s="11">
        <v>37.0</v>
      </c>
      <c r="F3114" s="11">
        <v>0.0</v>
      </c>
      <c r="G3114" s="11">
        <v>45.0</v>
      </c>
      <c r="H3114" s="9" t="s">
        <v>26</v>
      </c>
      <c r="I3114" s="9" t="s">
        <v>13019</v>
      </c>
      <c r="J3114" s="16" t="s">
        <v>13020</v>
      </c>
      <c r="K3114" s="9"/>
      <c r="L3114" s="9" t="s">
        <v>30</v>
      </c>
      <c r="M3114" s="9" t="s">
        <v>31</v>
      </c>
      <c r="N3114" s="9" t="s">
        <v>32</v>
      </c>
      <c r="O3114" s="12" t="s">
        <v>33</v>
      </c>
      <c r="P3114" s="12" t="s">
        <v>34</v>
      </c>
      <c r="Q3114" s="9"/>
      <c r="R3114" s="18"/>
      <c r="S3114" s="18"/>
      <c r="T3114" s="18"/>
      <c r="U3114" s="18"/>
      <c r="V3114" s="18"/>
      <c r="W3114" s="15"/>
      <c r="X3114" s="15"/>
    </row>
    <row r="3115">
      <c r="A3115" s="7">
        <v>3114.0</v>
      </c>
      <c r="B3115" s="8" t="s">
        <v>13021</v>
      </c>
      <c r="C3115" s="9" t="s">
        <v>13022</v>
      </c>
      <c r="D3115" s="10" t="str">
        <f>HYPERLINK("https://facebook.com/367089020688300_540519890011878", "367089020688300_540519890011878")</f>
        <v>367089020688300_540519890011878</v>
      </c>
      <c r="E3115" s="11">
        <v>110.0</v>
      </c>
      <c r="F3115" s="11">
        <v>2.0</v>
      </c>
      <c r="G3115" s="11">
        <v>113.0</v>
      </c>
      <c r="H3115" s="9" t="s">
        <v>26</v>
      </c>
      <c r="I3115" s="9" t="s">
        <v>7400</v>
      </c>
      <c r="J3115" s="16" t="s">
        <v>13023</v>
      </c>
      <c r="K3115" s="9"/>
      <c r="L3115" s="9" t="s">
        <v>30</v>
      </c>
      <c r="M3115" s="9" t="s">
        <v>31</v>
      </c>
      <c r="N3115" s="9" t="s">
        <v>32</v>
      </c>
      <c r="O3115" s="12" t="s">
        <v>33</v>
      </c>
      <c r="P3115" s="12" t="s">
        <v>34</v>
      </c>
      <c r="Q3115" s="9"/>
      <c r="R3115" s="18"/>
      <c r="S3115" s="18"/>
      <c r="T3115" s="18"/>
      <c r="U3115" s="18"/>
      <c r="V3115" s="18"/>
      <c r="W3115" s="15"/>
      <c r="X3115" s="15"/>
    </row>
    <row r="3116">
      <c r="A3116" s="7">
        <v>3115.0</v>
      </c>
      <c r="B3116" s="8" t="s">
        <v>13024</v>
      </c>
      <c r="C3116" s="9" t="s">
        <v>13025</v>
      </c>
      <c r="D3116" s="10" t="str">
        <f>HYPERLINK("https://facebook.com/367089020688300_536057483791452", "367089020688300_536057483791452")</f>
        <v>367089020688300_536057483791452</v>
      </c>
      <c r="E3116" s="11">
        <v>82.0</v>
      </c>
      <c r="F3116" s="11">
        <v>0.0</v>
      </c>
      <c r="G3116" s="11">
        <v>72.0</v>
      </c>
      <c r="H3116" s="9" t="s">
        <v>26</v>
      </c>
      <c r="I3116" s="9" t="s">
        <v>9953</v>
      </c>
      <c r="J3116" s="16" t="s">
        <v>9954</v>
      </c>
      <c r="K3116" s="9"/>
      <c r="L3116" s="9" t="s">
        <v>30</v>
      </c>
      <c r="M3116" s="9" t="s">
        <v>31</v>
      </c>
      <c r="N3116" s="9" t="s">
        <v>32</v>
      </c>
      <c r="O3116" s="12" t="s">
        <v>33</v>
      </c>
      <c r="P3116" s="12" t="s">
        <v>34</v>
      </c>
      <c r="Q3116" s="9"/>
      <c r="R3116" s="18"/>
      <c r="S3116" s="18"/>
      <c r="T3116" s="18"/>
      <c r="U3116" s="18"/>
      <c r="V3116" s="18"/>
      <c r="W3116" s="15"/>
      <c r="X3116" s="15"/>
    </row>
    <row r="3117">
      <c r="A3117" s="7">
        <v>3116.0</v>
      </c>
      <c r="B3117" s="8" t="s">
        <v>13026</v>
      </c>
      <c r="C3117" s="9" t="s">
        <v>13027</v>
      </c>
      <c r="D3117" s="10" t="str">
        <f>HYPERLINK("https://facebook.com/367089020688300_456370035093531", "367089020688300_456370035093531")</f>
        <v>367089020688300_456370035093531</v>
      </c>
      <c r="E3117" s="11">
        <v>149.0</v>
      </c>
      <c r="F3117" s="11">
        <v>5.0</v>
      </c>
      <c r="G3117" s="11">
        <v>160.0</v>
      </c>
      <c r="H3117" s="9" t="s">
        <v>26</v>
      </c>
      <c r="I3117" s="9" t="s">
        <v>12857</v>
      </c>
      <c r="J3117" s="9" t="s">
        <v>12858</v>
      </c>
      <c r="K3117" s="9" t="s">
        <v>13028</v>
      </c>
      <c r="L3117" s="9" t="s">
        <v>30</v>
      </c>
      <c r="M3117" s="9" t="s">
        <v>31</v>
      </c>
      <c r="N3117" s="9" t="s">
        <v>32</v>
      </c>
      <c r="O3117" s="12" t="s">
        <v>33</v>
      </c>
      <c r="P3117" s="12" t="s">
        <v>34</v>
      </c>
      <c r="Q3117" s="9"/>
      <c r="R3117" s="18"/>
      <c r="S3117" s="18"/>
      <c r="T3117" s="18"/>
      <c r="U3117" s="18"/>
      <c r="V3117" s="18"/>
      <c r="W3117" s="15"/>
      <c r="X3117" s="15"/>
    </row>
    <row r="3118">
      <c r="A3118" s="7">
        <v>3117.0</v>
      </c>
      <c r="B3118" s="8" t="s">
        <v>13029</v>
      </c>
      <c r="C3118" s="9" t="s">
        <v>13030</v>
      </c>
      <c r="D3118" s="10" t="str">
        <f>HYPERLINK("https://facebook.com/367089020688300_416216012442267", "367089020688300_416216012442267")</f>
        <v>367089020688300_416216012442267</v>
      </c>
      <c r="E3118" s="11">
        <v>195.0</v>
      </c>
      <c r="F3118" s="11">
        <v>4.0</v>
      </c>
      <c r="G3118" s="11">
        <v>165.0</v>
      </c>
      <c r="H3118" s="9" t="s">
        <v>26</v>
      </c>
      <c r="I3118" s="9" t="s">
        <v>12013</v>
      </c>
      <c r="J3118" s="9" t="s">
        <v>12014</v>
      </c>
      <c r="K3118" s="9" t="s">
        <v>249</v>
      </c>
      <c r="L3118" s="9" t="s">
        <v>30</v>
      </c>
      <c r="M3118" s="9" t="s">
        <v>31</v>
      </c>
      <c r="N3118" s="9" t="s">
        <v>32</v>
      </c>
      <c r="O3118" s="12" t="s">
        <v>33</v>
      </c>
      <c r="P3118" s="12" t="s">
        <v>34</v>
      </c>
      <c r="Q3118" s="9"/>
      <c r="R3118" s="18"/>
      <c r="S3118" s="18"/>
      <c r="T3118" s="18"/>
      <c r="U3118" s="18"/>
      <c r="V3118" s="18"/>
      <c r="W3118" s="15"/>
      <c r="X3118" s="15"/>
    </row>
    <row r="3119">
      <c r="A3119" s="7">
        <v>3118.0</v>
      </c>
      <c r="B3119" s="8" t="s">
        <v>13031</v>
      </c>
      <c r="C3119" s="9" t="s">
        <v>13032</v>
      </c>
      <c r="D3119" s="10" t="str">
        <f>HYPERLINK("https://facebook.com/367089020688300_555796535150880", "367089020688300_555796535150880")</f>
        <v>367089020688300_555796535150880</v>
      </c>
      <c r="E3119" s="11">
        <v>54.0</v>
      </c>
      <c r="F3119" s="11">
        <v>0.0</v>
      </c>
      <c r="G3119" s="11">
        <v>19.0</v>
      </c>
      <c r="H3119" s="9" t="s">
        <v>26</v>
      </c>
      <c r="I3119" s="9" t="s">
        <v>13033</v>
      </c>
      <c r="J3119" s="9" t="s">
        <v>13034</v>
      </c>
      <c r="K3119" s="9" t="s">
        <v>13035</v>
      </c>
      <c r="L3119" s="9" t="s">
        <v>30</v>
      </c>
      <c r="M3119" s="9" t="s">
        <v>31</v>
      </c>
      <c r="N3119" s="9" t="s">
        <v>32</v>
      </c>
      <c r="O3119" s="12" t="s">
        <v>33</v>
      </c>
      <c r="P3119" s="12" t="s">
        <v>34</v>
      </c>
      <c r="Q3119" s="9"/>
      <c r="R3119" s="18"/>
      <c r="S3119" s="18"/>
      <c r="T3119" s="18"/>
      <c r="U3119" s="18"/>
      <c r="V3119" s="18"/>
      <c r="W3119" s="15"/>
      <c r="X3119" s="15"/>
    </row>
    <row r="3120">
      <c r="A3120" s="7">
        <v>3119.0</v>
      </c>
      <c r="B3120" s="8" t="s">
        <v>13036</v>
      </c>
      <c r="C3120" s="9" t="s">
        <v>13037</v>
      </c>
      <c r="D3120" s="10" t="str">
        <f>HYPERLINK("https://facebook.com/367089020688300_542353656495168", "367089020688300_542353656495168")</f>
        <v>367089020688300_542353656495168</v>
      </c>
      <c r="E3120" s="11">
        <v>96.0</v>
      </c>
      <c r="F3120" s="11">
        <v>0.0</v>
      </c>
      <c r="G3120" s="11">
        <v>23.0</v>
      </c>
      <c r="H3120" s="9" t="s">
        <v>26</v>
      </c>
      <c r="I3120" s="9" t="s">
        <v>5262</v>
      </c>
      <c r="J3120" s="16" t="s">
        <v>13038</v>
      </c>
      <c r="K3120" s="9"/>
      <c r="L3120" s="9" t="s">
        <v>30</v>
      </c>
      <c r="M3120" s="9" t="s">
        <v>31</v>
      </c>
      <c r="N3120" s="9" t="s">
        <v>32</v>
      </c>
      <c r="O3120" s="12" t="s">
        <v>33</v>
      </c>
      <c r="P3120" s="12" t="s">
        <v>34</v>
      </c>
      <c r="Q3120" s="9"/>
      <c r="R3120" s="18"/>
      <c r="S3120" s="18"/>
      <c r="T3120" s="18"/>
      <c r="U3120" s="18"/>
      <c r="V3120" s="18"/>
      <c r="W3120" s="15"/>
      <c r="X3120" s="15"/>
    </row>
    <row r="3121">
      <c r="A3121" s="7">
        <v>3120.0</v>
      </c>
      <c r="B3121" s="8" t="s">
        <v>13039</v>
      </c>
      <c r="C3121" s="9" t="s">
        <v>13040</v>
      </c>
      <c r="D3121" s="10" t="str">
        <f>HYPERLINK("https://facebook.com/367089020688300_503305600399974", "367089020688300_503305600399974")</f>
        <v>367089020688300_503305600399974</v>
      </c>
      <c r="E3121" s="11">
        <v>37.0</v>
      </c>
      <c r="F3121" s="11">
        <v>0.0</v>
      </c>
      <c r="G3121" s="11">
        <v>67.0</v>
      </c>
      <c r="H3121" s="9" t="s">
        <v>26</v>
      </c>
      <c r="I3121" s="9" t="s">
        <v>13041</v>
      </c>
      <c r="J3121" s="9" t="s">
        <v>13042</v>
      </c>
      <c r="K3121" s="9" t="s">
        <v>13043</v>
      </c>
      <c r="L3121" s="9" t="s">
        <v>30</v>
      </c>
      <c r="M3121" s="9" t="s">
        <v>31</v>
      </c>
      <c r="N3121" s="9" t="s">
        <v>32</v>
      </c>
      <c r="O3121" s="12" t="s">
        <v>33</v>
      </c>
      <c r="P3121" s="12" t="s">
        <v>34</v>
      </c>
      <c r="Q3121" s="9"/>
      <c r="R3121" s="18"/>
      <c r="S3121" s="18"/>
      <c r="T3121" s="18"/>
      <c r="U3121" s="18"/>
      <c r="V3121" s="18"/>
      <c r="W3121" s="15"/>
      <c r="X3121" s="15"/>
    </row>
    <row r="3122">
      <c r="A3122" s="7">
        <v>3121.0</v>
      </c>
      <c r="B3122" s="8" t="s">
        <v>13044</v>
      </c>
      <c r="C3122" s="9" t="s">
        <v>13045</v>
      </c>
      <c r="D3122" s="10" t="str">
        <f>HYPERLINK("https://facebook.com/367089020688300_554342281962972", "367089020688300_554342281962972")</f>
        <v>367089020688300_554342281962972</v>
      </c>
      <c r="E3122" s="11">
        <v>56.0</v>
      </c>
      <c r="F3122" s="11">
        <v>0.0</v>
      </c>
      <c r="G3122" s="11">
        <v>32.0</v>
      </c>
      <c r="H3122" s="9" t="s">
        <v>26</v>
      </c>
      <c r="I3122" s="9" t="s">
        <v>13046</v>
      </c>
      <c r="J3122" s="9" t="s">
        <v>13047</v>
      </c>
      <c r="K3122" s="9" t="s">
        <v>6290</v>
      </c>
      <c r="L3122" s="9" t="s">
        <v>30</v>
      </c>
      <c r="M3122" s="9" t="s">
        <v>31</v>
      </c>
      <c r="N3122" s="9" t="s">
        <v>32</v>
      </c>
      <c r="O3122" s="12" t="s">
        <v>33</v>
      </c>
      <c r="P3122" s="12" t="s">
        <v>34</v>
      </c>
      <c r="Q3122" s="9"/>
      <c r="R3122" s="18"/>
      <c r="S3122" s="18"/>
      <c r="T3122" s="18"/>
      <c r="U3122" s="18"/>
      <c r="V3122" s="18"/>
      <c r="W3122" s="15"/>
      <c r="X3122" s="15"/>
    </row>
    <row r="3123">
      <c r="A3123" s="7">
        <v>3122.0</v>
      </c>
      <c r="B3123" s="8" t="s">
        <v>13048</v>
      </c>
      <c r="C3123" s="9" t="s">
        <v>13049</v>
      </c>
      <c r="D3123" s="10" t="str">
        <f>HYPERLINK("https://facebook.com/367089020688300_558370981560102", "367089020688300_558370981560102")</f>
        <v>367089020688300_558370981560102</v>
      </c>
      <c r="E3123" s="11">
        <v>83.0</v>
      </c>
      <c r="F3123" s="11">
        <v>3.0</v>
      </c>
      <c r="G3123" s="11">
        <v>160.0</v>
      </c>
      <c r="H3123" s="9" t="s">
        <v>26</v>
      </c>
      <c r="I3123" s="9" t="s">
        <v>2909</v>
      </c>
      <c r="J3123" s="9" t="s">
        <v>2910</v>
      </c>
      <c r="K3123" s="9" t="s">
        <v>13050</v>
      </c>
      <c r="L3123" s="9" t="s">
        <v>30</v>
      </c>
      <c r="M3123" s="9" t="s">
        <v>31</v>
      </c>
      <c r="N3123" s="9" t="s">
        <v>32</v>
      </c>
      <c r="O3123" s="12" t="s">
        <v>33</v>
      </c>
      <c r="P3123" s="12" t="s">
        <v>34</v>
      </c>
      <c r="Q3123" s="9"/>
      <c r="R3123" s="18"/>
      <c r="S3123" s="18"/>
      <c r="T3123" s="18"/>
      <c r="U3123" s="18"/>
      <c r="V3123" s="18"/>
      <c r="W3123" s="15"/>
      <c r="X3123" s="15"/>
    </row>
    <row r="3124">
      <c r="A3124" s="7">
        <v>3123.0</v>
      </c>
      <c r="B3124" s="8" t="s">
        <v>13051</v>
      </c>
      <c r="C3124" s="9" t="s">
        <v>13052</v>
      </c>
      <c r="D3124" s="10" t="str">
        <f>HYPERLINK("https://facebook.com/367089020688300_552977832099417", "367089020688300_552977832099417")</f>
        <v>367089020688300_552977832099417</v>
      </c>
      <c r="E3124" s="11">
        <v>45.0</v>
      </c>
      <c r="F3124" s="11">
        <v>1.0</v>
      </c>
      <c r="G3124" s="11">
        <v>25.0</v>
      </c>
      <c r="H3124" s="9" t="s">
        <v>26</v>
      </c>
      <c r="I3124" s="9" t="s">
        <v>13053</v>
      </c>
      <c r="J3124" s="16" t="s">
        <v>13054</v>
      </c>
      <c r="K3124" s="9"/>
      <c r="L3124" s="9" t="s">
        <v>30</v>
      </c>
      <c r="M3124" s="9" t="s">
        <v>31</v>
      </c>
      <c r="N3124" s="9" t="s">
        <v>32</v>
      </c>
      <c r="O3124" s="12" t="s">
        <v>33</v>
      </c>
      <c r="P3124" s="12" t="s">
        <v>34</v>
      </c>
      <c r="Q3124" s="9"/>
      <c r="R3124" s="18"/>
      <c r="S3124" s="18"/>
      <c r="T3124" s="18"/>
      <c r="U3124" s="18"/>
      <c r="V3124" s="18"/>
      <c r="W3124" s="15"/>
      <c r="X3124" s="15"/>
    </row>
    <row r="3125">
      <c r="A3125" s="7">
        <v>3124.0</v>
      </c>
      <c r="B3125" s="8" t="s">
        <v>13055</v>
      </c>
      <c r="C3125" s="9" t="s">
        <v>13056</v>
      </c>
      <c r="D3125" s="10" t="str">
        <f>HYPERLINK("https://facebook.com/367089020688300_485039282226606", "367089020688300_485039282226606")</f>
        <v>367089020688300_485039282226606</v>
      </c>
      <c r="E3125" s="11">
        <v>125.0</v>
      </c>
      <c r="F3125" s="11">
        <v>6.0</v>
      </c>
      <c r="G3125" s="11">
        <v>176.0</v>
      </c>
      <c r="H3125" s="9" t="s">
        <v>26</v>
      </c>
      <c r="I3125" s="9" t="s">
        <v>2108</v>
      </c>
      <c r="J3125" s="9" t="s">
        <v>13057</v>
      </c>
      <c r="K3125" s="9" t="s">
        <v>13058</v>
      </c>
      <c r="L3125" s="9" t="s">
        <v>30</v>
      </c>
      <c r="M3125" s="9" t="s">
        <v>31</v>
      </c>
      <c r="N3125" s="9" t="s">
        <v>32</v>
      </c>
      <c r="O3125" s="12" t="s">
        <v>33</v>
      </c>
      <c r="P3125" s="12" t="s">
        <v>34</v>
      </c>
      <c r="Q3125" s="9"/>
      <c r="R3125" s="18"/>
      <c r="S3125" s="18"/>
      <c r="T3125" s="18"/>
      <c r="U3125" s="18"/>
      <c r="V3125" s="18"/>
      <c r="W3125" s="15"/>
      <c r="X3125" s="15"/>
    </row>
    <row r="3126">
      <c r="A3126" s="7">
        <v>3125.0</v>
      </c>
      <c r="B3126" s="8" t="s">
        <v>13059</v>
      </c>
      <c r="C3126" s="9" t="s">
        <v>13060</v>
      </c>
      <c r="D3126" s="10" t="str">
        <f>HYPERLINK("https://facebook.com/367089020688300_426188651445003", "367089020688300_426188651445003")</f>
        <v>367089020688300_426188651445003</v>
      </c>
      <c r="E3126" s="11">
        <v>25.0</v>
      </c>
      <c r="F3126" s="11">
        <v>0.0</v>
      </c>
      <c r="G3126" s="11">
        <v>32.0</v>
      </c>
      <c r="H3126" s="9" t="s">
        <v>26</v>
      </c>
      <c r="I3126" s="9" t="s">
        <v>13061</v>
      </c>
      <c r="J3126" s="9" t="s">
        <v>13062</v>
      </c>
      <c r="K3126" s="9" t="s">
        <v>13063</v>
      </c>
      <c r="L3126" s="9" t="s">
        <v>30</v>
      </c>
      <c r="M3126" s="9" t="s">
        <v>31</v>
      </c>
      <c r="N3126" s="9" t="s">
        <v>32</v>
      </c>
      <c r="O3126" s="12" t="s">
        <v>33</v>
      </c>
      <c r="P3126" s="12" t="s">
        <v>34</v>
      </c>
      <c r="Q3126" s="9"/>
      <c r="R3126" s="18"/>
      <c r="S3126" s="18"/>
      <c r="T3126" s="18"/>
      <c r="U3126" s="18"/>
      <c r="V3126" s="18"/>
      <c r="W3126" s="15"/>
      <c r="X3126" s="15"/>
    </row>
    <row r="3127">
      <c r="A3127" s="7">
        <v>3126.0</v>
      </c>
      <c r="B3127" s="8" t="s">
        <v>13064</v>
      </c>
      <c r="C3127" s="9" t="s">
        <v>13065</v>
      </c>
      <c r="D3127" s="10" t="str">
        <f>HYPERLINK("https://facebook.com/367089020688300_563020594428474", "367089020688300_563020594428474")</f>
        <v>367089020688300_563020594428474</v>
      </c>
      <c r="E3127" s="11">
        <v>354.0</v>
      </c>
      <c r="F3127" s="11">
        <v>5.0</v>
      </c>
      <c r="G3127" s="11">
        <v>108.0</v>
      </c>
      <c r="H3127" s="9" t="s">
        <v>26</v>
      </c>
      <c r="I3127" s="9" t="s">
        <v>13066</v>
      </c>
      <c r="J3127" s="16" t="s">
        <v>13067</v>
      </c>
      <c r="K3127" s="9"/>
      <c r="L3127" s="9" t="s">
        <v>30</v>
      </c>
      <c r="M3127" s="9" t="s">
        <v>31</v>
      </c>
      <c r="N3127" s="9" t="s">
        <v>32</v>
      </c>
      <c r="O3127" s="12" t="s">
        <v>33</v>
      </c>
      <c r="P3127" s="12" t="s">
        <v>34</v>
      </c>
      <c r="Q3127" s="9"/>
      <c r="R3127" s="18"/>
      <c r="S3127" s="18"/>
      <c r="T3127" s="18"/>
      <c r="U3127" s="18"/>
      <c r="V3127" s="18"/>
      <c r="W3127" s="15"/>
      <c r="X3127" s="15"/>
    </row>
    <row r="3128">
      <c r="A3128" s="7">
        <v>3127.0</v>
      </c>
      <c r="B3128" s="8" t="s">
        <v>13068</v>
      </c>
      <c r="C3128" s="9" t="s">
        <v>13069</v>
      </c>
      <c r="D3128" s="10" t="str">
        <f>HYPERLINK("https://facebook.com/367089020688300_557977684932765", "367089020688300_557977684932765")</f>
        <v>367089020688300_557977684932765</v>
      </c>
      <c r="E3128" s="11">
        <v>517.0</v>
      </c>
      <c r="F3128" s="11">
        <v>20.0</v>
      </c>
      <c r="G3128" s="11">
        <v>502.0</v>
      </c>
      <c r="H3128" s="9" t="s">
        <v>26</v>
      </c>
      <c r="I3128" s="9" t="s">
        <v>13070</v>
      </c>
      <c r="J3128" s="9" t="s">
        <v>13071</v>
      </c>
      <c r="K3128" s="9" t="s">
        <v>7632</v>
      </c>
      <c r="L3128" s="9" t="s">
        <v>30</v>
      </c>
      <c r="M3128" s="9" t="s">
        <v>31</v>
      </c>
      <c r="N3128" s="9" t="s">
        <v>32</v>
      </c>
      <c r="O3128" s="12" t="s">
        <v>33</v>
      </c>
      <c r="P3128" s="12" t="s">
        <v>34</v>
      </c>
      <c r="Q3128" s="9"/>
      <c r="R3128" s="18"/>
      <c r="S3128" s="18"/>
      <c r="T3128" s="18"/>
      <c r="U3128" s="18"/>
      <c r="V3128" s="18"/>
      <c r="W3128" s="15"/>
      <c r="X3128" s="15"/>
    </row>
    <row r="3129">
      <c r="A3129" s="7">
        <v>3128.0</v>
      </c>
      <c r="B3129" s="8" t="s">
        <v>13072</v>
      </c>
      <c r="C3129" s="9" t="s">
        <v>13073</v>
      </c>
      <c r="D3129" s="10" t="str">
        <f>HYPERLINK("https://facebook.com/367089020688300_560235574706976", "367089020688300_560235574706976")</f>
        <v>367089020688300_560235574706976</v>
      </c>
      <c r="E3129" s="11">
        <v>16.0</v>
      </c>
      <c r="F3129" s="11">
        <v>0.0</v>
      </c>
      <c r="G3129" s="11">
        <v>20.0</v>
      </c>
      <c r="H3129" s="9" t="s">
        <v>26</v>
      </c>
      <c r="I3129" s="9" t="s">
        <v>13074</v>
      </c>
      <c r="J3129" s="9" t="s">
        <v>13075</v>
      </c>
      <c r="K3129" s="9" t="s">
        <v>13076</v>
      </c>
      <c r="L3129" s="9" t="s">
        <v>30</v>
      </c>
      <c r="M3129" s="9" t="s">
        <v>31</v>
      </c>
      <c r="N3129" s="9" t="s">
        <v>32</v>
      </c>
      <c r="O3129" s="12" t="s">
        <v>33</v>
      </c>
      <c r="P3129" s="12" t="s">
        <v>34</v>
      </c>
      <c r="Q3129" s="9"/>
      <c r="R3129" s="18"/>
      <c r="S3129" s="18"/>
      <c r="T3129" s="18"/>
      <c r="U3129" s="18"/>
      <c r="V3129" s="18"/>
      <c r="W3129" s="15"/>
      <c r="X3129" s="15"/>
    </row>
    <row r="3130">
      <c r="A3130" s="7">
        <v>3129.0</v>
      </c>
      <c r="B3130" s="8" t="s">
        <v>13077</v>
      </c>
      <c r="C3130" s="9" t="s">
        <v>13078</v>
      </c>
      <c r="D3130" s="10" t="str">
        <f>HYPERLINK("https://facebook.com/367089020688300_562260314504502", "367089020688300_562260314504502")</f>
        <v>367089020688300_562260314504502</v>
      </c>
      <c r="E3130" s="11">
        <v>284.0</v>
      </c>
      <c r="F3130" s="11">
        <v>1.0</v>
      </c>
      <c r="G3130" s="11">
        <v>98.0</v>
      </c>
      <c r="H3130" s="9" t="s">
        <v>26</v>
      </c>
      <c r="I3130" s="9" t="s">
        <v>13079</v>
      </c>
      <c r="J3130" s="9" t="s">
        <v>13080</v>
      </c>
      <c r="K3130" s="9" t="s">
        <v>12665</v>
      </c>
      <c r="L3130" s="9" t="s">
        <v>30</v>
      </c>
      <c r="M3130" s="9" t="s">
        <v>31</v>
      </c>
      <c r="N3130" s="9" t="s">
        <v>32</v>
      </c>
      <c r="O3130" s="12" t="s">
        <v>33</v>
      </c>
      <c r="P3130" s="12" t="s">
        <v>34</v>
      </c>
      <c r="Q3130" s="9"/>
      <c r="R3130" s="18"/>
      <c r="S3130" s="18"/>
      <c r="T3130" s="18"/>
      <c r="U3130" s="18"/>
      <c r="V3130" s="18"/>
      <c r="W3130" s="15"/>
      <c r="X3130" s="15"/>
    </row>
    <row r="3131">
      <c r="A3131" s="7">
        <v>3130.0</v>
      </c>
      <c r="B3131" s="8" t="s">
        <v>13081</v>
      </c>
      <c r="C3131" s="9" t="s">
        <v>13082</v>
      </c>
      <c r="D3131" s="10" t="str">
        <f>HYPERLINK("https://facebook.com/367089020688300_523007081763159", "367089020688300_523007081763159")</f>
        <v>367089020688300_523007081763159</v>
      </c>
      <c r="E3131" s="11">
        <v>29.0</v>
      </c>
      <c r="F3131" s="11">
        <v>0.0</v>
      </c>
      <c r="G3131" s="11">
        <v>48.0</v>
      </c>
      <c r="H3131" s="9" t="s">
        <v>26</v>
      </c>
      <c r="I3131" s="9" t="s">
        <v>13083</v>
      </c>
      <c r="J3131" s="9" t="s">
        <v>13084</v>
      </c>
      <c r="K3131" s="9" t="s">
        <v>13085</v>
      </c>
      <c r="L3131" s="9" t="s">
        <v>30</v>
      </c>
      <c r="M3131" s="9" t="s">
        <v>31</v>
      </c>
      <c r="N3131" s="9" t="s">
        <v>32</v>
      </c>
      <c r="O3131" s="12" t="s">
        <v>33</v>
      </c>
      <c r="P3131" s="12" t="s">
        <v>34</v>
      </c>
      <c r="Q3131" s="9"/>
      <c r="R3131" s="18"/>
      <c r="S3131" s="18"/>
      <c r="T3131" s="18"/>
      <c r="U3131" s="18"/>
      <c r="V3131" s="18"/>
      <c r="W3131" s="15"/>
      <c r="X3131" s="15"/>
    </row>
    <row r="3132">
      <c r="A3132" s="7">
        <v>3131.0</v>
      </c>
      <c r="B3132" s="8" t="s">
        <v>13086</v>
      </c>
      <c r="C3132" s="9" t="s">
        <v>13087</v>
      </c>
      <c r="D3132" s="10" t="str">
        <f>HYPERLINK("https://facebook.com/367089020688300_400265264037342", "367089020688300_400265264037342")</f>
        <v>367089020688300_400265264037342</v>
      </c>
      <c r="E3132" s="11">
        <v>114.0</v>
      </c>
      <c r="F3132" s="11">
        <v>3.0</v>
      </c>
      <c r="G3132" s="11">
        <v>93.0</v>
      </c>
      <c r="H3132" s="9" t="s">
        <v>26</v>
      </c>
      <c r="I3132" s="9" t="s">
        <v>13088</v>
      </c>
      <c r="J3132" s="9" t="s">
        <v>13089</v>
      </c>
      <c r="K3132" s="9" t="s">
        <v>13090</v>
      </c>
      <c r="L3132" s="9" t="s">
        <v>30</v>
      </c>
      <c r="M3132" s="9" t="s">
        <v>31</v>
      </c>
      <c r="N3132" s="9" t="s">
        <v>32</v>
      </c>
      <c r="O3132" s="12" t="s">
        <v>33</v>
      </c>
      <c r="P3132" s="12" t="s">
        <v>34</v>
      </c>
      <c r="Q3132" s="9"/>
      <c r="R3132" s="18"/>
      <c r="S3132" s="18"/>
      <c r="T3132" s="18"/>
      <c r="U3132" s="18"/>
      <c r="V3132" s="18"/>
      <c r="W3132" s="15"/>
      <c r="X3132" s="15"/>
    </row>
    <row r="3133">
      <c r="A3133" s="7">
        <v>3132.0</v>
      </c>
      <c r="B3133" s="8" t="s">
        <v>13091</v>
      </c>
      <c r="C3133" s="9" t="s">
        <v>13092</v>
      </c>
      <c r="D3133" s="10" t="str">
        <f>HYPERLINK("https://facebook.com/367089020688300_562387131158487", "367089020688300_562387131158487")</f>
        <v>367089020688300_562387131158487</v>
      </c>
      <c r="E3133" s="11">
        <v>21.0</v>
      </c>
      <c r="F3133" s="11">
        <v>0.0</v>
      </c>
      <c r="G3133" s="11">
        <v>48.0</v>
      </c>
      <c r="H3133" s="9" t="s">
        <v>26</v>
      </c>
      <c r="I3133" s="9" t="s">
        <v>1948</v>
      </c>
      <c r="J3133" s="16" t="s">
        <v>1949</v>
      </c>
      <c r="K3133" s="9"/>
      <c r="L3133" s="9" t="s">
        <v>30</v>
      </c>
      <c r="M3133" s="9" t="s">
        <v>31</v>
      </c>
      <c r="N3133" s="9" t="s">
        <v>32</v>
      </c>
      <c r="O3133" s="12" t="s">
        <v>33</v>
      </c>
      <c r="P3133" s="12" t="s">
        <v>34</v>
      </c>
      <c r="Q3133" s="9"/>
      <c r="R3133" s="18"/>
      <c r="S3133" s="18"/>
      <c r="T3133" s="18"/>
      <c r="U3133" s="18"/>
      <c r="V3133" s="18"/>
      <c r="W3133" s="15"/>
      <c r="X3133" s="15"/>
    </row>
    <row r="3134">
      <c r="A3134" s="7">
        <v>3133.0</v>
      </c>
      <c r="B3134" s="8" t="s">
        <v>13093</v>
      </c>
      <c r="C3134" s="9" t="s">
        <v>13094</v>
      </c>
      <c r="D3134" s="10" t="str">
        <f>HYPERLINK("https://facebook.com/367089020688300_516205742443293", "367089020688300_516205742443293")</f>
        <v>367089020688300_516205742443293</v>
      </c>
      <c r="E3134" s="11">
        <v>276.0</v>
      </c>
      <c r="F3134" s="11">
        <v>15.0</v>
      </c>
      <c r="G3134" s="11">
        <v>318.0</v>
      </c>
      <c r="H3134" s="9" t="s">
        <v>26</v>
      </c>
      <c r="I3134" s="9" t="s">
        <v>13095</v>
      </c>
      <c r="J3134" s="16" t="s">
        <v>13096</v>
      </c>
      <c r="K3134" s="9"/>
      <c r="L3134" s="9" t="s">
        <v>30</v>
      </c>
      <c r="M3134" s="9" t="s">
        <v>31</v>
      </c>
      <c r="N3134" s="9" t="s">
        <v>32</v>
      </c>
      <c r="O3134" s="12" t="s">
        <v>33</v>
      </c>
      <c r="P3134" s="12" t="s">
        <v>34</v>
      </c>
      <c r="Q3134" s="9"/>
      <c r="R3134" s="18"/>
      <c r="S3134" s="18"/>
      <c r="T3134" s="18"/>
      <c r="U3134" s="18"/>
      <c r="V3134" s="18"/>
      <c r="W3134" s="15"/>
      <c r="X3134" s="15"/>
    </row>
    <row r="3135">
      <c r="A3135" s="7">
        <v>3134.0</v>
      </c>
      <c r="B3135" s="8" t="s">
        <v>13097</v>
      </c>
      <c r="C3135" s="9" t="s">
        <v>13098</v>
      </c>
      <c r="D3135" s="10" t="str">
        <f>HYPERLINK("https://facebook.com/367089020688300_561940321203168", "367089020688300_561940321203168")</f>
        <v>367089020688300_561940321203168</v>
      </c>
      <c r="E3135" s="11">
        <v>189.0</v>
      </c>
      <c r="F3135" s="11">
        <v>5.0</v>
      </c>
      <c r="G3135" s="11">
        <v>275.0</v>
      </c>
      <c r="H3135" s="9" t="s">
        <v>26</v>
      </c>
      <c r="I3135" s="9" t="s">
        <v>975</v>
      </c>
      <c r="J3135" s="9" t="s">
        <v>13099</v>
      </c>
      <c r="K3135" s="9" t="s">
        <v>5447</v>
      </c>
      <c r="L3135" s="9" t="s">
        <v>30</v>
      </c>
      <c r="M3135" s="9" t="s">
        <v>31</v>
      </c>
      <c r="N3135" s="9" t="s">
        <v>32</v>
      </c>
      <c r="O3135" s="12" t="s">
        <v>33</v>
      </c>
      <c r="P3135" s="12" t="s">
        <v>34</v>
      </c>
      <c r="Q3135" s="9"/>
      <c r="R3135" s="18"/>
      <c r="S3135" s="18"/>
      <c r="T3135" s="18"/>
      <c r="U3135" s="18"/>
      <c r="V3135" s="18"/>
      <c r="W3135" s="15"/>
      <c r="X3135" s="15"/>
    </row>
    <row r="3136">
      <c r="A3136" s="7">
        <v>3135.0</v>
      </c>
      <c r="B3136" s="8" t="s">
        <v>13100</v>
      </c>
      <c r="C3136" s="9" t="s">
        <v>13101</v>
      </c>
      <c r="D3136" s="10" t="str">
        <f>HYPERLINK("https://facebook.com/367089020688300_551345772262623", "367089020688300_551345772262623")</f>
        <v>367089020688300_551345772262623</v>
      </c>
      <c r="E3136" s="11">
        <v>12.0</v>
      </c>
      <c r="F3136" s="11">
        <v>0.0</v>
      </c>
      <c r="G3136" s="11">
        <v>0.0</v>
      </c>
      <c r="H3136" s="9" t="s">
        <v>26</v>
      </c>
      <c r="I3136" s="9" t="s">
        <v>13102</v>
      </c>
      <c r="J3136" s="16" t="s">
        <v>13103</v>
      </c>
      <c r="K3136" s="9"/>
      <c r="L3136" s="9" t="s">
        <v>30</v>
      </c>
      <c r="M3136" s="9" t="s">
        <v>31</v>
      </c>
      <c r="N3136" s="9" t="s">
        <v>32</v>
      </c>
      <c r="O3136" s="12" t="s">
        <v>33</v>
      </c>
      <c r="P3136" s="12" t="s">
        <v>34</v>
      </c>
      <c r="Q3136" s="9"/>
      <c r="R3136" s="18"/>
      <c r="S3136" s="18"/>
      <c r="T3136" s="18"/>
      <c r="U3136" s="18"/>
      <c r="V3136" s="18"/>
      <c r="W3136" s="15"/>
      <c r="X3136" s="15"/>
    </row>
    <row r="3137">
      <c r="A3137" s="7">
        <v>3136.0</v>
      </c>
      <c r="B3137" s="8" t="s">
        <v>13104</v>
      </c>
      <c r="C3137" s="9" t="s">
        <v>13105</v>
      </c>
      <c r="D3137" s="10" t="str">
        <f>HYPERLINK("https://facebook.com/367089020688300_508682369862297", "367089020688300_508682369862297")</f>
        <v>367089020688300_508682369862297</v>
      </c>
      <c r="E3137" s="11">
        <v>15.0</v>
      </c>
      <c r="F3137" s="11">
        <v>0.0</v>
      </c>
      <c r="G3137" s="11">
        <v>35.0</v>
      </c>
      <c r="H3137" s="9" t="s">
        <v>26</v>
      </c>
      <c r="I3137" s="9" t="s">
        <v>13106</v>
      </c>
      <c r="J3137" s="9" t="s">
        <v>13107</v>
      </c>
      <c r="K3137" s="9" t="s">
        <v>13108</v>
      </c>
      <c r="L3137" s="9" t="s">
        <v>30</v>
      </c>
      <c r="M3137" s="9" t="s">
        <v>31</v>
      </c>
      <c r="N3137" s="9" t="s">
        <v>32</v>
      </c>
      <c r="O3137" s="12" t="s">
        <v>33</v>
      </c>
      <c r="P3137" s="12" t="s">
        <v>34</v>
      </c>
      <c r="Q3137" s="9"/>
      <c r="R3137" s="18"/>
      <c r="S3137" s="18"/>
      <c r="T3137" s="18"/>
      <c r="U3137" s="18"/>
      <c r="V3137" s="18"/>
      <c r="W3137" s="15"/>
      <c r="X3137" s="15"/>
    </row>
    <row r="3138">
      <c r="A3138" s="7">
        <v>3137.0</v>
      </c>
      <c r="B3138" s="8" t="s">
        <v>13109</v>
      </c>
      <c r="C3138" s="9" t="s">
        <v>13110</v>
      </c>
      <c r="D3138" s="10" t="str">
        <f>HYPERLINK("https://facebook.com/367089020688300_409508213113047", "367089020688300_409508213113047")</f>
        <v>367089020688300_409508213113047</v>
      </c>
      <c r="E3138" s="11">
        <v>190.0</v>
      </c>
      <c r="F3138" s="11">
        <v>9.0</v>
      </c>
      <c r="G3138" s="11">
        <v>175.0</v>
      </c>
      <c r="H3138" s="9" t="s">
        <v>26</v>
      </c>
      <c r="I3138" s="9" t="s">
        <v>5479</v>
      </c>
      <c r="J3138" s="9" t="s">
        <v>13111</v>
      </c>
      <c r="K3138" s="9" t="s">
        <v>13112</v>
      </c>
      <c r="L3138" s="9" t="s">
        <v>30</v>
      </c>
      <c r="M3138" s="9" t="s">
        <v>31</v>
      </c>
      <c r="N3138" s="9" t="s">
        <v>32</v>
      </c>
      <c r="O3138" s="12" t="s">
        <v>33</v>
      </c>
      <c r="P3138" s="12" t="s">
        <v>34</v>
      </c>
      <c r="Q3138" s="9"/>
      <c r="R3138" s="18"/>
      <c r="S3138" s="18"/>
      <c r="T3138" s="18"/>
      <c r="U3138" s="18"/>
      <c r="V3138" s="18"/>
      <c r="W3138" s="15"/>
      <c r="X3138" s="15"/>
    </row>
    <row r="3139">
      <c r="A3139" s="7">
        <v>3138.0</v>
      </c>
      <c r="B3139" s="8" t="s">
        <v>13113</v>
      </c>
      <c r="C3139" s="9" t="s">
        <v>13114</v>
      </c>
      <c r="D3139" s="10" t="str">
        <f>HYPERLINK("https://facebook.com/367089020688300_513289369401597", "367089020688300_513289369401597")</f>
        <v>367089020688300_513289369401597</v>
      </c>
      <c r="E3139" s="11">
        <v>19.0</v>
      </c>
      <c r="F3139" s="11">
        <v>0.0</v>
      </c>
      <c r="G3139" s="11">
        <v>39.0</v>
      </c>
      <c r="H3139" s="9" t="s">
        <v>26</v>
      </c>
      <c r="I3139" s="9" t="s">
        <v>2321</v>
      </c>
      <c r="J3139" s="9" t="s">
        <v>13115</v>
      </c>
      <c r="K3139" s="9" t="s">
        <v>13116</v>
      </c>
      <c r="L3139" s="9" t="s">
        <v>30</v>
      </c>
      <c r="M3139" s="9" t="s">
        <v>31</v>
      </c>
      <c r="N3139" s="9" t="s">
        <v>32</v>
      </c>
      <c r="O3139" s="12" t="s">
        <v>33</v>
      </c>
      <c r="P3139" s="12" t="s">
        <v>34</v>
      </c>
      <c r="Q3139" s="9"/>
      <c r="R3139" s="18"/>
      <c r="S3139" s="18"/>
      <c r="T3139" s="18"/>
      <c r="U3139" s="18"/>
      <c r="V3139" s="18"/>
      <c r="W3139" s="15"/>
      <c r="X3139" s="15"/>
    </row>
    <row r="3140">
      <c r="A3140" s="7">
        <v>3139.0</v>
      </c>
      <c r="B3140" s="8" t="s">
        <v>13117</v>
      </c>
      <c r="C3140" s="9" t="s">
        <v>13118</v>
      </c>
      <c r="D3140" s="10" t="str">
        <f>HYPERLINK("https://facebook.com/367089020688300_538959856834548", "367089020688300_538959856834548")</f>
        <v>367089020688300_538959856834548</v>
      </c>
      <c r="E3140" s="11">
        <v>40.0</v>
      </c>
      <c r="F3140" s="11">
        <v>0.0</v>
      </c>
      <c r="G3140" s="11">
        <v>4.0</v>
      </c>
      <c r="H3140" s="9" t="s">
        <v>26</v>
      </c>
      <c r="I3140" s="9" t="s">
        <v>13119</v>
      </c>
      <c r="J3140" s="9" t="s">
        <v>13120</v>
      </c>
      <c r="K3140" s="9" t="s">
        <v>10123</v>
      </c>
      <c r="L3140" s="9" t="s">
        <v>30</v>
      </c>
      <c r="M3140" s="9" t="s">
        <v>31</v>
      </c>
      <c r="N3140" s="9" t="s">
        <v>32</v>
      </c>
      <c r="O3140" s="12" t="s">
        <v>33</v>
      </c>
      <c r="P3140" s="12" t="s">
        <v>34</v>
      </c>
      <c r="Q3140" s="9"/>
      <c r="R3140" s="18"/>
      <c r="S3140" s="18"/>
      <c r="T3140" s="18"/>
      <c r="U3140" s="18"/>
      <c r="V3140" s="18"/>
      <c r="W3140" s="15"/>
      <c r="X3140" s="15"/>
    </row>
    <row r="3141">
      <c r="A3141" s="7">
        <v>3140.0</v>
      </c>
      <c r="B3141" s="8" t="s">
        <v>13121</v>
      </c>
      <c r="C3141" s="9" t="s">
        <v>13122</v>
      </c>
      <c r="D3141" s="10" t="str">
        <f>HYPERLINK("https://facebook.com/367089020688300_562135701183630", "367089020688300_562135701183630")</f>
        <v>367089020688300_562135701183630</v>
      </c>
      <c r="E3141" s="11">
        <v>15.0</v>
      </c>
      <c r="F3141" s="11">
        <v>0.0</v>
      </c>
      <c r="G3141" s="11">
        <v>47.0</v>
      </c>
      <c r="H3141" s="9" t="s">
        <v>26</v>
      </c>
      <c r="I3141" s="9" t="s">
        <v>2520</v>
      </c>
      <c r="J3141" s="16" t="s">
        <v>13123</v>
      </c>
      <c r="K3141" s="9"/>
      <c r="L3141" s="9" t="s">
        <v>30</v>
      </c>
      <c r="M3141" s="9" t="s">
        <v>31</v>
      </c>
      <c r="N3141" s="9" t="s">
        <v>32</v>
      </c>
      <c r="O3141" s="12" t="s">
        <v>33</v>
      </c>
      <c r="P3141" s="12" t="s">
        <v>34</v>
      </c>
      <c r="Q3141" s="9"/>
      <c r="R3141" s="18"/>
      <c r="S3141" s="18"/>
      <c r="T3141" s="18"/>
      <c r="U3141" s="18"/>
      <c r="V3141" s="18"/>
      <c r="W3141" s="15"/>
      <c r="X3141" s="15"/>
    </row>
    <row r="3142">
      <c r="A3142" s="7">
        <v>3141.0</v>
      </c>
      <c r="B3142" s="8" t="s">
        <v>13124</v>
      </c>
      <c r="C3142" s="9" t="s">
        <v>13125</v>
      </c>
      <c r="D3142" s="10" t="str">
        <f>HYPERLINK("https://facebook.com/367089020688300_535179193879281", "367089020688300_535179193879281")</f>
        <v>367089020688300_535179193879281</v>
      </c>
      <c r="E3142" s="11">
        <v>477.0</v>
      </c>
      <c r="F3142" s="11">
        <v>27.0</v>
      </c>
      <c r="G3142" s="11">
        <v>490.0</v>
      </c>
      <c r="H3142" s="9" t="s">
        <v>26</v>
      </c>
      <c r="I3142" s="9" t="s">
        <v>13126</v>
      </c>
      <c r="J3142" s="16" t="s">
        <v>13127</v>
      </c>
      <c r="K3142" s="9"/>
      <c r="L3142" s="9" t="s">
        <v>30</v>
      </c>
      <c r="M3142" s="9" t="s">
        <v>31</v>
      </c>
      <c r="N3142" s="9" t="s">
        <v>32</v>
      </c>
      <c r="O3142" s="12" t="s">
        <v>33</v>
      </c>
      <c r="P3142" s="12" t="s">
        <v>34</v>
      </c>
      <c r="Q3142" s="9"/>
      <c r="R3142" s="18"/>
      <c r="S3142" s="18"/>
      <c r="T3142" s="18"/>
      <c r="U3142" s="18"/>
      <c r="V3142" s="18"/>
      <c r="W3142" s="15"/>
      <c r="X3142" s="15"/>
    </row>
    <row r="3143">
      <c r="A3143" s="7">
        <v>3142.0</v>
      </c>
      <c r="B3143" s="8" t="s">
        <v>13128</v>
      </c>
      <c r="C3143" s="9" t="s">
        <v>13129</v>
      </c>
      <c r="D3143" s="10" t="str">
        <f>HYPERLINK("https://facebook.com/367089020688300_561958504534683", "367089020688300_561958504534683")</f>
        <v>367089020688300_561958504534683</v>
      </c>
      <c r="E3143" s="11">
        <v>84.0</v>
      </c>
      <c r="F3143" s="11">
        <v>0.0</v>
      </c>
      <c r="G3143" s="11">
        <v>65.0</v>
      </c>
      <c r="H3143" s="9" t="s">
        <v>26</v>
      </c>
      <c r="I3143" s="9" t="s">
        <v>13130</v>
      </c>
      <c r="J3143" s="9" t="s">
        <v>13131</v>
      </c>
      <c r="K3143" s="9" t="s">
        <v>13132</v>
      </c>
      <c r="L3143" s="9" t="s">
        <v>30</v>
      </c>
      <c r="M3143" s="9" t="s">
        <v>31</v>
      </c>
      <c r="N3143" s="9" t="s">
        <v>32</v>
      </c>
      <c r="O3143" s="12" t="s">
        <v>33</v>
      </c>
      <c r="P3143" s="12" t="s">
        <v>34</v>
      </c>
      <c r="Q3143" s="9"/>
      <c r="R3143" s="18"/>
      <c r="S3143" s="18"/>
      <c r="T3143" s="18"/>
      <c r="U3143" s="18"/>
      <c r="V3143" s="18"/>
      <c r="W3143" s="15"/>
      <c r="X3143" s="15"/>
    </row>
    <row r="3144">
      <c r="A3144" s="7">
        <v>3143.0</v>
      </c>
      <c r="B3144" s="8" t="s">
        <v>13133</v>
      </c>
      <c r="C3144" s="9" t="s">
        <v>13134</v>
      </c>
      <c r="D3144" s="10" t="str">
        <f>HYPERLINK("https://facebook.com/367089020688300_550817328982134", "367089020688300_550817328982134")</f>
        <v>367089020688300_550817328982134</v>
      </c>
      <c r="E3144" s="11">
        <v>24.0</v>
      </c>
      <c r="F3144" s="11">
        <v>0.0</v>
      </c>
      <c r="G3144" s="11">
        <v>9.0</v>
      </c>
      <c r="H3144" s="9" t="s">
        <v>26</v>
      </c>
      <c r="I3144" s="9" t="s">
        <v>13135</v>
      </c>
      <c r="J3144" s="9" t="s">
        <v>13136</v>
      </c>
      <c r="K3144" s="9" t="s">
        <v>13137</v>
      </c>
      <c r="L3144" s="9" t="s">
        <v>30</v>
      </c>
      <c r="M3144" s="9" t="s">
        <v>31</v>
      </c>
      <c r="N3144" s="9" t="s">
        <v>32</v>
      </c>
      <c r="O3144" s="12" t="s">
        <v>33</v>
      </c>
      <c r="P3144" s="12" t="s">
        <v>34</v>
      </c>
      <c r="Q3144" s="9"/>
      <c r="R3144" s="18"/>
      <c r="S3144" s="18"/>
      <c r="T3144" s="18"/>
      <c r="U3144" s="18"/>
      <c r="V3144" s="18"/>
      <c r="W3144" s="15"/>
      <c r="X3144" s="15"/>
    </row>
    <row r="3145">
      <c r="A3145" s="7">
        <v>3144.0</v>
      </c>
      <c r="B3145" s="8" t="s">
        <v>13138</v>
      </c>
      <c r="C3145" s="9" t="s">
        <v>13139</v>
      </c>
      <c r="D3145" s="10" t="str">
        <f>HYPERLINK("https://facebook.com/367089020688300_499016827495518", "367089020688300_499016827495518")</f>
        <v>367089020688300_499016827495518</v>
      </c>
      <c r="E3145" s="11">
        <v>695.0</v>
      </c>
      <c r="F3145" s="11">
        <v>16.0</v>
      </c>
      <c r="G3145" s="11">
        <v>615.0</v>
      </c>
      <c r="H3145" s="9" t="s">
        <v>26</v>
      </c>
      <c r="I3145" s="9" t="s">
        <v>1007</v>
      </c>
      <c r="J3145" s="9" t="s">
        <v>13140</v>
      </c>
      <c r="K3145" s="9" t="s">
        <v>13141</v>
      </c>
      <c r="L3145" s="9" t="s">
        <v>30</v>
      </c>
      <c r="M3145" s="9" t="s">
        <v>31</v>
      </c>
      <c r="N3145" s="9" t="s">
        <v>32</v>
      </c>
      <c r="O3145" s="12" t="s">
        <v>33</v>
      </c>
      <c r="P3145" s="12" t="s">
        <v>34</v>
      </c>
      <c r="Q3145" s="9"/>
      <c r="R3145" s="18"/>
      <c r="S3145" s="18"/>
      <c r="T3145" s="18"/>
      <c r="U3145" s="18"/>
      <c r="V3145" s="18"/>
      <c r="W3145" s="15"/>
      <c r="X3145" s="15"/>
    </row>
    <row r="3146">
      <c r="A3146" s="7">
        <v>3145.0</v>
      </c>
      <c r="B3146" s="8" t="s">
        <v>13142</v>
      </c>
      <c r="C3146" s="9" t="s">
        <v>13143</v>
      </c>
      <c r="D3146" s="10" t="str">
        <f>HYPERLINK("https://facebook.com/367089020688300_543269959736871", "367089020688300_543269959736871")</f>
        <v>367089020688300_543269959736871</v>
      </c>
      <c r="E3146" s="11">
        <v>62.0</v>
      </c>
      <c r="F3146" s="11">
        <v>1.0</v>
      </c>
      <c r="G3146" s="11">
        <v>27.0</v>
      </c>
      <c r="H3146" s="9" t="s">
        <v>26</v>
      </c>
      <c r="I3146" s="9" t="s">
        <v>9239</v>
      </c>
      <c r="J3146" s="9" t="s">
        <v>9240</v>
      </c>
      <c r="K3146" s="9" t="s">
        <v>13144</v>
      </c>
      <c r="L3146" s="9" t="s">
        <v>30</v>
      </c>
      <c r="M3146" s="9" t="s">
        <v>31</v>
      </c>
      <c r="N3146" s="9" t="s">
        <v>32</v>
      </c>
      <c r="O3146" s="12" t="s">
        <v>33</v>
      </c>
      <c r="P3146" s="12" t="s">
        <v>34</v>
      </c>
      <c r="Q3146" s="9"/>
      <c r="R3146" s="18"/>
      <c r="S3146" s="18"/>
      <c r="T3146" s="18"/>
      <c r="U3146" s="18"/>
      <c r="V3146" s="18"/>
      <c r="W3146" s="15"/>
      <c r="X3146" s="15"/>
    </row>
    <row r="3147">
      <c r="A3147" s="7">
        <v>3146.0</v>
      </c>
      <c r="B3147" s="8" t="s">
        <v>13145</v>
      </c>
      <c r="C3147" s="9" t="s">
        <v>13146</v>
      </c>
      <c r="D3147" s="10" t="str">
        <f>HYPERLINK("https://facebook.com/367089020688300_560662704664263", "367089020688300_560662704664263")</f>
        <v>367089020688300_560662704664263</v>
      </c>
      <c r="E3147" s="11">
        <v>8.0</v>
      </c>
      <c r="F3147" s="11">
        <v>0.0</v>
      </c>
      <c r="G3147" s="11">
        <v>8.0</v>
      </c>
      <c r="H3147" s="9" t="s">
        <v>26</v>
      </c>
      <c r="I3147" s="9" t="s">
        <v>9132</v>
      </c>
      <c r="J3147" s="9" t="s">
        <v>9946</v>
      </c>
      <c r="K3147" s="9" t="s">
        <v>7535</v>
      </c>
      <c r="L3147" s="9" t="s">
        <v>30</v>
      </c>
      <c r="M3147" s="9" t="s">
        <v>31</v>
      </c>
      <c r="N3147" s="9" t="s">
        <v>32</v>
      </c>
      <c r="O3147" s="12" t="s">
        <v>33</v>
      </c>
      <c r="P3147" s="12" t="s">
        <v>34</v>
      </c>
      <c r="Q3147" s="9"/>
      <c r="R3147" s="18"/>
      <c r="S3147" s="18"/>
      <c r="T3147" s="18"/>
      <c r="U3147" s="18"/>
      <c r="V3147" s="18"/>
      <c r="W3147" s="15"/>
      <c r="X3147" s="15"/>
    </row>
    <row r="3148">
      <c r="A3148" s="7">
        <v>3147.0</v>
      </c>
      <c r="B3148" s="8" t="s">
        <v>13147</v>
      </c>
      <c r="C3148" s="9" t="s">
        <v>13148</v>
      </c>
      <c r="D3148" s="10" t="str">
        <f>HYPERLINK("https://facebook.com/367089020688300_523503071713560", "367089020688300_523503071713560")</f>
        <v>367089020688300_523503071713560</v>
      </c>
      <c r="E3148" s="11">
        <v>75.0</v>
      </c>
      <c r="F3148" s="11">
        <v>0.0</v>
      </c>
      <c r="G3148" s="11">
        <v>92.0</v>
      </c>
      <c r="H3148" s="9" t="s">
        <v>26</v>
      </c>
      <c r="I3148" s="9" t="s">
        <v>13149</v>
      </c>
      <c r="J3148" s="16" t="s">
        <v>13150</v>
      </c>
      <c r="K3148" s="9"/>
      <c r="L3148" s="9" t="s">
        <v>30</v>
      </c>
      <c r="M3148" s="9" t="s">
        <v>31</v>
      </c>
      <c r="N3148" s="9" t="s">
        <v>32</v>
      </c>
      <c r="O3148" s="12" t="s">
        <v>33</v>
      </c>
      <c r="P3148" s="12" t="s">
        <v>34</v>
      </c>
      <c r="Q3148" s="9"/>
      <c r="R3148" s="18"/>
      <c r="S3148" s="18"/>
      <c r="T3148" s="18"/>
      <c r="U3148" s="18"/>
      <c r="V3148" s="18"/>
      <c r="W3148" s="15"/>
      <c r="X3148" s="15"/>
    </row>
    <row r="3149">
      <c r="A3149" s="7">
        <v>3148.0</v>
      </c>
      <c r="B3149" s="8" t="s">
        <v>13151</v>
      </c>
      <c r="C3149" s="9" t="s">
        <v>13152</v>
      </c>
      <c r="D3149" s="10" t="str">
        <f>HYPERLINK("https://facebook.com/367089020688300_545335102863690", "367089020688300_545335102863690")</f>
        <v>367089020688300_545335102863690</v>
      </c>
      <c r="E3149" s="11">
        <v>230.0</v>
      </c>
      <c r="F3149" s="11">
        <v>10.0</v>
      </c>
      <c r="G3149" s="11">
        <v>421.0</v>
      </c>
      <c r="H3149" s="9" t="s">
        <v>26</v>
      </c>
      <c r="I3149" s="9" t="s">
        <v>9630</v>
      </c>
      <c r="J3149" s="16" t="s">
        <v>9631</v>
      </c>
      <c r="K3149" s="9"/>
      <c r="L3149" s="9" t="s">
        <v>30</v>
      </c>
      <c r="M3149" s="9" t="s">
        <v>31</v>
      </c>
      <c r="N3149" s="9" t="s">
        <v>32</v>
      </c>
      <c r="O3149" s="12" t="s">
        <v>33</v>
      </c>
      <c r="P3149" s="12" t="s">
        <v>34</v>
      </c>
      <c r="Q3149" s="9"/>
      <c r="R3149" s="18"/>
      <c r="S3149" s="18"/>
      <c r="T3149" s="18"/>
      <c r="U3149" s="18"/>
      <c r="V3149" s="18"/>
      <c r="W3149" s="15"/>
      <c r="X3149" s="15"/>
    </row>
    <row r="3150">
      <c r="A3150" s="7">
        <v>3149.0</v>
      </c>
      <c r="B3150" s="8" t="s">
        <v>13153</v>
      </c>
      <c r="C3150" s="9" t="s">
        <v>13154</v>
      </c>
      <c r="D3150" s="10" t="str">
        <f>HYPERLINK("https://facebook.com/367089020688300_526762031387664", "367089020688300_526762031387664")</f>
        <v>367089020688300_526762031387664</v>
      </c>
      <c r="E3150" s="11">
        <v>5.0</v>
      </c>
      <c r="F3150" s="11">
        <v>0.0</v>
      </c>
      <c r="G3150" s="11">
        <v>49.0</v>
      </c>
      <c r="H3150" s="9" t="s">
        <v>26</v>
      </c>
      <c r="I3150" s="9" t="s">
        <v>6755</v>
      </c>
      <c r="J3150" s="9" t="s">
        <v>13155</v>
      </c>
      <c r="K3150" s="9" t="s">
        <v>13156</v>
      </c>
      <c r="L3150" s="9" t="s">
        <v>30</v>
      </c>
      <c r="M3150" s="9" t="s">
        <v>31</v>
      </c>
      <c r="N3150" s="9" t="s">
        <v>32</v>
      </c>
      <c r="O3150" s="12" t="s">
        <v>33</v>
      </c>
      <c r="P3150" s="12" t="s">
        <v>34</v>
      </c>
      <c r="Q3150" s="9"/>
      <c r="R3150" s="18"/>
      <c r="S3150" s="18"/>
      <c r="T3150" s="18"/>
      <c r="U3150" s="18"/>
      <c r="V3150" s="18"/>
      <c r="W3150" s="15"/>
      <c r="X3150" s="15"/>
    </row>
    <row r="3151">
      <c r="A3151" s="7">
        <v>3150.0</v>
      </c>
      <c r="B3151" s="8" t="s">
        <v>13157</v>
      </c>
      <c r="C3151" s="9" t="s">
        <v>13158</v>
      </c>
      <c r="D3151" s="10" t="str">
        <f>HYPERLINK("https://facebook.com/367089020688300_519983722065495", "367089020688300_519983722065495")</f>
        <v>367089020688300_519983722065495</v>
      </c>
      <c r="E3151" s="11">
        <v>407.0</v>
      </c>
      <c r="F3151" s="11">
        <v>23.0</v>
      </c>
      <c r="G3151" s="11">
        <v>448.0</v>
      </c>
      <c r="H3151" s="9" t="s">
        <v>26</v>
      </c>
      <c r="I3151" s="9" t="s">
        <v>13159</v>
      </c>
      <c r="J3151" s="9" t="s">
        <v>13160</v>
      </c>
      <c r="K3151" s="9" t="s">
        <v>13161</v>
      </c>
      <c r="L3151" s="9" t="s">
        <v>30</v>
      </c>
      <c r="M3151" s="9" t="s">
        <v>31</v>
      </c>
      <c r="N3151" s="9" t="s">
        <v>32</v>
      </c>
      <c r="O3151" s="12" t="s">
        <v>33</v>
      </c>
      <c r="P3151" s="12" t="s">
        <v>34</v>
      </c>
      <c r="Q3151" s="9"/>
      <c r="R3151" s="18"/>
      <c r="S3151" s="18"/>
      <c r="T3151" s="18"/>
      <c r="U3151" s="18"/>
      <c r="V3151" s="18"/>
      <c r="W3151" s="15"/>
      <c r="X3151" s="15"/>
    </row>
    <row r="3152">
      <c r="A3152" s="7">
        <v>3151.0</v>
      </c>
      <c r="B3152" s="8" t="s">
        <v>13162</v>
      </c>
      <c r="C3152" s="9" t="s">
        <v>13163</v>
      </c>
      <c r="D3152" s="10" t="str">
        <f>HYPERLINK("https://facebook.com/367089020688300_456153885115146", "367089020688300_456153885115146")</f>
        <v>367089020688300_456153885115146</v>
      </c>
      <c r="E3152" s="11">
        <v>206.0</v>
      </c>
      <c r="F3152" s="11">
        <v>39.0</v>
      </c>
      <c r="G3152" s="11">
        <v>36.0</v>
      </c>
      <c r="H3152" s="9" t="s">
        <v>26</v>
      </c>
      <c r="I3152" s="9" t="s">
        <v>13164</v>
      </c>
      <c r="J3152" s="9" t="s">
        <v>13165</v>
      </c>
      <c r="K3152" s="9" t="s">
        <v>13166</v>
      </c>
      <c r="L3152" s="9" t="s">
        <v>30</v>
      </c>
      <c r="M3152" s="9" t="s">
        <v>31</v>
      </c>
      <c r="N3152" s="9" t="s">
        <v>32</v>
      </c>
      <c r="O3152" s="12" t="s">
        <v>33</v>
      </c>
      <c r="P3152" s="12" t="s">
        <v>34</v>
      </c>
      <c r="Q3152" s="9"/>
      <c r="R3152" s="18"/>
      <c r="S3152" s="18"/>
      <c r="T3152" s="18"/>
      <c r="U3152" s="18"/>
      <c r="V3152" s="18"/>
      <c r="W3152" s="15"/>
      <c r="X3152" s="15"/>
    </row>
    <row r="3153">
      <c r="A3153" s="7">
        <v>3152.0</v>
      </c>
      <c r="B3153" s="8" t="s">
        <v>13167</v>
      </c>
      <c r="C3153" s="9" t="s">
        <v>13168</v>
      </c>
      <c r="D3153" s="10" t="str">
        <f>HYPERLINK("https://facebook.com/367089020688300_480983032632231", "367089020688300_480983032632231")</f>
        <v>367089020688300_480983032632231</v>
      </c>
      <c r="E3153" s="11">
        <v>187.0</v>
      </c>
      <c r="F3153" s="11">
        <v>8.0</v>
      </c>
      <c r="G3153" s="11">
        <v>206.0</v>
      </c>
      <c r="H3153" s="9" t="s">
        <v>26</v>
      </c>
      <c r="I3153" s="9" t="s">
        <v>9234</v>
      </c>
      <c r="J3153" s="9" t="s">
        <v>13169</v>
      </c>
      <c r="K3153" s="9" t="s">
        <v>13170</v>
      </c>
      <c r="L3153" s="9" t="s">
        <v>30</v>
      </c>
      <c r="M3153" s="9" t="s">
        <v>31</v>
      </c>
      <c r="N3153" s="9" t="s">
        <v>32</v>
      </c>
      <c r="O3153" s="12" t="s">
        <v>33</v>
      </c>
      <c r="P3153" s="12" t="s">
        <v>34</v>
      </c>
      <c r="Q3153" s="9"/>
      <c r="R3153" s="18"/>
      <c r="S3153" s="18"/>
      <c r="T3153" s="18"/>
      <c r="U3153" s="18"/>
      <c r="V3153" s="18"/>
      <c r="W3153" s="15"/>
      <c r="X3153" s="15"/>
    </row>
    <row r="3154">
      <c r="A3154" s="7">
        <v>3153.0</v>
      </c>
      <c r="B3154" s="8" t="s">
        <v>13171</v>
      </c>
      <c r="C3154" s="9" t="s">
        <v>13172</v>
      </c>
      <c r="D3154" s="10" t="str">
        <f>HYPERLINK("https://facebook.com/367089020688300_557863701610830", "367089020688300_557863701610830")</f>
        <v>367089020688300_557863701610830</v>
      </c>
      <c r="E3154" s="11">
        <v>581.0</v>
      </c>
      <c r="F3154" s="11">
        <v>11.0</v>
      </c>
      <c r="G3154" s="11">
        <v>360.0</v>
      </c>
      <c r="H3154" s="9" t="s">
        <v>26</v>
      </c>
      <c r="I3154" s="9" t="s">
        <v>13173</v>
      </c>
      <c r="J3154" s="9" t="s">
        <v>13174</v>
      </c>
      <c r="K3154" s="9" t="s">
        <v>4171</v>
      </c>
      <c r="L3154" s="9" t="s">
        <v>30</v>
      </c>
      <c r="M3154" s="9" t="s">
        <v>31</v>
      </c>
      <c r="N3154" s="9" t="s">
        <v>32</v>
      </c>
      <c r="O3154" s="12" t="s">
        <v>33</v>
      </c>
      <c r="P3154" s="12" t="s">
        <v>34</v>
      </c>
      <c r="Q3154" s="9"/>
      <c r="R3154" s="18"/>
      <c r="S3154" s="18"/>
      <c r="T3154" s="18"/>
      <c r="U3154" s="18"/>
      <c r="V3154" s="18"/>
      <c r="W3154" s="15"/>
      <c r="X3154" s="15"/>
    </row>
    <row r="3155">
      <c r="A3155" s="7">
        <v>3154.0</v>
      </c>
      <c r="B3155" s="8" t="s">
        <v>13175</v>
      </c>
      <c r="C3155" s="9" t="s">
        <v>13176</v>
      </c>
      <c r="D3155" s="10" t="str">
        <f>HYPERLINK("https://facebook.com/367089020688300_492725158124685", "367089020688300_492725158124685")</f>
        <v>367089020688300_492725158124685</v>
      </c>
      <c r="E3155" s="11">
        <v>188.0</v>
      </c>
      <c r="F3155" s="11">
        <v>5.0</v>
      </c>
      <c r="G3155" s="11">
        <v>196.0</v>
      </c>
      <c r="H3155" s="9" t="s">
        <v>26</v>
      </c>
      <c r="I3155" s="9" t="s">
        <v>13177</v>
      </c>
      <c r="J3155" s="9" t="s">
        <v>13178</v>
      </c>
      <c r="K3155" s="9" t="s">
        <v>13179</v>
      </c>
      <c r="L3155" s="9" t="s">
        <v>30</v>
      </c>
      <c r="M3155" s="9" t="s">
        <v>31</v>
      </c>
      <c r="N3155" s="9" t="s">
        <v>32</v>
      </c>
      <c r="O3155" s="12" t="s">
        <v>33</v>
      </c>
      <c r="P3155" s="12" t="s">
        <v>34</v>
      </c>
      <c r="Q3155" s="9"/>
      <c r="R3155" s="18"/>
      <c r="S3155" s="18"/>
      <c r="T3155" s="18"/>
      <c r="U3155" s="18"/>
      <c r="V3155" s="18"/>
      <c r="W3155" s="15"/>
      <c r="X3155" s="15"/>
    </row>
    <row r="3156">
      <c r="A3156" s="7">
        <v>3155.0</v>
      </c>
      <c r="B3156" s="8" t="s">
        <v>13180</v>
      </c>
      <c r="C3156" s="9" t="s">
        <v>13181</v>
      </c>
      <c r="D3156" s="10" t="str">
        <f>HYPERLINK("https://facebook.com/367089020688300_458774071519794", "367089020688300_458774071519794")</f>
        <v>367089020688300_458774071519794</v>
      </c>
      <c r="E3156" s="11">
        <v>284.0</v>
      </c>
      <c r="F3156" s="11">
        <v>7.0</v>
      </c>
      <c r="G3156" s="11">
        <v>331.0</v>
      </c>
      <c r="H3156" s="9" t="s">
        <v>26</v>
      </c>
      <c r="I3156" s="9" t="s">
        <v>13182</v>
      </c>
      <c r="J3156" s="9" t="s">
        <v>13183</v>
      </c>
      <c r="K3156" s="9" t="s">
        <v>13184</v>
      </c>
      <c r="L3156" s="9" t="s">
        <v>30</v>
      </c>
      <c r="M3156" s="9" t="s">
        <v>31</v>
      </c>
      <c r="N3156" s="9" t="s">
        <v>32</v>
      </c>
      <c r="O3156" s="12" t="s">
        <v>33</v>
      </c>
      <c r="P3156" s="12" t="s">
        <v>34</v>
      </c>
      <c r="Q3156" s="9"/>
      <c r="R3156" s="18"/>
      <c r="S3156" s="18"/>
      <c r="T3156" s="18"/>
      <c r="U3156" s="18"/>
      <c r="V3156" s="18"/>
      <c r="W3156" s="15"/>
      <c r="X3156" s="15"/>
    </row>
    <row r="3157">
      <c r="A3157" s="7">
        <v>3156.0</v>
      </c>
      <c r="B3157" s="8" t="s">
        <v>13185</v>
      </c>
      <c r="C3157" s="9" t="s">
        <v>13186</v>
      </c>
      <c r="D3157" s="10" t="str">
        <f>HYPERLINK("https://facebook.com/367089020688300_369076297156239", "367089020688300_369076297156239")</f>
        <v>367089020688300_369076297156239</v>
      </c>
      <c r="E3157" s="11">
        <v>481.0</v>
      </c>
      <c r="F3157" s="11">
        <v>31.0</v>
      </c>
      <c r="G3157" s="11">
        <v>566.0</v>
      </c>
      <c r="H3157" s="9" t="s">
        <v>26</v>
      </c>
      <c r="I3157" s="9" t="s">
        <v>13187</v>
      </c>
      <c r="J3157" s="9" t="s">
        <v>13188</v>
      </c>
      <c r="K3157" s="9" t="s">
        <v>13189</v>
      </c>
      <c r="L3157" s="9" t="s">
        <v>30</v>
      </c>
      <c r="M3157" s="9" t="s">
        <v>31</v>
      </c>
      <c r="N3157" s="9" t="s">
        <v>32</v>
      </c>
      <c r="O3157" s="12" t="s">
        <v>33</v>
      </c>
      <c r="P3157" s="12" t="s">
        <v>34</v>
      </c>
      <c r="Q3157" s="9"/>
      <c r="R3157" s="18"/>
      <c r="S3157" s="18"/>
      <c r="T3157" s="18"/>
      <c r="U3157" s="18"/>
      <c r="V3157" s="18"/>
      <c r="W3157" s="15"/>
      <c r="X3157" s="15"/>
    </row>
    <row r="3158">
      <c r="A3158" s="7">
        <v>3157.0</v>
      </c>
      <c r="B3158" s="8" t="s">
        <v>13190</v>
      </c>
      <c r="C3158" s="9" t="s">
        <v>13191</v>
      </c>
      <c r="D3158" s="10" t="str">
        <f>HYPERLINK("https://facebook.com/367089020688300_543228563074344", "367089020688300_543228563074344")</f>
        <v>367089020688300_543228563074344</v>
      </c>
      <c r="E3158" s="11">
        <v>817.0</v>
      </c>
      <c r="F3158" s="11">
        <v>10.0</v>
      </c>
      <c r="G3158" s="11">
        <v>408.0</v>
      </c>
      <c r="H3158" s="9" t="s">
        <v>26</v>
      </c>
      <c r="I3158" s="9" t="s">
        <v>10665</v>
      </c>
      <c r="J3158" s="9" t="s">
        <v>10666</v>
      </c>
      <c r="K3158" s="9" t="s">
        <v>13192</v>
      </c>
      <c r="L3158" s="9" t="s">
        <v>30</v>
      </c>
      <c r="M3158" s="9" t="s">
        <v>31</v>
      </c>
      <c r="N3158" s="9" t="s">
        <v>32</v>
      </c>
      <c r="O3158" s="12" t="s">
        <v>33</v>
      </c>
      <c r="P3158" s="12" t="s">
        <v>34</v>
      </c>
      <c r="Q3158" s="9"/>
      <c r="R3158" s="18"/>
      <c r="S3158" s="18"/>
      <c r="T3158" s="18"/>
      <c r="U3158" s="18"/>
      <c r="V3158" s="18"/>
      <c r="W3158" s="15"/>
      <c r="X3158" s="15"/>
    </row>
    <row r="3159">
      <c r="A3159" s="7">
        <v>3158.0</v>
      </c>
      <c r="B3159" s="8" t="s">
        <v>13193</v>
      </c>
      <c r="C3159" s="9" t="s">
        <v>13194</v>
      </c>
      <c r="D3159" s="10" t="str">
        <f>HYPERLINK("https://facebook.com/367089020688300_501118400618694", "367089020688300_501118400618694")</f>
        <v>367089020688300_501118400618694</v>
      </c>
      <c r="E3159" s="11">
        <v>236.0</v>
      </c>
      <c r="F3159" s="11">
        <v>19.0</v>
      </c>
      <c r="G3159" s="11">
        <v>258.0</v>
      </c>
      <c r="H3159" s="9" t="s">
        <v>26</v>
      </c>
      <c r="I3159" s="9" t="s">
        <v>4753</v>
      </c>
      <c r="J3159" s="9" t="s">
        <v>4754</v>
      </c>
      <c r="K3159" s="9" t="s">
        <v>13195</v>
      </c>
      <c r="L3159" s="9" t="s">
        <v>30</v>
      </c>
      <c r="M3159" s="9" t="s">
        <v>31</v>
      </c>
      <c r="N3159" s="9" t="s">
        <v>32</v>
      </c>
      <c r="O3159" s="12" t="s">
        <v>33</v>
      </c>
      <c r="P3159" s="12" t="s">
        <v>34</v>
      </c>
      <c r="Q3159" s="9"/>
      <c r="R3159" s="18"/>
      <c r="S3159" s="18"/>
      <c r="T3159" s="18"/>
      <c r="U3159" s="18"/>
      <c r="V3159" s="18"/>
      <c r="W3159" s="15"/>
      <c r="X3159" s="15"/>
    </row>
    <row r="3160">
      <c r="A3160" s="7">
        <v>3159.0</v>
      </c>
      <c r="B3160" s="8" t="s">
        <v>13196</v>
      </c>
      <c r="C3160" s="9" t="s">
        <v>13197</v>
      </c>
      <c r="D3160" s="10" t="str">
        <f>HYPERLINK("https://facebook.com/367089020688300_563096311087569", "367089020688300_563096311087569")</f>
        <v>367089020688300_563096311087569</v>
      </c>
      <c r="E3160" s="11">
        <v>42.0</v>
      </c>
      <c r="F3160" s="11">
        <v>1.0</v>
      </c>
      <c r="G3160" s="11">
        <v>62.0</v>
      </c>
      <c r="H3160" s="9" t="s">
        <v>26</v>
      </c>
      <c r="I3160" s="9" t="s">
        <v>13198</v>
      </c>
      <c r="J3160" s="16" t="s">
        <v>13199</v>
      </c>
      <c r="K3160" s="9"/>
      <c r="L3160" s="9" t="s">
        <v>30</v>
      </c>
      <c r="M3160" s="9" t="s">
        <v>31</v>
      </c>
      <c r="N3160" s="9" t="s">
        <v>32</v>
      </c>
      <c r="O3160" s="12" t="s">
        <v>33</v>
      </c>
      <c r="P3160" s="12" t="s">
        <v>34</v>
      </c>
      <c r="Q3160" s="9"/>
      <c r="R3160" s="18"/>
      <c r="S3160" s="18"/>
      <c r="T3160" s="18"/>
      <c r="U3160" s="18"/>
      <c r="V3160" s="18"/>
      <c r="W3160" s="15"/>
      <c r="X3160" s="15"/>
    </row>
    <row r="3161">
      <c r="A3161" s="7">
        <v>3160.0</v>
      </c>
      <c r="B3161" s="8" t="s">
        <v>13200</v>
      </c>
      <c r="C3161" s="9" t="s">
        <v>13201</v>
      </c>
      <c r="D3161" s="10" t="str">
        <f>HYPERLINK("https://facebook.com/367089020688300_536025777127956", "367089020688300_536025777127956")</f>
        <v>367089020688300_536025777127956</v>
      </c>
      <c r="E3161" s="11">
        <v>145.0</v>
      </c>
      <c r="F3161" s="11">
        <v>0.0</v>
      </c>
      <c r="G3161" s="11">
        <v>76.0</v>
      </c>
      <c r="H3161" s="9" t="s">
        <v>26</v>
      </c>
      <c r="I3161" s="9" t="s">
        <v>13202</v>
      </c>
      <c r="J3161" s="16" t="s">
        <v>13203</v>
      </c>
      <c r="K3161" s="9"/>
      <c r="L3161" s="9" t="s">
        <v>30</v>
      </c>
      <c r="M3161" s="9" t="s">
        <v>31</v>
      </c>
      <c r="N3161" s="9" t="s">
        <v>32</v>
      </c>
      <c r="O3161" s="12" t="s">
        <v>33</v>
      </c>
      <c r="P3161" s="12" t="s">
        <v>34</v>
      </c>
      <c r="Q3161" s="9"/>
      <c r="R3161" s="18"/>
      <c r="S3161" s="18"/>
      <c r="T3161" s="18"/>
      <c r="U3161" s="18"/>
      <c r="V3161" s="18"/>
      <c r="W3161" s="15"/>
      <c r="X3161" s="15"/>
    </row>
    <row r="3162">
      <c r="A3162" s="7">
        <v>3161.0</v>
      </c>
      <c r="B3162" s="8" t="s">
        <v>13204</v>
      </c>
      <c r="C3162" s="9" t="s">
        <v>13205</v>
      </c>
      <c r="D3162" s="10" t="str">
        <f>HYPERLINK("https://facebook.com/367089020688300_512527586144442", "367089020688300_512527586144442")</f>
        <v>367089020688300_512527586144442</v>
      </c>
      <c r="E3162" s="11">
        <v>118.0</v>
      </c>
      <c r="F3162" s="11">
        <v>1.0</v>
      </c>
      <c r="G3162" s="11">
        <v>160.0</v>
      </c>
      <c r="H3162" s="9" t="s">
        <v>26</v>
      </c>
      <c r="I3162" s="9" t="s">
        <v>6837</v>
      </c>
      <c r="J3162" s="9" t="s">
        <v>6838</v>
      </c>
      <c r="K3162" s="9" t="s">
        <v>214</v>
      </c>
      <c r="L3162" s="9" t="s">
        <v>30</v>
      </c>
      <c r="M3162" s="9" t="s">
        <v>31</v>
      </c>
      <c r="N3162" s="9" t="s">
        <v>32</v>
      </c>
      <c r="O3162" s="12" t="s">
        <v>33</v>
      </c>
      <c r="P3162" s="12" t="s">
        <v>34</v>
      </c>
      <c r="Q3162" s="9"/>
      <c r="R3162" s="18"/>
      <c r="S3162" s="18"/>
      <c r="T3162" s="18"/>
      <c r="U3162" s="18"/>
      <c r="V3162" s="18"/>
      <c r="W3162" s="15"/>
      <c r="X3162" s="15"/>
    </row>
    <row r="3163">
      <c r="A3163" s="7">
        <v>3162.0</v>
      </c>
      <c r="B3163" s="8" t="s">
        <v>13206</v>
      </c>
      <c r="C3163" s="9" t="s">
        <v>13207</v>
      </c>
      <c r="D3163" s="10" t="str">
        <f>HYPERLINK("https://facebook.com/367089020688300_388626975201171", "367089020688300_388626975201171")</f>
        <v>367089020688300_388626975201171</v>
      </c>
      <c r="E3163" s="11">
        <v>470.0</v>
      </c>
      <c r="F3163" s="11">
        <v>1.0</v>
      </c>
      <c r="G3163" s="11">
        <v>182.0</v>
      </c>
      <c r="H3163" s="9" t="s">
        <v>26</v>
      </c>
      <c r="I3163" s="9" t="s">
        <v>13208</v>
      </c>
      <c r="J3163" s="9" t="s">
        <v>13209</v>
      </c>
      <c r="K3163" s="9" t="s">
        <v>13210</v>
      </c>
      <c r="L3163" s="9" t="s">
        <v>30</v>
      </c>
      <c r="M3163" s="9" t="s">
        <v>31</v>
      </c>
      <c r="N3163" s="9" t="s">
        <v>32</v>
      </c>
      <c r="O3163" s="12" t="s">
        <v>33</v>
      </c>
      <c r="P3163" s="12" t="s">
        <v>34</v>
      </c>
      <c r="Q3163" s="9"/>
      <c r="R3163" s="18"/>
      <c r="S3163" s="18"/>
      <c r="T3163" s="18"/>
      <c r="U3163" s="18"/>
      <c r="V3163" s="18"/>
      <c r="W3163" s="15"/>
      <c r="X3163" s="15"/>
    </row>
    <row r="3164">
      <c r="A3164" s="7">
        <v>3163.0</v>
      </c>
      <c r="B3164" s="8" t="s">
        <v>13211</v>
      </c>
      <c r="C3164" s="9" t="s">
        <v>13212</v>
      </c>
      <c r="D3164" s="10" t="str">
        <f>HYPERLINK("https://facebook.com/367089020688300_560131374717396", "367089020688300_560131374717396")</f>
        <v>367089020688300_560131374717396</v>
      </c>
      <c r="E3164" s="11">
        <v>326.0</v>
      </c>
      <c r="F3164" s="11">
        <v>3.0</v>
      </c>
      <c r="G3164" s="11">
        <v>357.0</v>
      </c>
      <c r="H3164" s="9" t="s">
        <v>26</v>
      </c>
      <c r="I3164" s="9" t="s">
        <v>3804</v>
      </c>
      <c r="J3164" s="16" t="s">
        <v>3805</v>
      </c>
      <c r="K3164" s="9"/>
      <c r="L3164" s="9" t="s">
        <v>30</v>
      </c>
      <c r="M3164" s="9" t="s">
        <v>31</v>
      </c>
      <c r="N3164" s="9" t="s">
        <v>32</v>
      </c>
      <c r="O3164" s="12" t="s">
        <v>33</v>
      </c>
      <c r="P3164" s="12" t="s">
        <v>34</v>
      </c>
      <c r="Q3164" s="9"/>
      <c r="R3164" s="18"/>
      <c r="S3164" s="18"/>
      <c r="T3164" s="18"/>
      <c r="U3164" s="18"/>
      <c r="V3164" s="18"/>
      <c r="W3164" s="15"/>
      <c r="X3164" s="15"/>
    </row>
    <row r="3165">
      <c r="A3165" s="7">
        <v>3164.0</v>
      </c>
      <c r="B3165" s="8" t="s">
        <v>13213</v>
      </c>
      <c r="C3165" s="9" t="s">
        <v>13214</v>
      </c>
      <c r="D3165" s="10" t="str">
        <f>HYPERLINK("https://facebook.com/367089020688300_558347758229091", "367089020688300_558347758229091")</f>
        <v>367089020688300_558347758229091</v>
      </c>
      <c r="E3165" s="11">
        <v>68.0</v>
      </c>
      <c r="F3165" s="11">
        <v>0.0</v>
      </c>
      <c r="G3165" s="11">
        <v>29.0</v>
      </c>
      <c r="H3165" s="9" t="s">
        <v>26</v>
      </c>
      <c r="I3165" s="9" t="s">
        <v>127</v>
      </c>
      <c r="J3165" s="9" t="s">
        <v>128</v>
      </c>
      <c r="K3165" s="9" t="s">
        <v>13215</v>
      </c>
      <c r="L3165" s="9" t="s">
        <v>30</v>
      </c>
      <c r="M3165" s="9" t="s">
        <v>31</v>
      </c>
      <c r="N3165" s="9" t="s">
        <v>32</v>
      </c>
      <c r="O3165" s="12" t="s">
        <v>33</v>
      </c>
      <c r="P3165" s="12" t="s">
        <v>34</v>
      </c>
      <c r="Q3165" s="9"/>
      <c r="R3165" s="18"/>
      <c r="S3165" s="18"/>
      <c r="T3165" s="18"/>
      <c r="U3165" s="18"/>
      <c r="V3165" s="18"/>
      <c r="W3165" s="15"/>
      <c r="X3165" s="15"/>
    </row>
    <row r="3166">
      <c r="A3166" s="7">
        <v>3165.0</v>
      </c>
      <c r="B3166" s="8" t="s">
        <v>13216</v>
      </c>
      <c r="C3166" s="9" t="s">
        <v>13217</v>
      </c>
      <c r="D3166" s="10" t="str">
        <f>HYPERLINK("https://facebook.com/367089020688300_501380443925823", "367089020688300_501380443925823")</f>
        <v>367089020688300_501380443925823</v>
      </c>
      <c r="E3166" s="11">
        <v>932.0</v>
      </c>
      <c r="F3166" s="11">
        <v>20.0</v>
      </c>
      <c r="G3166" s="11">
        <v>281.0</v>
      </c>
      <c r="H3166" s="9" t="s">
        <v>26</v>
      </c>
      <c r="I3166" s="9" t="s">
        <v>13218</v>
      </c>
      <c r="J3166" s="16" t="s">
        <v>13219</v>
      </c>
      <c r="K3166" s="9"/>
      <c r="L3166" s="9" t="s">
        <v>30</v>
      </c>
      <c r="M3166" s="9" t="s">
        <v>31</v>
      </c>
      <c r="N3166" s="9" t="s">
        <v>32</v>
      </c>
      <c r="O3166" s="12" t="s">
        <v>33</v>
      </c>
      <c r="P3166" s="12" t="s">
        <v>34</v>
      </c>
      <c r="Q3166" s="9"/>
      <c r="R3166" s="18"/>
      <c r="S3166" s="18"/>
      <c r="T3166" s="18"/>
      <c r="U3166" s="18"/>
      <c r="V3166" s="18"/>
      <c r="W3166" s="15"/>
      <c r="X3166" s="15"/>
    </row>
    <row r="3167">
      <c r="A3167" s="7">
        <v>3166.0</v>
      </c>
      <c r="B3167" s="8" t="s">
        <v>13220</v>
      </c>
      <c r="C3167" s="9" t="s">
        <v>13221</v>
      </c>
      <c r="D3167" s="10" t="str">
        <f>HYPERLINK("https://facebook.com/367089020688300_513913926005808", "367089020688300_513913926005808")</f>
        <v>367089020688300_513913926005808</v>
      </c>
      <c r="E3167" s="11">
        <v>1215.0</v>
      </c>
      <c r="F3167" s="11">
        <v>56.0</v>
      </c>
      <c r="G3167" s="11">
        <v>1448.0</v>
      </c>
      <c r="H3167" s="9" t="s">
        <v>26</v>
      </c>
      <c r="I3167" s="9" t="s">
        <v>13222</v>
      </c>
      <c r="J3167" s="9" t="s">
        <v>13223</v>
      </c>
      <c r="K3167" s="9" t="s">
        <v>3984</v>
      </c>
      <c r="L3167" s="9" t="s">
        <v>30</v>
      </c>
      <c r="M3167" s="9" t="s">
        <v>31</v>
      </c>
      <c r="N3167" s="9" t="s">
        <v>32</v>
      </c>
      <c r="O3167" s="12" t="s">
        <v>33</v>
      </c>
      <c r="P3167" s="12" t="s">
        <v>34</v>
      </c>
      <c r="Q3167" s="9"/>
      <c r="R3167" s="18"/>
      <c r="S3167" s="18"/>
      <c r="T3167" s="18"/>
      <c r="U3167" s="18"/>
      <c r="V3167" s="18"/>
      <c r="W3167" s="15"/>
      <c r="X3167" s="15"/>
    </row>
    <row r="3168">
      <c r="A3168" s="7">
        <v>3167.0</v>
      </c>
      <c r="B3168" s="8" t="s">
        <v>13224</v>
      </c>
      <c r="C3168" s="9" t="s">
        <v>13225</v>
      </c>
      <c r="D3168" s="10" t="str">
        <f>HYPERLINK("https://facebook.com/367089020688300_560243191372881", "367089020688300_560243191372881")</f>
        <v>367089020688300_560243191372881</v>
      </c>
      <c r="E3168" s="11">
        <v>182.0</v>
      </c>
      <c r="F3168" s="11">
        <v>13.0</v>
      </c>
      <c r="G3168" s="11">
        <v>372.0</v>
      </c>
      <c r="H3168" s="9" t="s">
        <v>26</v>
      </c>
      <c r="I3168" s="9" t="s">
        <v>13226</v>
      </c>
      <c r="J3168" s="9" t="s">
        <v>13227</v>
      </c>
      <c r="K3168" s="9" t="s">
        <v>3984</v>
      </c>
      <c r="L3168" s="9" t="s">
        <v>30</v>
      </c>
      <c r="M3168" s="9" t="s">
        <v>31</v>
      </c>
      <c r="N3168" s="9" t="s">
        <v>32</v>
      </c>
      <c r="O3168" s="12" t="s">
        <v>33</v>
      </c>
      <c r="P3168" s="12" t="s">
        <v>34</v>
      </c>
      <c r="Q3168" s="9"/>
      <c r="R3168" s="18"/>
      <c r="S3168" s="18"/>
      <c r="T3168" s="18"/>
      <c r="U3168" s="18"/>
      <c r="V3168" s="18"/>
      <c r="W3168" s="15"/>
      <c r="X3168" s="15"/>
    </row>
    <row r="3169">
      <c r="A3169" s="7">
        <v>3168.0</v>
      </c>
      <c r="B3169" s="8" t="s">
        <v>13228</v>
      </c>
      <c r="C3169" s="9" t="s">
        <v>13229</v>
      </c>
      <c r="D3169" s="10" t="str">
        <f>HYPERLINK("https://facebook.com/367089020688300_548723045858229", "367089020688300_548723045858229")</f>
        <v>367089020688300_548723045858229</v>
      </c>
      <c r="E3169" s="11">
        <v>45.0</v>
      </c>
      <c r="F3169" s="11">
        <v>0.0</v>
      </c>
      <c r="G3169" s="11">
        <v>28.0</v>
      </c>
      <c r="H3169" s="9" t="s">
        <v>26</v>
      </c>
      <c r="I3169" s="9" t="s">
        <v>8324</v>
      </c>
      <c r="J3169" s="16" t="s">
        <v>13230</v>
      </c>
      <c r="K3169" s="9"/>
      <c r="L3169" s="9" t="s">
        <v>30</v>
      </c>
      <c r="M3169" s="9" t="s">
        <v>31</v>
      </c>
      <c r="N3169" s="9" t="s">
        <v>32</v>
      </c>
      <c r="O3169" s="12" t="s">
        <v>33</v>
      </c>
      <c r="P3169" s="12" t="s">
        <v>34</v>
      </c>
      <c r="Q3169" s="9"/>
      <c r="R3169" s="18"/>
      <c r="S3169" s="18"/>
      <c r="T3169" s="18"/>
      <c r="U3169" s="18"/>
      <c r="V3169" s="18"/>
      <c r="W3169" s="15"/>
      <c r="X3169" s="15"/>
    </row>
    <row r="3170">
      <c r="A3170" s="7">
        <v>3169.0</v>
      </c>
      <c r="B3170" s="8" t="s">
        <v>13231</v>
      </c>
      <c r="C3170" s="9" t="s">
        <v>13232</v>
      </c>
      <c r="D3170" s="10" t="str">
        <f>HYPERLINK("https://facebook.com/367089020688300_508856559844878", "367089020688300_508856559844878")</f>
        <v>367089020688300_508856559844878</v>
      </c>
      <c r="E3170" s="11">
        <v>150.0</v>
      </c>
      <c r="F3170" s="11">
        <v>5.0</v>
      </c>
      <c r="G3170" s="11">
        <v>148.0</v>
      </c>
      <c r="H3170" s="9" t="s">
        <v>26</v>
      </c>
      <c r="I3170" s="9" t="s">
        <v>13233</v>
      </c>
      <c r="J3170" s="9" t="s">
        <v>13234</v>
      </c>
      <c r="K3170" s="9" t="s">
        <v>13235</v>
      </c>
      <c r="L3170" s="9" t="s">
        <v>30</v>
      </c>
      <c r="M3170" s="9" t="s">
        <v>31</v>
      </c>
      <c r="N3170" s="9" t="s">
        <v>32</v>
      </c>
      <c r="O3170" s="12" t="s">
        <v>33</v>
      </c>
      <c r="P3170" s="12" t="s">
        <v>34</v>
      </c>
      <c r="Q3170" s="9"/>
      <c r="R3170" s="18"/>
      <c r="S3170" s="18"/>
      <c r="T3170" s="18"/>
      <c r="U3170" s="18"/>
      <c r="V3170" s="18"/>
      <c r="W3170" s="15"/>
      <c r="X3170" s="15"/>
    </row>
    <row r="3171">
      <c r="A3171" s="7">
        <v>3170.0</v>
      </c>
      <c r="B3171" s="8" t="s">
        <v>13236</v>
      </c>
      <c r="C3171" s="9" t="s">
        <v>13237</v>
      </c>
      <c r="D3171" s="10" t="str">
        <f>HYPERLINK("https://facebook.com/367089020688300_547972645933269", "367089020688300_547972645933269")</f>
        <v>367089020688300_547972645933269</v>
      </c>
      <c r="E3171" s="11">
        <v>16.0</v>
      </c>
      <c r="F3171" s="11">
        <v>0.0</v>
      </c>
      <c r="G3171" s="11">
        <v>7.0</v>
      </c>
      <c r="H3171" s="9" t="s">
        <v>26</v>
      </c>
      <c r="I3171" s="9" t="s">
        <v>13238</v>
      </c>
      <c r="J3171" s="16" t="s">
        <v>13239</v>
      </c>
      <c r="K3171" s="9"/>
      <c r="L3171" s="9" t="s">
        <v>30</v>
      </c>
      <c r="M3171" s="9" t="s">
        <v>31</v>
      </c>
      <c r="N3171" s="9" t="s">
        <v>32</v>
      </c>
      <c r="O3171" s="12" t="s">
        <v>33</v>
      </c>
      <c r="P3171" s="12" t="s">
        <v>34</v>
      </c>
      <c r="Q3171" s="9"/>
      <c r="R3171" s="18"/>
      <c r="S3171" s="18"/>
      <c r="T3171" s="18"/>
      <c r="U3171" s="18"/>
      <c r="V3171" s="18"/>
      <c r="W3171" s="15"/>
      <c r="X3171" s="15"/>
    </row>
    <row r="3172">
      <c r="A3172" s="7">
        <v>3171.0</v>
      </c>
      <c r="B3172" s="8" t="s">
        <v>13240</v>
      </c>
      <c r="C3172" s="9" t="s">
        <v>13241</v>
      </c>
      <c r="D3172" s="10" t="str">
        <f>HYPERLINK("https://facebook.com/367089020688300_476773219719879", "367089020688300_476773219719879")</f>
        <v>367089020688300_476773219719879</v>
      </c>
      <c r="E3172" s="11">
        <v>38.0</v>
      </c>
      <c r="F3172" s="11">
        <v>0.0</v>
      </c>
      <c r="G3172" s="11">
        <v>15.0</v>
      </c>
      <c r="H3172" s="9" t="s">
        <v>26</v>
      </c>
      <c r="I3172" s="9" t="s">
        <v>3325</v>
      </c>
      <c r="J3172" s="9" t="s">
        <v>8497</v>
      </c>
      <c r="K3172" s="9" t="s">
        <v>6629</v>
      </c>
      <c r="L3172" s="9" t="s">
        <v>30</v>
      </c>
      <c r="M3172" s="9" t="s">
        <v>31</v>
      </c>
      <c r="N3172" s="9" t="s">
        <v>32</v>
      </c>
      <c r="O3172" s="12" t="s">
        <v>33</v>
      </c>
      <c r="P3172" s="12" t="s">
        <v>34</v>
      </c>
      <c r="Q3172" s="9"/>
      <c r="R3172" s="18"/>
      <c r="S3172" s="18"/>
      <c r="T3172" s="18"/>
      <c r="U3172" s="18"/>
      <c r="V3172" s="18"/>
      <c r="W3172" s="15"/>
      <c r="X3172" s="15"/>
    </row>
    <row r="3173">
      <c r="A3173" s="7">
        <v>3172.0</v>
      </c>
      <c r="B3173" s="8" t="s">
        <v>13242</v>
      </c>
      <c r="C3173" s="9" t="s">
        <v>13243</v>
      </c>
      <c r="D3173" s="10" t="str">
        <f>HYPERLINK("https://facebook.com/367089020688300_552630612134139", "367089020688300_552630612134139")</f>
        <v>367089020688300_552630612134139</v>
      </c>
      <c r="E3173" s="11">
        <v>33.0</v>
      </c>
      <c r="F3173" s="11">
        <v>0.0</v>
      </c>
      <c r="G3173" s="11">
        <v>24.0</v>
      </c>
      <c r="H3173" s="9" t="s">
        <v>26</v>
      </c>
      <c r="I3173" s="9" t="s">
        <v>6205</v>
      </c>
      <c r="J3173" s="16" t="s">
        <v>6206</v>
      </c>
      <c r="K3173" s="9"/>
      <c r="L3173" s="9" t="s">
        <v>30</v>
      </c>
      <c r="M3173" s="9" t="s">
        <v>31</v>
      </c>
      <c r="N3173" s="9" t="s">
        <v>32</v>
      </c>
      <c r="O3173" s="12" t="s">
        <v>33</v>
      </c>
      <c r="P3173" s="12" t="s">
        <v>34</v>
      </c>
      <c r="Q3173" s="9"/>
      <c r="R3173" s="18"/>
      <c r="S3173" s="18"/>
      <c r="T3173" s="18"/>
      <c r="U3173" s="18"/>
      <c r="V3173" s="18"/>
      <c r="W3173" s="15"/>
      <c r="X3173" s="15"/>
    </row>
    <row r="3174">
      <c r="A3174" s="7">
        <v>3173.0</v>
      </c>
      <c r="B3174" s="8" t="s">
        <v>13244</v>
      </c>
      <c r="C3174" s="9" t="s">
        <v>13245</v>
      </c>
      <c r="D3174" s="10" t="str">
        <f>HYPERLINK("https://facebook.com/367089020688300_490715971658937", "367089020688300_490715971658937")</f>
        <v>367089020688300_490715971658937</v>
      </c>
      <c r="E3174" s="11">
        <v>843.0</v>
      </c>
      <c r="F3174" s="11">
        <v>30.0</v>
      </c>
      <c r="G3174" s="11">
        <v>698.0</v>
      </c>
      <c r="H3174" s="9" t="s">
        <v>26</v>
      </c>
      <c r="I3174" s="9" t="s">
        <v>13246</v>
      </c>
      <c r="J3174" s="9" t="s">
        <v>13247</v>
      </c>
      <c r="K3174" s="9" t="s">
        <v>13248</v>
      </c>
      <c r="L3174" s="9" t="s">
        <v>30</v>
      </c>
      <c r="M3174" s="9" t="s">
        <v>31</v>
      </c>
      <c r="N3174" s="9" t="s">
        <v>32</v>
      </c>
      <c r="O3174" s="12" t="s">
        <v>33</v>
      </c>
      <c r="P3174" s="12" t="s">
        <v>34</v>
      </c>
      <c r="Q3174" s="9"/>
      <c r="R3174" s="18"/>
      <c r="S3174" s="18"/>
      <c r="T3174" s="18"/>
      <c r="U3174" s="18"/>
      <c r="V3174" s="18"/>
      <c r="W3174" s="15"/>
      <c r="X3174" s="15"/>
    </row>
    <row r="3175">
      <c r="A3175" s="7">
        <v>3174.0</v>
      </c>
      <c r="B3175" s="8" t="s">
        <v>13249</v>
      </c>
      <c r="C3175" s="9" t="s">
        <v>13250</v>
      </c>
      <c r="D3175" s="10" t="str">
        <f>HYPERLINK("https://facebook.com/367089020688300_548431519220715", "367089020688300_548431519220715")</f>
        <v>367089020688300_548431519220715</v>
      </c>
      <c r="E3175" s="11">
        <v>2100.0</v>
      </c>
      <c r="F3175" s="11">
        <v>70.0</v>
      </c>
      <c r="G3175" s="11">
        <v>1018.0</v>
      </c>
      <c r="H3175" s="9" t="s">
        <v>26</v>
      </c>
      <c r="I3175" s="9" t="s">
        <v>13251</v>
      </c>
      <c r="J3175" s="16" t="s">
        <v>13252</v>
      </c>
      <c r="K3175" s="9"/>
      <c r="L3175" s="9" t="s">
        <v>30</v>
      </c>
      <c r="M3175" s="9" t="s">
        <v>31</v>
      </c>
      <c r="N3175" s="9" t="s">
        <v>32</v>
      </c>
      <c r="O3175" s="12" t="s">
        <v>33</v>
      </c>
      <c r="P3175" s="12" t="s">
        <v>34</v>
      </c>
      <c r="Q3175" s="9"/>
      <c r="R3175" s="18"/>
      <c r="S3175" s="18"/>
      <c r="T3175" s="18"/>
      <c r="U3175" s="18"/>
      <c r="V3175" s="18"/>
      <c r="W3175" s="15"/>
      <c r="X3175" s="15"/>
    </row>
    <row r="3176">
      <c r="A3176" s="7">
        <v>3175.0</v>
      </c>
      <c r="B3176" s="8" t="s">
        <v>13253</v>
      </c>
      <c r="C3176" s="9" t="s">
        <v>13254</v>
      </c>
      <c r="D3176" s="10" t="str">
        <f>HYPERLINK("https://facebook.com/367089020688300_483076955756172", "367089020688300_483076955756172")</f>
        <v>367089020688300_483076955756172</v>
      </c>
      <c r="E3176" s="11">
        <v>494.0</v>
      </c>
      <c r="F3176" s="11">
        <v>35.0</v>
      </c>
      <c r="G3176" s="11">
        <v>411.0</v>
      </c>
      <c r="H3176" s="9" t="s">
        <v>26</v>
      </c>
      <c r="I3176" s="9" t="s">
        <v>13255</v>
      </c>
      <c r="J3176" s="16" t="s">
        <v>13256</v>
      </c>
      <c r="K3176" s="9"/>
      <c r="L3176" s="9" t="s">
        <v>30</v>
      </c>
      <c r="M3176" s="9" t="s">
        <v>31</v>
      </c>
      <c r="N3176" s="9" t="s">
        <v>32</v>
      </c>
      <c r="O3176" s="12" t="s">
        <v>33</v>
      </c>
      <c r="P3176" s="12" t="s">
        <v>34</v>
      </c>
      <c r="Q3176" s="9"/>
      <c r="R3176" s="18"/>
      <c r="S3176" s="18"/>
      <c r="T3176" s="18"/>
      <c r="U3176" s="18"/>
      <c r="V3176" s="18"/>
      <c r="W3176" s="15"/>
      <c r="X3176" s="15"/>
    </row>
    <row r="3177">
      <c r="A3177" s="7">
        <v>3176.0</v>
      </c>
      <c r="B3177" s="8" t="s">
        <v>13257</v>
      </c>
      <c r="C3177" s="9" t="s">
        <v>13258</v>
      </c>
      <c r="D3177" s="10" t="str">
        <f>HYPERLINK("https://facebook.com/367089020688300_533512387379295", "367089020688300_533512387379295")</f>
        <v>367089020688300_533512387379295</v>
      </c>
      <c r="E3177" s="11">
        <v>250.0</v>
      </c>
      <c r="F3177" s="11">
        <v>6.0</v>
      </c>
      <c r="G3177" s="11">
        <v>324.0</v>
      </c>
      <c r="H3177" s="9" t="s">
        <v>26</v>
      </c>
      <c r="I3177" s="9" t="s">
        <v>13259</v>
      </c>
      <c r="J3177" s="9" t="s">
        <v>13260</v>
      </c>
      <c r="K3177" s="9" t="s">
        <v>13261</v>
      </c>
      <c r="L3177" s="9" t="s">
        <v>30</v>
      </c>
      <c r="M3177" s="9" t="s">
        <v>31</v>
      </c>
      <c r="N3177" s="9" t="s">
        <v>32</v>
      </c>
      <c r="O3177" s="12" t="s">
        <v>33</v>
      </c>
      <c r="P3177" s="12" t="s">
        <v>34</v>
      </c>
      <c r="Q3177" s="9"/>
      <c r="R3177" s="18"/>
      <c r="S3177" s="18"/>
      <c r="T3177" s="18"/>
      <c r="U3177" s="18"/>
      <c r="V3177" s="18"/>
      <c r="W3177" s="15"/>
      <c r="X3177" s="15"/>
    </row>
    <row r="3178">
      <c r="A3178" s="7">
        <v>3177.0</v>
      </c>
      <c r="B3178" s="8" t="s">
        <v>13262</v>
      </c>
      <c r="C3178" s="9" t="s">
        <v>13263</v>
      </c>
      <c r="D3178" s="10" t="str">
        <f>HYPERLINK("https://facebook.com/367089020688300_541379466592587", "367089020688300_541379466592587")</f>
        <v>367089020688300_541379466592587</v>
      </c>
      <c r="E3178" s="11">
        <v>44.0</v>
      </c>
      <c r="F3178" s="11">
        <v>0.0</v>
      </c>
      <c r="G3178" s="11">
        <v>78.0</v>
      </c>
      <c r="H3178" s="9" t="s">
        <v>26</v>
      </c>
      <c r="I3178" s="9" t="s">
        <v>12265</v>
      </c>
      <c r="J3178" s="9" t="s">
        <v>12266</v>
      </c>
      <c r="K3178" s="9" t="s">
        <v>3003</v>
      </c>
      <c r="L3178" s="9" t="s">
        <v>30</v>
      </c>
      <c r="M3178" s="9" t="s">
        <v>31</v>
      </c>
      <c r="N3178" s="9" t="s">
        <v>32</v>
      </c>
      <c r="O3178" s="12" t="s">
        <v>33</v>
      </c>
      <c r="P3178" s="12" t="s">
        <v>34</v>
      </c>
      <c r="Q3178" s="9"/>
      <c r="R3178" s="18"/>
      <c r="S3178" s="18"/>
      <c r="T3178" s="18"/>
      <c r="U3178" s="18"/>
      <c r="V3178" s="18"/>
      <c r="W3178" s="15"/>
      <c r="X3178" s="15"/>
    </row>
    <row r="3179">
      <c r="A3179" s="7">
        <v>3178.0</v>
      </c>
      <c r="B3179" s="8" t="s">
        <v>13264</v>
      </c>
      <c r="C3179" s="9" t="s">
        <v>13265</v>
      </c>
      <c r="D3179" s="10" t="str">
        <f>HYPERLINK("https://facebook.com/367089020688300_540425260021341", "367089020688300_540425260021341")</f>
        <v>367089020688300_540425260021341</v>
      </c>
      <c r="E3179" s="11">
        <v>40.0</v>
      </c>
      <c r="F3179" s="11">
        <v>0.0</v>
      </c>
      <c r="G3179" s="11">
        <v>16.0</v>
      </c>
      <c r="H3179" s="9" t="s">
        <v>26</v>
      </c>
      <c r="I3179" s="9" t="s">
        <v>13266</v>
      </c>
      <c r="J3179" s="16" t="s">
        <v>13267</v>
      </c>
      <c r="K3179" s="9"/>
      <c r="L3179" s="9" t="s">
        <v>30</v>
      </c>
      <c r="M3179" s="9" t="s">
        <v>31</v>
      </c>
      <c r="N3179" s="9" t="s">
        <v>32</v>
      </c>
      <c r="O3179" s="12" t="s">
        <v>33</v>
      </c>
      <c r="P3179" s="12" t="s">
        <v>34</v>
      </c>
      <c r="Q3179" s="9"/>
      <c r="R3179" s="18"/>
      <c r="S3179" s="18"/>
      <c r="T3179" s="18"/>
      <c r="U3179" s="18"/>
      <c r="V3179" s="18"/>
      <c r="W3179" s="15"/>
      <c r="X3179" s="15"/>
    </row>
    <row r="3180">
      <c r="A3180" s="7">
        <v>3179.0</v>
      </c>
      <c r="B3180" s="8" t="s">
        <v>13268</v>
      </c>
      <c r="C3180" s="9" t="s">
        <v>13269</v>
      </c>
      <c r="D3180" s="10" t="str">
        <f>HYPERLINK("https://facebook.com/367089020688300_552161092181091", "367089020688300_552161092181091")</f>
        <v>367089020688300_552161092181091</v>
      </c>
      <c r="E3180" s="11">
        <v>120.0</v>
      </c>
      <c r="F3180" s="11">
        <v>2.0</v>
      </c>
      <c r="G3180" s="11">
        <v>190.0</v>
      </c>
      <c r="H3180" s="9" t="s">
        <v>26</v>
      </c>
      <c r="I3180" s="9" t="s">
        <v>13270</v>
      </c>
      <c r="J3180" s="16" t="s">
        <v>13271</v>
      </c>
      <c r="K3180" s="9"/>
      <c r="L3180" s="9" t="s">
        <v>30</v>
      </c>
      <c r="M3180" s="9" t="s">
        <v>31</v>
      </c>
      <c r="N3180" s="9" t="s">
        <v>32</v>
      </c>
      <c r="O3180" s="12" t="s">
        <v>33</v>
      </c>
      <c r="P3180" s="12" t="s">
        <v>34</v>
      </c>
      <c r="Q3180" s="9"/>
      <c r="R3180" s="18"/>
      <c r="S3180" s="18"/>
      <c r="T3180" s="18"/>
      <c r="U3180" s="18"/>
      <c r="V3180" s="18"/>
      <c r="W3180" s="15"/>
      <c r="X3180" s="15"/>
    </row>
    <row r="3181">
      <c r="A3181" s="7">
        <v>3180.0</v>
      </c>
      <c r="B3181" s="8" t="s">
        <v>13272</v>
      </c>
      <c r="C3181" s="9" t="s">
        <v>13273</v>
      </c>
      <c r="D3181" s="10" t="str">
        <f>HYPERLINK("https://facebook.com/367089020688300_550675222329678", "367089020688300_550675222329678")</f>
        <v>367089020688300_550675222329678</v>
      </c>
      <c r="E3181" s="11">
        <v>14.0</v>
      </c>
      <c r="F3181" s="11">
        <v>0.0</v>
      </c>
      <c r="G3181" s="11">
        <v>8.0</v>
      </c>
      <c r="H3181" s="9" t="s">
        <v>26</v>
      </c>
      <c r="I3181" s="9" t="s">
        <v>13274</v>
      </c>
      <c r="J3181" s="9" t="s">
        <v>13275</v>
      </c>
      <c r="K3181" s="9" t="s">
        <v>13276</v>
      </c>
      <c r="L3181" s="9" t="s">
        <v>30</v>
      </c>
      <c r="M3181" s="9" t="s">
        <v>31</v>
      </c>
      <c r="N3181" s="9" t="s">
        <v>32</v>
      </c>
      <c r="O3181" s="12" t="s">
        <v>33</v>
      </c>
      <c r="P3181" s="12" t="s">
        <v>34</v>
      </c>
      <c r="Q3181" s="9"/>
      <c r="R3181" s="18"/>
      <c r="S3181" s="18"/>
      <c r="T3181" s="18"/>
      <c r="U3181" s="18"/>
      <c r="V3181" s="18"/>
      <c r="W3181" s="15"/>
      <c r="X3181" s="15"/>
    </row>
    <row r="3182">
      <c r="A3182" s="7">
        <v>3181.0</v>
      </c>
      <c r="B3182" s="8" t="s">
        <v>13277</v>
      </c>
      <c r="C3182" s="9" t="s">
        <v>13278</v>
      </c>
      <c r="D3182" s="10" t="str">
        <f>HYPERLINK("https://facebook.com/367089020688300_472672443463290", "367089020688300_472672443463290")</f>
        <v>367089020688300_472672443463290</v>
      </c>
      <c r="E3182" s="11">
        <v>389.0</v>
      </c>
      <c r="F3182" s="11">
        <v>1.0</v>
      </c>
      <c r="G3182" s="11">
        <v>548.0</v>
      </c>
      <c r="H3182" s="9" t="s">
        <v>26</v>
      </c>
      <c r="I3182" s="9" t="s">
        <v>13279</v>
      </c>
      <c r="J3182" s="9" t="s">
        <v>13280</v>
      </c>
      <c r="K3182" s="9" t="s">
        <v>10950</v>
      </c>
      <c r="L3182" s="9" t="s">
        <v>30</v>
      </c>
      <c r="M3182" s="9" t="s">
        <v>31</v>
      </c>
      <c r="N3182" s="9" t="s">
        <v>32</v>
      </c>
      <c r="O3182" s="12" t="s">
        <v>33</v>
      </c>
      <c r="P3182" s="12" t="s">
        <v>34</v>
      </c>
      <c r="Q3182" s="9"/>
      <c r="R3182" s="18"/>
      <c r="S3182" s="18"/>
      <c r="T3182" s="18"/>
      <c r="U3182" s="18"/>
      <c r="V3182" s="18"/>
      <c r="W3182" s="15"/>
      <c r="X3182" s="15"/>
    </row>
    <row r="3183">
      <c r="A3183" s="7">
        <v>3182.0</v>
      </c>
      <c r="B3183" s="8" t="s">
        <v>13281</v>
      </c>
      <c r="C3183" s="9" t="s">
        <v>13282</v>
      </c>
      <c r="D3183" s="10" t="str">
        <f>HYPERLINK("https://facebook.com/367089020688300_515234032540464", "367089020688300_515234032540464")</f>
        <v>367089020688300_515234032540464</v>
      </c>
      <c r="E3183" s="11">
        <v>332.0</v>
      </c>
      <c r="F3183" s="11">
        <v>4.0</v>
      </c>
      <c r="G3183" s="11">
        <v>285.0</v>
      </c>
      <c r="H3183" s="9" t="s">
        <v>26</v>
      </c>
      <c r="I3183" s="9" t="s">
        <v>7851</v>
      </c>
      <c r="J3183" s="9" t="s">
        <v>13283</v>
      </c>
      <c r="K3183" s="9" t="s">
        <v>13284</v>
      </c>
      <c r="L3183" s="9" t="s">
        <v>30</v>
      </c>
      <c r="M3183" s="9" t="s">
        <v>31</v>
      </c>
      <c r="N3183" s="9" t="s">
        <v>32</v>
      </c>
      <c r="O3183" s="12" t="s">
        <v>33</v>
      </c>
      <c r="P3183" s="12" t="s">
        <v>34</v>
      </c>
      <c r="Q3183" s="9"/>
      <c r="R3183" s="18"/>
      <c r="S3183" s="18"/>
      <c r="T3183" s="18"/>
      <c r="U3183" s="18"/>
      <c r="V3183" s="18"/>
      <c r="W3183" s="15"/>
      <c r="X3183" s="15"/>
    </row>
    <row r="3184">
      <c r="A3184" s="7">
        <v>3183.0</v>
      </c>
      <c r="B3184" s="8" t="s">
        <v>13285</v>
      </c>
      <c r="C3184" s="9" t="s">
        <v>13286</v>
      </c>
      <c r="D3184" s="10" t="str">
        <f>HYPERLINK("https://facebook.com/367089020688300_541009206629613", "367089020688300_541009206629613")</f>
        <v>367089020688300_541009206629613</v>
      </c>
      <c r="E3184" s="11">
        <v>221.0</v>
      </c>
      <c r="F3184" s="11">
        <v>3.0</v>
      </c>
      <c r="G3184" s="11">
        <v>180.0</v>
      </c>
      <c r="H3184" s="9" t="s">
        <v>26</v>
      </c>
      <c r="I3184" s="9" t="s">
        <v>13287</v>
      </c>
      <c r="J3184" s="9" t="s">
        <v>13288</v>
      </c>
      <c r="K3184" s="9" t="s">
        <v>13289</v>
      </c>
      <c r="L3184" s="9" t="s">
        <v>30</v>
      </c>
      <c r="M3184" s="9" t="s">
        <v>31</v>
      </c>
      <c r="N3184" s="9" t="s">
        <v>32</v>
      </c>
      <c r="O3184" s="12" t="s">
        <v>33</v>
      </c>
      <c r="P3184" s="12" t="s">
        <v>34</v>
      </c>
      <c r="Q3184" s="9"/>
      <c r="R3184" s="18"/>
      <c r="S3184" s="18"/>
      <c r="T3184" s="18"/>
      <c r="U3184" s="18"/>
      <c r="V3184" s="18"/>
      <c r="W3184" s="15"/>
      <c r="X3184" s="15"/>
    </row>
    <row r="3185">
      <c r="A3185" s="7">
        <v>3184.0</v>
      </c>
      <c r="B3185" s="8" t="s">
        <v>13290</v>
      </c>
      <c r="C3185" s="9" t="s">
        <v>13291</v>
      </c>
      <c r="D3185" s="10" t="str">
        <f>HYPERLINK("https://facebook.com/367089020688300_537419610321906", "367089020688300_537419610321906")</f>
        <v>367089020688300_537419610321906</v>
      </c>
      <c r="E3185" s="11">
        <v>51.0</v>
      </c>
      <c r="F3185" s="11">
        <v>0.0</v>
      </c>
      <c r="G3185" s="11">
        <v>61.0</v>
      </c>
      <c r="H3185" s="9" t="s">
        <v>26</v>
      </c>
      <c r="I3185" s="9" t="s">
        <v>13292</v>
      </c>
      <c r="J3185" s="16" t="s">
        <v>13293</v>
      </c>
      <c r="K3185" s="9"/>
      <c r="L3185" s="9" t="s">
        <v>30</v>
      </c>
      <c r="M3185" s="9" t="s">
        <v>31</v>
      </c>
      <c r="N3185" s="9" t="s">
        <v>32</v>
      </c>
      <c r="O3185" s="12" t="s">
        <v>33</v>
      </c>
      <c r="P3185" s="12" t="s">
        <v>34</v>
      </c>
      <c r="Q3185" s="9"/>
      <c r="R3185" s="18"/>
      <c r="S3185" s="18"/>
      <c r="T3185" s="18"/>
      <c r="U3185" s="18"/>
      <c r="V3185" s="18"/>
      <c r="W3185" s="15"/>
      <c r="X3185" s="15"/>
    </row>
    <row r="3186">
      <c r="A3186" s="7">
        <v>3185.0</v>
      </c>
      <c r="B3186" s="8" t="s">
        <v>13294</v>
      </c>
      <c r="C3186" s="9" t="s">
        <v>13295</v>
      </c>
      <c r="D3186" s="10" t="str">
        <f>HYPERLINK("https://facebook.com/367089020688300_559819928081874", "367089020688300_559819928081874")</f>
        <v>367089020688300_559819928081874</v>
      </c>
      <c r="E3186" s="11">
        <v>43.0</v>
      </c>
      <c r="F3186" s="11">
        <v>0.0</v>
      </c>
      <c r="G3186" s="11">
        <v>42.0</v>
      </c>
      <c r="H3186" s="9" t="s">
        <v>26</v>
      </c>
      <c r="I3186" s="9" t="s">
        <v>13296</v>
      </c>
      <c r="J3186" s="9" t="s">
        <v>13297</v>
      </c>
      <c r="K3186" s="9" t="s">
        <v>13298</v>
      </c>
      <c r="L3186" s="9" t="s">
        <v>30</v>
      </c>
      <c r="M3186" s="9" t="s">
        <v>31</v>
      </c>
      <c r="N3186" s="9" t="s">
        <v>32</v>
      </c>
      <c r="O3186" s="12" t="s">
        <v>33</v>
      </c>
      <c r="P3186" s="12" t="s">
        <v>34</v>
      </c>
      <c r="Q3186" s="9"/>
      <c r="R3186" s="18"/>
      <c r="S3186" s="18"/>
      <c r="T3186" s="18"/>
      <c r="U3186" s="18"/>
      <c r="V3186" s="18"/>
      <c r="W3186" s="15"/>
      <c r="X3186" s="15"/>
    </row>
    <row r="3187">
      <c r="A3187" s="7">
        <v>3186.0</v>
      </c>
      <c r="B3187" s="8" t="s">
        <v>13299</v>
      </c>
      <c r="C3187" s="9" t="s">
        <v>13300</v>
      </c>
      <c r="D3187" s="10" t="str">
        <f>HYPERLINK("https://facebook.com/367089020688300_515779189152615", "367089020688300_515779189152615")</f>
        <v>367089020688300_515779189152615</v>
      </c>
      <c r="E3187" s="11">
        <v>6.0</v>
      </c>
      <c r="F3187" s="11">
        <v>0.0</v>
      </c>
      <c r="G3187" s="11">
        <v>11.0</v>
      </c>
      <c r="H3187" s="9" t="s">
        <v>26</v>
      </c>
      <c r="I3187" s="9" t="s">
        <v>1394</v>
      </c>
      <c r="J3187" s="9" t="s">
        <v>13301</v>
      </c>
      <c r="K3187" s="9" t="s">
        <v>13302</v>
      </c>
      <c r="L3187" s="9" t="s">
        <v>30</v>
      </c>
      <c r="M3187" s="9" t="s">
        <v>31</v>
      </c>
      <c r="N3187" s="9" t="s">
        <v>32</v>
      </c>
      <c r="O3187" s="12" t="s">
        <v>33</v>
      </c>
      <c r="P3187" s="12" t="s">
        <v>34</v>
      </c>
      <c r="Q3187" s="9"/>
      <c r="R3187" s="18"/>
      <c r="S3187" s="18"/>
      <c r="T3187" s="18"/>
      <c r="U3187" s="18"/>
      <c r="V3187" s="18"/>
      <c r="W3187" s="15"/>
      <c r="X3187" s="15"/>
    </row>
    <row r="3188">
      <c r="A3188" s="7">
        <v>3187.0</v>
      </c>
      <c r="B3188" s="8" t="s">
        <v>13303</v>
      </c>
      <c r="C3188" s="9" t="s">
        <v>13304</v>
      </c>
      <c r="D3188" s="10" t="str">
        <f>HYPERLINK("https://facebook.com/367089020688300_559436134786920", "367089020688300_559436134786920")</f>
        <v>367089020688300_559436134786920</v>
      </c>
      <c r="E3188" s="11">
        <v>22.0</v>
      </c>
      <c r="F3188" s="11">
        <v>0.0</v>
      </c>
      <c r="G3188" s="11">
        <v>8.0</v>
      </c>
      <c r="H3188" s="9" t="s">
        <v>26</v>
      </c>
      <c r="I3188" s="9" t="s">
        <v>13305</v>
      </c>
      <c r="J3188" s="9" t="s">
        <v>13306</v>
      </c>
      <c r="K3188" s="9" t="s">
        <v>3855</v>
      </c>
      <c r="L3188" s="9" t="s">
        <v>30</v>
      </c>
      <c r="M3188" s="9" t="s">
        <v>31</v>
      </c>
      <c r="N3188" s="9" t="s">
        <v>32</v>
      </c>
      <c r="O3188" s="12" t="s">
        <v>33</v>
      </c>
      <c r="P3188" s="12" t="s">
        <v>34</v>
      </c>
      <c r="Q3188" s="9"/>
      <c r="R3188" s="18"/>
      <c r="S3188" s="18"/>
      <c r="T3188" s="18"/>
      <c r="U3188" s="18"/>
      <c r="V3188" s="18"/>
      <c r="W3188" s="15"/>
      <c r="X3188" s="15"/>
    </row>
    <row r="3189">
      <c r="A3189" s="7">
        <v>3188.0</v>
      </c>
      <c r="B3189" s="8" t="s">
        <v>13307</v>
      </c>
      <c r="C3189" s="9" t="s">
        <v>13308</v>
      </c>
      <c r="D3189" s="10" t="str">
        <f>HYPERLINK("https://facebook.com/367089020688300_526499364747264", "367089020688300_526499364747264")</f>
        <v>367089020688300_526499364747264</v>
      </c>
      <c r="E3189" s="11">
        <v>10.0</v>
      </c>
      <c r="F3189" s="11">
        <v>0.0</v>
      </c>
      <c r="G3189" s="11">
        <v>12.0</v>
      </c>
      <c r="H3189" s="9" t="s">
        <v>26</v>
      </c>
      <c r="I3189" s="9" t="s">
        <v>408</v>
      </c>
      <c r="J3189" s="16" t="s">
        <v>13309</v>
      </c>
      <c r="K3189" s="9"/>
      <c r="L3189" s="9" t="s">
        <v>30</v>
      </c>
      <c r="M3189" s="9" t="s">
        <v>31</v>
      </c>
      <c r="N3189" s="9" t="s">
        <v>32</v>
      </c>
      <c r="O3189" s="12" t="s">
        <v>33</v>
      </c>
      <c r="P3189" s="12" t="s">
        <v>34</v>
      </c>
      <c r="Q3189" s="9"/>
      <c r="R3189" s="18"/>
      <c r="S3189" s="18"/>
      <c r="T3189" s="18"/>
      <c r="U3189" s="18"/>
      <c r="V3189" s="18"/>
      <c r="W3189" s="15"/>
      <c r="X3189" s="15"/>
    </row>
    <row r="3190">
      <c r="A3190" s="7">
        <v>3189.0</v>
      </c>
      <c r="B3190" s="8" t="s">
        <v>13310</v>
      </c>
      <c r="C3190" s="9" t="s">
        <v>13311</v>
      </c>
      <c r="D3190" s="10" t="str">
        <f>HYPERLINK("https://facebook.com/367089020688300_557526658311201", "367089020688300_557526658311201")</f>
        <v>367089020688300_557526658311201</v>
      </c>
      <c r="E3190" s="11">
        <v>22.0</v>
      </c>
      <c r="F3190" s="11">
        <v>0.0</v>
      </c>
      <c r="G3190" s="11">
        <v>3.0</v>
      </c>
      <c r="H3190" s="9" t="s">
        <v>26</v>
      </c>
      <c r="I3190" s="9" t="s">
        <v>13312</v>
      </c>
      <c r="J3190" s="16" t="s">
        <v>13313</v>
      </c>
      <c r="K3190" s="9"/>
      <c r="L3190" s="9" t="s">
        <v>30</v>
      </c>
      <c r="M3190" s="9" t="s">
        <v>31</v>
      </c>
      <c r="N3190" s="9" t="s">
        <v>32</v>
      </c>
      <c r="O3190" s="12" t="s">
        <v>33</v>
      </c>
      <c r="P3190" s="12" t="s">
        <v>34</v>
      </c>
      <c r="Q3190" s="9"/>
      <c r="R3190" s="18"/>
      <c r="S3190" s="18"/>
      <c r="T3190" s="18"/>
      <c r="U3190" s="18"/>
      <c r="V3190" s="18"/>
      <c r="W3190" s="15"/>
      <c r="X3190" s="15"/>
    </row>
    <row r="3191">
      <c r="A3191" s="7">
        <v>3190.0</v>
      </c>
      <c r="B3191" s="8" t="s">
        <v>13314</v>
      </c>
      <c r="C3191" s="9" t="s">
        <v>13315</v>
      </c>
      <c r="D3191" s="10" t="str">
        <f>HYPERLINK("https://facebook.com/367089020688300_557651418298725", "367089020688300_557651418298725")</f>
        <v>367089020688300_557651418298725</v>
      </c>
      <c r="E3191" s="11">
        <v>2.0</v>
      </c>
      <c r="F3191" s="11">
        <v>0.0</v>
      </c>
      <c r="G3191" s="11">
        <v>13.0</v>
      </c>
      <c r="H3191" s="9" t="s">
        <v>26</v>
      </c>
      <c r="I3191" s="9" t="s">
        <v>13316</v>
      </c>
      <c r="J3191" s="16" t="s">
        <v>13317</v>
      </c>
      <c r="K3191" s="9"/>
      <c r="L3191" s="9" t="s">
        <v>30</v>
      </c>
      <c r="M3191" s="9" t="s">
        <v>31</v>
      </c>
      <c r="N3191" s="9" t="s">
        <v>32</v>
      </c>
      <c r="O3191" s="12" t="s">
        <v>33</v>
      </c>
      <c r="P3191" s="12" t="s">
        <v>34</v>
      </c>
      <c r="Q3191" s="9"/>
      <c r="R3191" s="18"/>
      <c r="S3191" s="18"/>
      <c r="T3191" s="18"/>
      <c r="U3191" s="18"/>
      <c r="V3191" s="18"/>
      <c r="W3191" s="15"/>
      <c r="X3191" s="15"/>
    </row>
    <row r="3192">
      <c r="A3192" s="7">
        <v>3191.0</v>
      </c>
      <c r="B3192" s="8" t="s">
        <v>13318</v>
      </c>
      <c r="C3192" s="9" t="s">
        <v>13319</v>
      </c>
      <c r="D3192" s="10" t="str">
        <f>HYPERLINK("https://facebook.com/367089020688300_523199008410633", "367089020688300_523199008410633")</f>
        <v>367089020688300_523199008410633</v>
      </c>
      <c r="E3192" s="11">
        <v>192.0</v>
      </c>
      <c r="F3192" s="11">
        <v>5.0</v>
      </c>
      <c r="G3192" s="11">
        <v>351.0</v>
      </c>
      <c r="H3192" s="9" t="s">
        <v>26</v>
      </c>
      <c r="I3192" s="9" t="s">
        <v>13320</v>
      </c>
      <c r="J3192" s="16" t="s">
        <v>13321</v>
      </c>
      <c r="K3192" s="9"/>
      <c r="L3192" s="9" t="s">
        <v>30</v>
      </c>
      <c r="M3192" s="9" t="s">
        <v>31</v>
      </c>
      <c r="N3192" s="9" t="s">
        <v>32</v>
      </c>
      <c r="O3192" s="12" t="s">
        <v>33</v>
      </c>
      <c r="P3192" s="12" t="s">
        <v>34</v>
      </c>
      <c r="Q3192" s="9"/>
      <c r="R3192" s="18"/>
      <c r="S3192" s="18"/>
      <c r="T3192" s="18"/>
      <c r="U3192" s="18"/>
      <c r="V3192" s="18"/>
      <c r="W3192" s="15"/>
      <c r="X3192" s="15"/>
    </row>
    <row r="3193">
      <c r="A3193" s="7">
        <v>3192.0</v>
      </c>
      <c r="B3193" s="8" t="s">
        <v>13322</v>
      </c>
      <c r="C3193" s="9" t="s">
        <v>13323</v>
      </c>
      <c r="D3193" s="10" t="str">
        <f>HYPERLINK("https://facebook.com/367089020688300_539334336797100", "367089020688300_539334336797100")</f>
        <v>367089020688300_539334336797100</v>
      </c>
      <c r="E3193" s="11">
        <v>6.0</v>
      </c>
      <c r="F3193" s="11">
        <v>0.0</v>
      </c>
      <c r="G3193" s="11">
        <v>0.0</v>
      </c>
      <c r="H3193" s="9" t="s">
        <v>26</v>
      </c>
      <c r="I3193" s="9" t="s">
        <v>9839</v>
      </c>
      <c r="J3193" s="9" t="s">
        <v>13324</v>
      </c>
      <c r="K3193" s="9" t="s">
        <v>2724</v>
      </c>
      <c r="L3193" s="9" t="s">
        <v>30</v>
      </c>
      <c r="M3193" s="9" t="s">
        <v>31</v>
      </c>
      <c r="N3193" s="9" t="s">
        <v>32</v>
      </c>
      <c r="O3193" s="12" t="s">
        <v>33</v>
      </c>
      <c r="P3193" s="12" t="s">
        <v>34</v>
      </c>
      <c r="Q3193" s="9"/>
      <c r="R3193" s="18"/>
      <c r="S3193" s="18"/>
      <c r="T3193" s="18"/>
      <c r="U3193" s="18"/>
      <c r="V3193" s="18"/>
      <c r="W3193" s="15"/>
      <c r="X3193" s="15"/>
    </row>
    <row r="3194">
      <c r="A3194" s="7">
        <v>3193.0</v>
      </c>
      <c r="B3194" s="8" t="s">
        <v>13325</v>
      </c>
      <c r="C3194" s="9" t="s">
        <v>13326</v>
      </c>
      <c r="D3194" s="10" t="str">
        <f>HYPERLINK("https://facebook.com/367089020688300_552500045480529", "367089020688300_552500045480529")</f>
        <v>367089020688300_552500045480529</v>
      </c>
      <c r="E3194" s="11">
        <v>4.0</v>
      </c>
      <c r="F3194" s="11">
        <v>0.0</v>
      </c>
      <c r="G3194" s="11">
        <v>9.0</v>
      </c>
      <c r="H3194" s="9" t="s">
        <v>26</v>
      </c>
      <c r="I3194" s="9" t="s">
        <v>13327</v>
      </c>
      <c r="J3194" s="16" t="s">
        <v>13328</v>
      </c>
      <c r="K3194" s="9"/>
      <c r="L3194" s="9" t="s">
        <v>30</v>
      </c>
      <c r="M3194" s="9" t="s">
        <v>31</v>
      </c>
      <c r="N3194" s="9" t="s">
        <v>32</v>
      </c>
      <c r="O3194" s="12" t="s">
        <v>33</v>
      </c>
      <c r="P3194" s="12" t="s">
        <v>34</v>
      </c>
      <c r="Q3194" s="9"/>
      <c r="R3194" s="18"/>
      <c r="S3194" s="18"/>
      <c r="T3194" s="18"/>
      <c r="U3194" s="18"/>
      <c r="V3194" s="18"/>
      <c r="W3194" s="15"/>
      <c r="X3194" s="15"/>
    </row>
    <row r="3195">
      <c r="A3195" s="7">
        <v>3194.0</v>
      </c>
      <c r="B3195" s="8" t="s">
        <v>13329</v>
      </c>
      <c r="C3195" s="9" t="s">
        <v>13330</v>
      </c>
      <c r="D3195" s="10" t="str">
        <f>HYPERLINK("https://facebook.com/367089020688300_547123586018175", "367089020688300_547123586018175")</f>
        <v>367089020688300_547123586018175</v>
      </c>
      <c r="E3195" s="11">
        <v>29.0</v>
      </c>
      <c r="F3195" s="11">
        <v>0.0</v>
      </c>
      <c r="G3195" s="11">
        <v>17.0</v>
      </c>
      <c r="H3195" s="9" t="s">
        <v>26</v>
      </c>
      <c r="I3195" s="9" t="s">
        <v>13331</v>
      </c>
      <c r="J3195" s="16" t="s">
        <v>13332</v>
      </c>
      <c r="K3195" s="9"/>
      <c r="L3195" s="9" t="s">
        <v>30</v>
      </c>
      <c r="M3195" s="9" t="s">
        <v>31</v>
      </c>
      <c r="N3195" s="9" t="s">
        <v>32</v>
      </c>
      <c r="O3195" s="12" t="s">
        <v>33</v>
      </c>
      <c r="P3195" s="12" t="s">
        <v>34</v>
      </c>
      <c r="Q3195" s="9"/>
      <c r="R3195" s="18"/>
      <c r="S3195" s="18"/>
      <c r="T3195" s="18"/>
      <c r="U3195" s="18"/>
      <c r="V3195" s="18"/>
      <c r="W3195" s="15"/>
      <c r="X3195" s="15"/>
    </row>
    <row r="3196">
      <c r="A3196" s="7">
        <v>3195.0</v>
      </c>
      <c r="B3196" s="8" t="s">
        <v>13333</v>
      </c>
      <c r="C3196" s="9" t="s">
        <v>13334</v>
      </c>
      <c r="D3196" s="10" t="str">
        <f>HYPERLINK("https://facebook.com/367089020688300_482859489111252", "367089020688300_482859489111252")</f>
        <v>367089020688300_482859489111252</v>
      </c>
      <c r="E3196" s="11">
        <v>2919.0</v>
      </c>
      <c r="F3196" s="11">
        <v>56.0</v>
      </c>
      <c r="G3196" s="11">
        <v>837.0</v>
      </c>
      <c r="H3196" s="9" t="s">
        <v>26</v>
      </c>
      <c r="I3196" s="9" t="s">
        <v>13335</v>
      </c>
      <c r="J3196" s="9" t="s">
        <v>13336</v>
      </c>
      <c r="K3196" s="9" t="s">
        <v>13337</v>
      </c>
      <c r="L3196" s="9" t="s">
        <v>30</v>
      </c>
      <c r="M3196" s="9" t="s">
        <v>31</v>
      </c>
      <c r="N3196" s="9" t="s">
        <v>32</v>
      </c>
      <c r="O3196" s="12" t="s">
        <v>33</v>
      </c>
      <c r="P3196" s="12" t="s">
        <v>34</v>
      </c>
      <c r="Q3196" s="9"/>
      <c r="R3196" s="18"/>
      <c r="S3196" s="18"/>
      <c r="T3196" s="18"/>
      <c r="U3196" s="18"/>
      <c r="V3196" s="18"/>
      <c r="W3196" s="15"/>
      <c r="X3196" s="15"/>
    </row>
    <row r="3197">
      <c r="A3197" s="7">
        <v>3196.0</v>
      </c>
      <c r="B3197" s="8" t="s">
        <v>13338</v>
      </c>
      <c r="C3197" s="9" t="s">
        <v>13339</v>
      </c>
      <c r="D3197" s="10" t="str">
        <f>HYPERLINK("https://facebook.com/367089020688300_480326956031172", "367089020688300_480326956031172")</f>
        <v>367089020688300_480326956031172</v>
      </c>
      <c r="E3197" s="11">
        <v>523.0</v>
      </c>
      <c r="F3197" s="11">
        <v>15.0</v>
      </c>
      <c r="G3197" s="11">
        <v>592.0</v>
      </c>
      <c r="H3197" s="9" t="s">
        <v>26</v>
      </c>
      <c r="I3197" s="9" t="s">
        <v>5830</v>
      </c>
      <c r="J3197" s="16" t="s">
        <v>13340</v>
      </c>
      <c r="K3197" s="9"/>
      <c r="L3197" s="9" t="s">
        <v>30</v>
      </c>
      <c r="M3197" s="9" t="s">
        <v>31</v>
      </c>
      <c r="N3197" s="9" t="s">
        <v>32</v>
      </c>
      <c r="O3197" s="12" t="s">
        <v>33</v>
      </c>
      <c r="P3197" s="12" t="s">
        <v>34</v>
      </c>
      <c r="Q3197" s="9"/>
      <c r="R3197" s="18"/>
      <c r="S3197" s="18"/>
      <c r="T3197" s="18"/>
      <c r="U3197" s="18"/>
      <c r="V3197" s="18"/>
      <c r="W3197" s="15"/>
      <c r="X3197" s="15"/>
    </row>
    <row r="3198">
      <c r="A3198" s="7">
        <v>3197.0</v>
      </c>
      <c r="B3198" s="8" t="s">
        <v>13341</v>
      </c>
      <c r="C3198" s="9" t="s">
        <v>13342</v>
      </c>
      <c r="D3198" s="10" t="str">
        <f>HYPERLINK("https://facebook.com/367089020688300_548626869201180", "367089020688300_548626869201180")</f>
        <v>367089020688300_548626869201180</v>
      </c>
      <c r="E3198" s="11">
        <v>85.0</v>
      </c>
      <c r="F3198" s="11">
        <v>0.0</v>
      </c>
      <c r="G3198" s="11">
        <v>107.0</v>
      </c>
      <c r="H3198" s="9" t="s">
        <v>26</v>
      </c>
      <c r="I3198" s="9" t="s">
        <v>13343</v>
      </c>
      <c r="J3198" s="16" t="s">
        <v>13344</v>
      </c>
      <c r="K3198" s="9"/>
      <c r="L3198" s="9" t="s">
        <v>30</v>
      </c>
      <c r="M3198" s="9" t="s">
        <v>31</v>
      </c>
      <c r="N3198" s="9" t="s">
        <v>32</v>
      </c>
      <c r="O3198" s="12" t="s">
        <v>33</v>
      </c>
      <c r="P3198" s="12" t="s">
        <v>34</v>
      </c>
      <c r="Q3198" s="9"/>
      <c r="R3198" s="18"/>
      <c r="S3198" s="18"/>
      <c r="T3198" s="18"/>
      <c r="U3198" s="18"/>
      <c r="V3198" s="18"/>
      <c r="W3198" s="15"/>
      <c r="X3198" s="15"/>
    </row>
    <row r="3199">
      <c r="A3199" s="7">
        <v>3198.0</v>
      </c>
      <c r="B3199" s="8" t="s">
        <v>13345</v>
      </c>
      <c r="C3199" s="9" t="s">
        <v>13346</v>
      </c>
      <c r="D3199" s="10" t="str">
        <f>HYPERLINK("https://facebook.com/367089020688300_544462902950910", "367089020688300_544462902950910")</f>
        <v>367089020688300_544462902950910</v>
      </c>
      <c r="E3199" s="11">
        <v>17.0</v>
      </c>
      <c r="F3199" s="11">
        <v>0.0</v>
      </c>
      <c r="G3199" s="11">
        <v>5.0</v>
      </c>
      <c r="H3199" s="9" t="s">
        <v>26</v>
      </c>
      <c r="I3199" s="9" t="s">
        <v>3853</v>
      </c>
      <c r="J3199" s="9" t="s">
        <v>13347</v>
      </c>
      <c r="K3199" s="9" t="s">
        <v>13348</v>
      </c>
      <c r="L3199" s="9" t="s">
        <v>30</v>
      </c>
      <c r="M3199" s="9" t="s">
        <v>31</v>
      </c>
      <c r="N3199" s="9" t="s">
        <v>32</v>
      </c>
      <c r="O3199" s="12" t="s">
        <v>33</v>
      </c>
      <c r="P3199" s="12" t="s">
        <v>34</v>
      </c>
      <c r="Q3199" s="9"/>
      <c r="R3199" s="18"/>
      <c r="S3199" s="18"/>
      <c r="T3199" s="18"/>
      <c r="U3199" s="18"/>
      <c r="V3199" s="18"/>
      <c r="W3199" s="15"/>
      <c r="X3199" s="15"/>
    </row>
    <row r="3200">
      <c r="A3200" s="7">
        <v>3199.0</v>
      </c>
      <c r="B3200" s="8" t="s">
        <v>13349</v>
      </c>
      <c r="C3200" s="9" t="s">
        <v>13350</v>
      </c>
      <c r="D3200" s="10" t="str">
        <f>HYPERLINK("https://facebook.com/367089020688300_551639518899915", "367089020688300_551639518899915")</f>
        <v>367089020688300_551639518899915</v>
      </c>
      <c r="E3200" s="11">
        <v>139.0</v>
      </c>
      <c r="F3200" s="11">
        <v>0.0</v>
      </c>
      <c r="G3200" s="11">
        <v>274.0</v>
      </c>
      <c r="H3200" s="9" t="s">
        <v>26</v>
      </c>
      <c r="I3200" s="9" t="s">
        <v>11422</v>
      </c>
      <c r="J3200" s="16" t="s">
        <v>11423</v>
      </c>
      <c r="K3200" s="9"/>
      <c r="L3200" s="9" t="s">
        <v>30</v>
      </c>
      <c r="M3200" s="9" t="s">
        <v>31</v>
      </c>
      <c r="N3200" s="9" t="s">
        <v>32</v>
      </c>
      <c r="O3200" s="12" t="s">
        <v>33</v>
      </c>
      <c r="P3200" s="12" t="s">
        <v>34</v>
      </c>
      <c r="Q3200" s="9"/>
      <c r="R3200" s="18"/>
      <c r="S3200" s="18"/>
      <c r="T3200" s="18"/>
      <c r="U3200" s="18"/>
      <c r="V3200" s="18"/>
      <c r="W3200" s="15"/>
      <c r="X3200" s="15"/>
    </row>
    <row r="3201">
      <c r="A3201" s="7">
        <v>3200.0</v>
      </c>
      <c r="B3201" s="8" t="s">
        <v>13351</v>
      </c>
      <c r="C3201" s="9" t="s">
        <v>13352</v>
      </c>
      <c r="D3201" s="10" t="str">
        <f>HYPERLINK("https://facebook.com/367089020688300_542833959780471", "367089020688300_542833959780471")</f>
        <v>367089020688300_542833959780471</v>
      </c>
      <c r="E3201" s="11">
        <v>214.0</v>
      </c>
      <c r="F3201" s="11">
        <v>0.0</v>
      </c>
      <c r="G3201" s="11">
        <v>45.0</v>
      </c>
      <c r="H3201" s="9" t="s">
        <v>26</v>
      </c>
      <c r="I3201" s="9" t="s">
        <v>13353</v>
      </c>
      <c r="J3201" s="16" t="s">
        <v>13354</v>
      </c>
      <c r="K3201" s="9"/>
      <c r="L3201" s="9" t="s">
        <v>30</v>
      </c>
      <c r="M3201" s="9" t="s">
        <v>31</v>
      </c>
      <c r="N3201" s="9" t="s">
        <v>32</v>
      </c>
      <c r="O3201" s="12" t="s">
        <v>33</v>
      </c>
      <c r="P3201" s="12" t="s">
        <v>34</v>
      </c>
      <c r="Q3201" s="9"/>
      <c r="R3201" s="18"/>
      <c r="S3201" s="18"/>
      <c r="T3201" s="18"/>
      <c r="U3201" s="18"/>
      <c r="V3201" s="18"/>
      <c r="W3201" s="15"/>
      <c r="X3201" s="15"/>
    </row>
    <row r="3202">
      <c r="A3202" s="7">
        <v>3201.0</v>
      </c>
      <c r="B3202" s="8" t="s">
        <v>13355</v>
      </c>
      <c r="C3202" s="9" t="s">
        <v>13356</v>
      </c>
      <c r="D3202" s="10" t="str">
        <f>HYPERLINK("https://facebook.com/367089020688300_542452529818614", "367089020688300_542452529818614")</f>
        <v>367089020688300_542452529818614</v>
      </c>
      <c r="E3202" s="11">
        <v>14.0</v>
      </c>
      <c r="F3202" s="11">
        <v>0.0</v>
      </c>
      <c r="G3202" s="11">
        <v>0.0</v>
      </c>
      <c r="H3202" s="9" t="s">
        <v>26</v>
      </c>
      <c r="I3202" s="9" t="s">
        <v>13357</v>
      </c>
      <c r="J3202" s="16" t="s">
        <v>13358</v>
      </c>
      <c r="K3202" s="9"/>
      <c r="L3202" s="9" t="s">
        <v>30</v>
      </c>
      <c r="M3202" s="9" t="s">
        <v>31</v>
      </c>
      <c r="N3202" s="9" t="s">
        <v>32</v>
      </c>
      <c r="O3202" s="12" t="s">
        <v>33</v>
      </c>
      <c r="P3202" s="12" t="s">
        <v>34</v>
      </c>
      <c r="Q3202" s="9"/>
      <c r="R3202" s="18"/>
      <c r="S3202" s="18"/>
      <c r="T3202" s="18"/>
      <c r="U3202" s="18"/>
      <c r="V3202" s="18"/>
      <c r="W3202" s="15"/>
      <c r="X3202" s="15"/>
    </row>
    <row r="3203">
      <c r="A3203" s="7">
        <v>3202.0</v>
      </c>
      <c r="B3203" s="8" t="s">
        <v>13359</v>
      </c>
      <c r="C3203" s="9" t="s">
        <v>13360</v>
      </c>
      <c r="D3203" s="10" t="str">
        <f>HYPERLINK("https://facebook.com/367089020688300_489072391823295", "367089020688300_489072391823295")</f>
        <v>367089020688300_489072391823295</v>
      </c>
      <c r="E3203" s="11">
        <v>93.0</v>
      </c>
      <c r="F3203" s="11">
        <v>1.0</v>
      </c>
      <c r="G3203" s="11">
        <v>76.0</v>
      </c>
      <c r="H3203" s="9" t="s">
        <v>26</v>
      </c>
      <c r="I3203" s="9" t="s">
        <v>13361</v>
      </c>
      <c r="J3203" s="9" t="s">
        <v>13362</v>
      </c>
      <c r="K3203" s="9" t="s">
        <v>13363</v>
      </c>
      <c r="L3203" s="9" t="s">
        <v>30</v>
      </c>
      <c r="M3203" s="9" t="s">
        <v>31</v>
      </c>
      <c r="N3203" s="9" t="s">
        <v>32</v>
      </c>
      <c r="O3203" s="12" t="s">
        <v>33</v>
      </c>
      <c r="P3203" s="12" t="s">
        <v>34</v>
      </c>
      <c r="Q3203" s="9"/>
      <c r="R3203" s="18"/>
      <c r="S3203" s="18"/>
      <c r="T3203" s="18"/>
      <c r="U3203" s="18"/>
      <c r="V3203" s="18"/>
      <c r="W3203" s="15"/>
      <c r="X3203" s="15"/>
    </row>
    <row r="3204">
      <c r="A3204" s="7">
        <v>3203.0</v>
      </c>
      <c r="B3204" s="8" t="s">
        <v>13364</v>
      </c>
      <c r="C3204" s="9" t="s">
        <v>13365</v>
      </c>
      <c r="D3204" s="10" t="str">
        <f>HYPERLINK("https://facebook.com/367089020688300_406334130097122", "367089020688300_406334130097122")</f>
        <v>367089020688300_406334130097122</v>
      </c>
      <c r="E3204" s="11">
        <v>672.0</v>
      </c>
      <c r="F3204" s="11">
        <v>11.0</v>
      </c>
      <c r="G3204" s="11">
        <v>389.0</v>
      </c>
      <c r="H3204" s="9" t="s">
        <v>26</v>
      </c>
      <c r="I3204" s="9" t="s">
        <v>13366</v>
      </c>
      <c r="J3204" s="16" t="s">
        <v>13367</v>
      </c>
      <c r="K3204" s="9"/>
      <c r="L3204" s="9" t="s">
        <v>30</v>
      </c>
      <c r="M3204" s="9" t="s">
        <v>31</v>
      </c>
      <c r="N3204" s="9" t="s">
        <v>32</v>
      </c>
      <c r="O3204" s="12" t="s">
        <v>33</v>
      </c>
      <c r="P3204" s="12" t="s">
        <v>34</v>
      </c>
      <c r="Q3204" s="9"/>
      <c r="R3204" s="18"/>
      <c r="S3204" s="18"/>
      <c r="T3204" s="18"/>
      <c r="U3204" s="18"/>
      <c r="V3204" s="18"/>
      <c r="W3204" s="15"/>
      <c r="X3204" s="15"/>
    </row>
    <row r="3205">
      <c r="A3205" s="7">
        <v>3204.0</v>
      </c>
      <c r="B3205" s="8" t="s">
        <v>13368</v>
      </c>
      <c r="C3205" s="9" t="s">
        <v>13369</v>
      </c>
      <c r="D3205" s="10" t="str">
        <f>HYPERLINK("https://facebook.com/367089020688300_540510273346173", "367089020688300_540510273346173")</f>
        <v>367089020688300_540510273346173</v>
      </c>
      <c r="E3205" s="11">
        <v>91.0</v>
      </c>
      <c r="F3205" s="11">
        <v>1.0</v>
      </c>
      <c r="G3205" s="11">
        <v>115.0</v>
      </c>
      <c r="H3205" s="9" t="s">
        <v>26</v>
      </c>
      <c r="I3205" s="9" t="s">
        <v>13370</v>
      </c>
      <c r="J3205" s="16" t="s">
        <v>13371</v>
      </c>
      <c r="K3205" s="9"/>
      <c r="L3205" s="9" t="s">
        <v>30</v>
      </c>
      <c r="M3205" s="9" t="s">
        <v>31</v>
      </c>
      <c r="N3205" s="9" t="s">
        <v>32</v>
      </c>
      <c r="O3205" s="12" t="s">
        <v>33</v>
      </c>
      <c r="P3205" s="12" t="s">
        <v>34</v>
      </c>
      <c r="Q3205" s="9"/>
      <c r="R3205" s="18"/>
      <c r="S3205" s="18"/>
      <c r="T3205" s="18"/>
      <c r="U3205" s="18"/>
      <c r="V3205" s="18"/>
      <c r="W3205" s="15"/>
      <c r="X3205" s="15"/>
    </row>
    <row r="3206">
      <c r="A3206" s="7">
        <v>3205.0</v>
      </c>
      <c r="B3206" s="8" t="s">
        <v>13372</v>
      </c>
      <c r="C3206" s="9" t="s">
        <v>13373</v>
      </c>
      <c r="D3206" s="10" t="str">
        <f>HYPERLINK("https://facebook.com/367089020688300_530892630974604", "367089020688300_530892630974604")</f>
        <v>367089020688300_530892630974604</v>
      </c>
      <c r="E3206" s="11">
        <v>797.0</v>
      </c>
      <c r="F3206" s="11">
        <v>10.0</v>
      </c>
      <c r="G3206" s="11">
        <v>708.0</v>
      </c>
      <c r="H3206" s="9" t="s">
        <v>26</v>
      </c>
      <c r="I3206" s="9" t="s">
        <v>5547</v>
      </c>
      <c r="J3206" s="16" t="s">
        <v>13374</v>
      </c>
      <c r="K3206" s="9"/>
      <c r="L3206" s="9" t="s">
        <v>30</v>
      </c>
      <c r="M3206" s="9" t="s">
        <v>31</v>
      </c>
      <c r="N3206" s="9" t="s">
        <v>32</v>
      </c>
      <c r="O3206" s="12" t="s">
        <v>33</v>
      </c>
      <c r="P3206" s="12" t="s">
        <v>34</v>
      </c>
      <c r="Q3206" s="9"/>
      <c r="R3206" s="18"/>
      <c r="S3206" s="18"/>
      <c r="T3206" s="18"/>
      <c r="U3206" s="18"/>
      <c r="V3206" s="18"/>
      <c r="W3206" s="15"/>
      <c r="X3206" s="15"/>
    </row>
    <row r="3207">
      <c r="A3207" s="7">
        <v>3206.0</v>
      </c>
      <c r="B3207" s="8" t="s">
        <v>13375</v>
      </c>
      <c r="C3207" s="9" t="s">
        <v>13376</v>
      </c>
      <c r="D3207" s="10" t="str">
        <f>HYPERLINK("https://facebook.com/367089020688300_524237451640122", "367089020688300_524237451640122")</f>
        <v>367089020688300_524237451640122</v>
      </c>
      <c r="E3207" s="11">
        <v>27.0</v>
      </c>
      <c r="F3207" s="11">
        <v>0.0</v>
      </c>
      <c r="G3207" s="11">
        <v>21.0</v>
      </c>
      <c r="H3207" s="9" t="s">
        <v>26</v>
      </c>
      <c r="I3207" s="9" t="s">
        <v>13377</v>
      </c>
      <c r="J3207" s="16" t="s">
        <v>13378</v>
      </c>
      <c r="K3207" s="9"/>
      <c r="L3207" s="9" t="s">
        <v>30</v>
      </c>
      <c r="M3207" s="9" t="s">
        <v>31</v>
      </c>
      <c r="N3207" s="9" t="s">
        <v>32</v>
      </c>
      <c r="O3207" s="12" t="s">
        <v>33</v>
      </c>
      <c r="P3207" s="12" t="s">
        <v>34</v>
      </c>
      <c r="Q3207" s="9"/>
      <c r="R3207" s="18"/>
      <c r="S3207" s="18"/>
      <c r="T3207" s="18"/>
      <c r="U3207" s="18"/>
      <c r="V3207" s="18"/>
      <c r="W3207" s="15"/>
      <c r="X3207" s="15"/>
    </row>
    <row r="3208">
      <c r="A3208" s="7">
        <v>3207.0</v>
      </c>
      <c r="B3208" s="8" t="s">
        <v>13379</v>
      </c>
      <c r="C3208" s="9" t="s">
        <v>13380</v>
      </c>
      <c r="D3208" s="10" t="str">
        <f>HYPERLINK("https://facebook.com/367089020688300_545839052813295", "367089020688300_545839052813295")</f>
        <v>367089020688300_545839052813295</v>
      </c>
      <c r="E3208" s="11">
        <v>510.0</v>
      </c>
      <c r="F3208" s="11">
        <v>2.0</v>
      </c>
      <c r="G3208" s="11">
        <v>291.0</v>
      </c>
      <c r="H3208" s="9" t="s">
        <v>26</v>
      </c>
      <c r="I3208" s="9" t="s">
        <v>13381</v>
      </c>
      <c r="J3208" s="16" t="s">
        <v>13382</v>
      </c>
      <c r="K3208" s="9"/>
      <c r="L3208" s="9" t="s">
        <v>30</v>
      </c>
      <c r="M3208" s="9" t="s">
        <v>31</v>
      </c>
      <c r="N3208" s="9" t="s">
        <v>32</v>
      </c>
      <c r="O3208" s="12" t="s">
        <v>33</v>
      </c>
      <c r="P3208" s="12" t="s">
        <v>34</v>
      </c>
      <c r="Q3208" s="9"/>
      <c r="R3208" s="18"/>
      <c r="S3208" s="18"/>
      <c r="T3208" s="18"/>
      <c r="U3208" s="18"/>
      <c r="V3208" s="18"/>
      <c r="W3208" s="15"/>
      <c r="X3208" s="15"/>
    </row>
    <row r="3209">
      <c r="A3209" s="7">
        <v>3208.0</v>
      </c>
      <c r="B3209" s="8" t="s">
        <v>13383</v>
      </c>
      <c r="C3209" s="9" t="s">
        <v>13384</v>
      </c>
      <c r="D3209" s="10" t="str">
        <f>HYPERLINK("https://facebook.com/367089020688300_546006732796527", "367089020688300_546006732796527")</f>
        <v>367089020688300_546006732796527</v>
      </c>
      <c r="E3209" s="11">
        <v>601.0</v>
      </c>
      <c r="F3209" s="11">
        <v>8.0</v>
      </c>
      <c r="G3209" s="11">
        <v>305.0</v>
      </c>
      <c r="H3209" s="9" t="s">
        <v>26</v>
      </c>
      <c r="I3209" s="9" t="s">
        <v>13385</v>
      </c>
      <c r="J3209" s="9" t="s">
        <v>13386</v>
      </c>
      <c r="K3209" s="9" t="s">
        <v>13387</v>
      </c>
      <c r="L3209" s="9" t="s">
        <v>30</v>
      </c>
      <c r="M3209" s="9" t="s">
        <v>31</v>
      </c>
      <c r="N3209" s="9" t="s">
        <v>32</v>
      </c>
      <c r="O3209" s="12" t="s">
        <v>33</v>
      </c>
      <c r="P3209" s="12" t="s">
        <v>34</v>
      </c>
      <c r="Q3209" s="9"/>
      <c r="R3209" s="18"/>
      <c r="S3209" s="18"/>
      <c r="T3209" s="18"/>
      <c r="U3209" s="18"/>
      <c r="V3209" s="18"/>
      <c r="W3209" s="15"/>
      <c r="X3209" s="15"/>
    </row>
    <row r="3210">
      <c r="A3210" s="7">
        <v>3209.0</v>
      </c>
      <c r="B3210" s="8" t="s">
        <v>13388</v>
      </c>
      <c r="C3210" s="9" t="s">
        <v>13389</v>
      </c>
      <c r="D3210" s="10" t="str">
        <f>HYPERLINK("https://facebook.com/367089020688300_475664309830770", "367089020688300_475664309830770")</f>
        <v>367089020688300_475664309830770</v>
      </c>
      <c r="E3210" s="11">
        <v>885.0</v>
      </c>
      <c r="F3210" s="11">
        <v>35.0</v>
      </c>
      <c r="G3210" s="11">
        <v>629.0</v>
      </c>
      <c r="H3210" s="9" t="s">
        <v>26</v>
      </c>
      <c r="I3210" s="9" t="s">
        <v>13390</v>
      </c>
      <c r="J3210" s="9" t="s">
        <v>13391</v>
      </c>
      <c r="K3210" s="9" t="s">
        <v>13392</v>
      </c>
      <c r="L3210" s="9" t="s">
        <v>30</v>
      </c>
      <c r="M3210" s="9" t="s">
        <v>31</v>
      </c>
      <c r="N3210" s="9" t="s">
        <v>32</v>
      </c>
      <c r="O3210" s="12" t="s">
        <v>33</v>
      </c>
      <c r="P3210" s="12" t="s">
        <v>34</v>
      </c>
      <c r="Q3210" s="9"/>
      <c r="R3210" s="18"/>
      <c r="S3210" s="18"/>
      <c r="T3210" s="18"/>
      <c r="U3210" s="18"/>
      <c r="V3210" s="18"/>
      <c r="W3210" s="15"/>
      <c r="X3210" s="15"/>
    </row>
    <row r="3211">
      <c r="A3211" s="7">
        <v>3210.0</v>
      </c>
      <c r="B3211" s="8" t="s">
        <v>13393</v>
      </c>
      <c r="C3211" s="9" t="s">
        <v>13394</v>
      </c>
      <c r="D3211" s="10" t="str">
        <f>HYPERLINK("https://facebook.com/367089020688300_539896440074223", "367089020688300_539896440074223")</f>
        <v>367089020688300_539896440074223</v>
      </c>
      <c r="E3211" s="11">
        <v>74.0</v>
      </c>
      <c r="F3211" s="11">
        <v>0.0</v>
      </c>
      <c r="G3211" s="11">
        <v>55.0</v>
      </c>
      <c r="H3211" s="9" t="s">
        <v>26</v>
      </c>
      <c r="I3211" s="9" t="s">
        <v>13395</v>
      </c>
      <c r="J3211" s="16" t="s">
        <v>13396</v>
      </c>
      <c r="K3211" s="9"/>
      <c r="L3211" s="9" t="s">
        <v>30</v>
      </c>
      <c r="M3211" s="9" t="s">
        <v>31</v>
      </c>
      <c r="N3211" s="9" t="s">
        <v>32</v>
      </c>
      <c r="O3211" s="12" t="s">
        <v>33</v>
      </c>
      <c r="P3211" s="12" t="s">
        <v>34</v>
      </c>
      <c r="Q3211" s="9"/>
      <c r="R3211" s="18"/>
      <c r="S3211" s="18"/>
      <c r="T3211" s="18"/>
      <c r="U3211" s="18"/>
      <c r="V3211" s="18"/>
      <c r="W3211" s="15"/>
      <c r="X3211" s="15"/>
    </row>
    <row r="3212">
      <c r="A3212" s="7">
        <v>3211.0</v>
      </c>
      <c r="B3212" s="8" t="s">
        <v>13397</v>
      </c>
      <c r="C3212" s="9" t="s">
        <v>13398</v>
      </c>
      <c r="D3212" s="10" t="str">
        <f>HYPERLINK("https://facebook.com/367089020688300_549014349162432", "367089020688300_549014349162432")</f>
        <v>367089020688300_549014349162432</v>
      </c>
      <c r="E3212" s="11">
        <v>63.0</v>
      </c>
      <c r="F3212" s="11">
        <v>0.0</v>
      </c>
      <c r="G3212" s="11">
        <v>35.0</v>
      </c>
      <c r="H3212" s="9" t="s">
        <v>26</v>
      </c>
      <c r="I3212" s="9" t="s">
        <v>13399</v>
      </c>
      <c r="J3212" s="16" t="s">
        <v>13400</v>
      </c>
      <c r="K3212" s="9"/>
      <c r="L3212" s="9" t="s">
        <v>30</v>
      </c>
      <c r="M3212" s="9" t="s">
        <v>31</v>
      </c>
      <c r="N3212" s="9" t="s">
        <v>32</v>
      </c>
      <c r="O3212" s="12" t="s">
        <v>33</v>
      </c>
      <c r="P3212" s="12" t="s">
        <v>34</v>
      </c>
      <c r="Q3212" s="9"/>
      <c r="R3212" s="18"/>
      <c r="S3212" s="18"/>
      <c r="T3212" s="18"/>
      <c r="U3212" s="18"/>
      <c r="V3212" s="18"/>
      <c r="W3212" s="15"/>
      <c r="X3212" s="15"/>
    </row>
    <row r="3213">
      <c r="A3213" s="7">
        <v>3212.0</v>
      </c>
      <c r="B3213" s="8" t="s">
        <v>13401</v>
      </c>
      <c r="C3213" s="9" t="s">
        <v>13402</v>
      </c>
      <c r="D3213" s="10" t="str">
        <f>HYPERLINK("https://facebook.com/367089020688300_420782231985645", "367089020688300_420782231985645")</f>
        <v>367089020688300_420782231985645</v>
      </c>
      <c r="E3213" s="11">
        <v>150.0</v>
      </c>
      <c r="F3213" s="11">
        <v>6.0</v>
      </c>
      <c r="G3213" s="11">
        <v>226.0</v>
      </c>
      <c r="H3213" s="9" t="s">
        <v>26</v>
      </c>
      <c r="I3213" s="9" t="s">
        <v>7580</v>
      </c>
      <c r="J3213" s="9" t="s">
        <v>13403</v>
      </c>
      <c r="K3213" s="9" t="s">
        <v>13404</v>
      </c>
      <c r="L3213" s="9" t="s">
        <v>30</v>
      </c>
      <c r="M3213" s="9" t="s">
        <v>31</v>
      </c>
      <c r="N3213" s="9" t="s">
        <v>32</v>
      </c>
      <c r="O3213" s="12" t="s">
        <v>33</v>
      </c>
      <c r="P3213" s="12" t="s">
        <v>34</v>
      </c>
      <c r="Q3213" s="9"/>
      <c r="R3213" s="18"/>
      <c r="S3213" s="18"/>
      <c r="T3213" s="18"/>
      <c r="U3213" s="18"/>
      <c r="V3213" s="18"/>
      <c r="W3213" s="15"/>
      <c r="X3213" s="15"/>
    </row>
    <row r="3214">
      <c r="A3214" s="7">
        <v>3213.0</v>
      </c>
      <c r="B3214" s="8" t="s">
        <v>13405</v>
      </c>
      <c r="C3214" s="9" t="s">
        <v>13406</v>
      </c>
      <c r="D3214" s="10" t="str">
        <f>HYPERLINK("https://facebook.com/367089020688300_514683282595539", "367089020688300_514683282595539")</f>
        <v>367089020688300_514683282595539</v>
      </c>
      <c r="E3214" s="11">
        <v>61.0</v>
      </c>
      <c r="F3214" s="11">
        <v>1.0</v>
      </c>
      <c r="G3214" s="11">
        <v>93.0</v>
      </c>
      <c r="H3214" s="9" t="s">
        <v>26</v>
      </c>
      <c r="I3214" s="9" t="s">
        <v>13407</v>
      </c>
      <c r="J3214" s="16" t="s">
        <v>13408</v>
      </c>
      <c r="K3214" s="9"/>
      <c r="L3214" s="9" t="s">
        <v>30</v>
      </c>
      <c r="M3214" s="9" t="s">
        <v>31</v>
      </c>
      <c r="N3214" s="9" t="s">
        <v>32</v>
      </c>
      <c r="O3214" s="12" t="s">
        <v>33</v>
      </c>
      <c r="P3214" s="12" t="s">
        <v>34</v>
      </c>
      <c r="Q3214" s="9"/>
      <c r="R3214" s="18"/>
      <c r="S3214" s="18"/>
      <c r="T3214" s="18"/>
      <c r="U3214" s="18"/>
      <c r="V3214" s="18"/>
      <c r="W3214" s="15"/>
      <c r="X3214" s="15"/>
    </row>
    <row r="3215">
      <c r="A3215" s="7">
        <v>3214.0</v>
      </c>
      <c r="B3215" s="8" t="s">
        <v>13409</v>
      </c>
      <c r="C3215" s="9" t="s">
        <v>13410</v>
      </c>
      <c r="D3215" s="10" t="str">
        <f>HYPERLINK("https://facebook.com/367089020688300_550516332345567", "367089020688300_550516332345567")</f>
        <v>367089020688300_550516332345567</v>
      </c>
      <c r="E3215" s="11">
        <v>16.0</v>
      </c>
      <c r="F3215" s="11">
        <v>0.0</v>
      </c>
      <c r="G3215" s="11">
        <v>15.0</v>
      </c>
      <c r="H3215" s="9" t="s">
        <v>26</v>
      </c>
      <c r="I3215" s="9" t="s">
        <v>13411</v>
      </c>
      <c r="J3215" s="16" t="s">
        <v>13412</v>
      </c>
      <c r="K3215" s="9"/>
      <c r="L3215" s="9" t="s">
        <v>30</v>
      </c>
      <c r="M3215" s="9" t="s">
        <v>31</v>
      </c>
      <c r="N3215" s="9" t="s">
        <v>32</v>
      </c>
      <c r="O3215" s="12" t="s">
        <v>33</v>
      </c>
      <c r="P3215" s="12" t="s">
        <v>34</v>
      </c>
      <c r="Q3215" s="9"/>
      <c r="R3215" s="18"/>
      <c r="S3215" s="18"/>
      <c r="T3215" s="18"/>
      <c r="U3215" s="18"/>
      <c r="V3215" s="18"/>
      <c r="W3215" s="15"/>
      <c r="X3215" s="15"/>
    </row>
    <row r="3216">
      <c r="A3216" s="7">
        <v>3215.0</v>
      </c>
      <c r="B3216" s="8" t="s">
        <v>13413</v>
      </c>
      <c r="C3216" s="9" t="s">
        <v>13414</v>
      </c>
      <c r="D3216" s="10" t="str">
        <f>HYPERLINK("https://facebook.com/367089020688300_560152514715282", "367089020688300_560152514715282")</f>
        <v>367089020688300_560152514715282</v>
      </c>
      <c r="E3216" s="11">
        <v>105.0</v>
      </c>
      <c r="F3216" s="11">
        <v>1.0</v>
      </c>
      <c r="G3216" s="11">
        <v>15.0</v>
      </c>
      <c r="H3216" s="9" t="s">
        <v>26</v>
      </c>
      <c r="I3216" s="9" t="s">
        <v>13415</v>
      </c>
      <c r="J3216" s="16" t="s">
        <v>13416</v>
      </c>
      <c r="K3216" s="9"/>
      <c r="L3216" s="9" t="s">
        <v>30</v>
      </c>
      <c r="M3216" s="9" t="s">
        <v>31</v>
      </c>
      <c r="N3216" s="9" t="s">
        <v>32</v>
      </c>
      <c r="O3216" s="12" t="s">
        <v>33</v>
      </c>
      <c r="P3216" s="12" t="s">
        <v>34</v>
      </c>
      <c r="Q3216" s="9"/>
      <c r="R3216" s="18"/>
      <c r="S3216" s="18"/>
      <c r="T3216" s="18"/>
      <c r="U3216" s="18"/>
      <c r="V3216" s="18"/>
      <c r="W3216" s="15"/>
      <c r="X3216" s="15"/>
    </row>
    <row r="3217">
      <c r="A3217" s="7">
        <v>3216.0</v>
      </c>
      <c r="B3217" s="8" t="s">
        <v>13417</v>
      </c>
      <c r="C3217" s="9" t="s">
        <v>13418</v>
      </c>
      <c r="D3217" s="10" t="str">
        <f>HYPERLINK("https://facebook.com/367089020688300_446332136097321", "367089020688300_446332136097321")</f>
        <v>367089020688300_446332136097321</v>
      </c>
      <c r="E3217" s="11">
        <v>209.0</v>
      </c>
      <c r="F3217" s="11">
        <v>3.0</v>
      </c>
      <c r="G3217" s="11">
        <v>218.0</v>
      </c>
      <c r="H3217" s="9" t="s">
        <v>26</v>
      </c>
      <c r="I3217" s="9" t="s">
        <v>13419</v>
      </c>
      <c r="J3217" s="9" t="s">
        <v>13420</v>
      </c>
      <c r="K3217" s="9" t="s">
        <v>3646</v>
      </c>
      <c r="L3217" s="9" t="s">
        <v>30</v>
      </c>
      <c r="M3217" s="9" t="s">
        <v>31</v>
      </c>
      <c r="N3217" s="9" t="s">
        <v>32</v>
      </c>
      <c r="O3217" s="12" t="s">
        <v>33</v>
      </c>
      <c r="P3217" s="12" t="s">
        <v>34</v>
      </c>
      <c r="Q3217" s="9"/>
      <c r="R3217" s="18"/>
      <c r="S3217" s="18"/>
      <c r="T3217" s="18"/>
      <c r="U3217" s="18"/>
      <c r="V3217" s="18"/>
      <c r="W3217" s="15"/>
      <c r="X3217" s="15"/>
    </row>
    <row r="3218">
      <c r="A3218" s="7">
        <v>3217.0</v>
      </c>
      <c r="B3218" s="8" t="s">
        <v>13421</v>
      </c>
      <c r="C3218" s="9" t="s">
        <v>13422</v>
      </c>
      <c r="D3218" s="10" t="str">
        <f>HYPERLINK("https://facebook.com/367089020688300_503094607087740", "367089020688300_503094607087740")</f>
        <v>367089020688300_503094607087740</v>
      </c>
      <c r="E3218" s="11">
        <v>466.0</v>
      </c>
      <c r="F3218" s="11">
        <v>16.0</v>
      </c>
      <c r="G3218" s="11">
        <v>279.0</v>
      </c>
      <c r="H3218" s="9" t="s">
        <v>26</v>
      </c>
      <c r="I3218" s="9" t="s">
        <v>13423</v>
      </c>
      <c r="J3218" s="9" t="s">
        <v>13424</v>
      </c>
      <c r="K3218" s="9" t="s">
        <v>13425</v>
      </c>
      <c r="L3218" s="9" t="s">
        <v>30</v>
      </c>
      <c r="M3218" s="9" t="s">
        <v>31</v>
      </c>
      <c r="N3218" s="9" t="s">
        <v>32</v>
      </c>
      <c r="O3218" s="12" t="s">
        <v>33</v>
      </c>
      <c r="P3218" s="12" t="s">
        <v>34</v>
      </c>
      <c r="Q3218" s="9"/>
      <c r="R3218" s="18"/>
      <c r="S3218" s="18"/>
      <c r="T3218" s="18"/>
      <c r="U3218" s="18"/>
      <c r="V3218" s="18"/>
      <c r="W3218" s="15"/>
      <c r="X3218" s="15"/>
    </row>
    <row r="3219">
      <c r="A3219" s="7">
        <v>3218.0</v>
      </c>
      <c r="B3219" s="8" t="s">
        <v>13426</v>
      </c>
      <c r="C3219" s="9" t="s">
        <v>13427</v>
      </c>
      <c r="D3219" s="10" t="str">
        <f>HYPERLINK("https://facebook.com/367089020688300_561534127910454", "367089020688300_561534127910454")</f>
        <v>367089020688300_561534127910454</v>
      </c>
      <c r="E3219" s="11">
        <v>11.0</v>
      </c>
      <c r="F3219" s="11">
        <v>0.0</v>
      </c>
      <c r="G3219" s="11">
        <v>10.0</v>
      </c>
      <c r="H3219" s="9" t="s">
        <v>26</v>
      </c>
      <c r="I3219" s="9" t="s">
        <v>13428</v>
      </c>
      <c r="J3219" s="16" t="s">
        <v>13429</v>
      </c>
      <c r="K3219" s="9"/>
      <c r="L3219" s="9" t="s">
        <v>30</v>
      </c>
      <c r="M3219" s="9" t="s">
        <v>31</v>
      </c>
      <c r="N3219" s="9" t="s">
        <v>32</v>
      </c>
      <c r="O3219" s="12" t="s">
        <v>33</v>
      </c>
      <c r="P3219" s="12" t="s">
        <v>34</v>
      </c>
      <c r="Q3219" s="9"/>
      <c r="R3219" s="18"/>
      <c r="S3219" s="18"/>
      <c r="T3219" s="18"/>
      <c r="U3219" s="18"/>
      <c r="V3219" s="18"/>
      <c r="W3219" s="15"/>
      <c r="X3219" s="15"/>
    </row>
    <row r="3220">
      <c r="A3220" s="7">
        <v>3219.0</v>
      </c>
      <c r="B3220" s="8" t="s">
        <v>13430</v>
      </c>
      <c r="C3220" s="9" t="s">
        <v>13431</v>
      </c>
      <c r="D3220" s="10" t="str">
        <f>HYPERLINK("https://facebook.com/367089020688300_543456983051502", "367089020688300_543456983051502")</f>
        <v>367089020688300_543456983051502</v>
      </c>
      <c r="E3220" s="11">
        <v>18.0</v>
      </c>
      <c r="F3220" s="11">
        <v>0.0</v>
      </c>
      <c r="G3220" s="11">
        <v>14.0</v>
      </c>
      <c r="H3220" s="9" t="s">
        <v>26</v>
      </c>
      <c r="I3220" s="9" t="s">
        <v>13432</v>
      </c>
      <c r="J3220" s="9" t="s">
        <v>13433</v>
      </c>
      <c r="K3220" s="9" t="s">
        <v>10539</v>
      </c>
      <c r="L3220" s="9" t="s">
        <v>30</v>
      </c>
      <c r="M3220" s="9" t="s">
        <v>31</v>
      </c>
      <c r="N3220" s="9" t="s">
        <v>32</v>
      </c>
      <c r="O3220" s="12" t="s">
        <v>33</v>
      </c>
      <c r="P3220" s="12" t="s">
        <v>34</v>
      </c>
      <c r="Q3220" s="9"/>
      <c r="R3220" s="18"/>
      <c r="S3220" s="18"/>
      <c r="T3220" s="18"/>
      <c r="U3220" s="18"/>
      <c r="V3220" s="18"/>
      <c r="W3220" s="15"/>
      <c r="X3220" s="15"/>
    </row>
    <row r="3221">
      <c r="A3221" s="7">
        <v>3220.0</v>
      </c>
      <c r="B3221" s="8" t="s">
        <v>13434</v>
      </c>
      <c r="C3221" s="9" t="s">
        <v>13435</v>
      </c>
      <c r="D3221" s="10" t="str">
        <f>HYPERLINK("https://facebook.com/367089020688300_492722561458278", "367089020688300_492722561458278")</f>
        <v>367089020688300_492722561458278</v>
      </c>
      <c r="E3221" s="11">
        <v>70.0</v>
      </c>
      <c r="F3221" s="11">
        <v>0.0</v>
      </c>
      <c r="G3221" s="11">
        <v>59.0</v>
      </c>
      <c r="H3221" s="9" t="s">
        <v>26</v>
      </c>
      <c r="I3221" s="9" t="s">
        <v>5097</v>
      </c>
      <c r="J3221" s="9" t="s">
        <v>5098</v>
      </c>
      <c r="K3221" s="9" t="s">
        <v>13436</v>
      </c>
      <c r="L3221" s="9" t="s">
        <v>30</v>
      </c>
      <c r="M3221" s="9" t="s">
        <v>31</v>
      </c>
      <c r="N3221" s="9" t="s">
        <v>32</v>
      </c>
      <c r="O3221" s="12" t="s">
        <v>33</v>
      </c>
      <c r="P3221" s="12" t="s">
        <v>34</v>
      </c>
      <c r="Q3221" s="9"/>
      <c r="R3221" s="18"/>
      <c r="S3221" s="18"/>
      <c r="T3221" s="18"/>
      <c r="U3221" s="18"/>
      <c r="V3221" s="18"/>
      <c r="W3221" s="15"/>
      <c r="X3221" s="15"/>
    </row>
    <row r="3222">
      <c r="A3222" s="7">
        <v>3221.0</v>
      </c>
      <c r="B3222" s="8" t="s">
        <v>13437</v>
      </c>
      <c r="C3222" s="9" t="s">
        <v>13438</v>
      </c>
      <c r="D3222" s="10" t="str">
        <f>HYPERLINK("https://facebook.com/367089020688300_531138494283351", "367089020688300_531138494283351")</f>
        <v>367089020688300_531138494283351</v>
      </c>
      <c r="E3222" s="11">
        <v>80.0</v>
      </c>
      <c r="F3222" s="11">
        <v>2.0</v>
      </c>
      <c r="G3222" s="11">
        <v>46.0</v>
      </c>
      <c r="H3222" s="9" t="s">
        <v>26</v>
      </c>
      <c r="I3222" s="9" t="s">
        <v>13439</v>
      </c>
      <c r="J3222" s="9" t="s">
        <v>13440</v>
      </c>
      <c r="K3222" s="9" t="s">
        <v>3928</v>
      </c>
      <c r="L3222" s="9" t="s">
        <v>30</v>
      </c>
      <c r="M3222" s="9" t="s">
        <v>31</v>
      </c>
      <c r="N3222" s="9" t="s">
        <v>32</v>
      </c>
      <c r="O3222" s="12" t="s">
        <v>33</v>
      </c>
      <c r="P3222" s="12" t="s">
        <v>34</v>
      </c>
      <c r="Q3222" s="9"/>
      <c r="R3222" s="18"/>
      <c r="S3222" s="18"/>
      <c r="T3222" s="18"/>
      <c r="U3222" s="18"/>
      <c r="V3222" s="18"/>
      <c r="W3222" s="15"/>
      <c r="X3222" s="15"/>
    </row>
    <row r="3223">
      <c r="A3223" s="7">
        <v>3222.0</v>
      </c>
      <c r="B3223" s="8" t="s">
        <v>13441</v>
      </c>
      <c r="C3223" s="9" t="s">
        <v>13442</v>
      </c>
      <c r="D3223" s="10" t="str">
        <f>HYPERLINK("https://facebook.com/367089020688300_513295526067648", "367089020688300_513295526067648")</f>
        <v>367089020688300_513295526067648</v>
      </c>
      <c r="E3223" s="11">
        <v>18.0</v>
      </c>
      <c r="F3223" s="11">
        <v>0.0</v>
      </c>
      <c r="G3223" s="11">
        <v>11.0</v>
      </c>
      <c r="H3223" s="9" t="s">
        <v>26</v>
      </c>
      <c r="I3223" s="9" t="s">
        <v>9066</v>
      </c>
      <c r="J3223" s="9" t="s">
        <v>9067</v>
      </c>
      <c r="K3223" s="9" t="s">
        <v>214</v>
      </c>
      <c r="L3223" s="9" t="s">
        <v>30</v>
      </c>
      <c r="M3223" s="9" t="s">
        <v>31</v>
      </c>
      <c r="N3223" s="9" t="s">
        <v>32</v>
      </c>
      <c r="O3223" s="12" t="s">
        <v>33</v>
      </c>
      <c r="P3223" s="12" t="s">
        <v>34</v>
      </c>
      <c r="Q3223" s="9"/>
      <c r="R3223" s="18"/>
      <c r="S3223" s="18"/>
      <c r="T3223" s="18"/>
      <c r="U3223" s="18"/>
      <c r="V3223" s="18"/>
      <c r="W3223" s="15"/>
      <c r="X3223" s="15"/>
    </row>
    <row r="3224">
      <c r="A3224" s="7">
        <v>3223.0</v>
      </c>
      <c r="B3224" s="8" t="s">
        <v>13443</v>
      </c>
      <c r="C3224" s="9" t="s">
        <v>13444</v>
      </c>
      <c r="D3224" s="10" t="str">
        <f>HYPERLINK("https://facebook.com/367089020688300_562098747853992", "367089020688300_562098747853992")</f>
        <v>367089020688300_562098747853992</v>
      </c>
      <c r="E3224" s="11">
        <v>9.0</v>
      </c>
      <c r="F3224" s="11">
        <v>0.0</v>
      </c>
      <c r="G3224" s="11">
        <v>6.0</v>
      </c>
      <c r="H3224" s="9" t="s">
        <v>26</v>
      </c>
      <c r="I3224" s="9" t="s">
        <v>13445</v>
      </c>
      <c r="J3224" s="9" t="s">
        <v>13446</v>
      </c>
      <c r="K3224" s="9" t="s">
        <v>13447</v>
      </c>
      <c r="L3224" s="9" t="s">
        <v>30</v>
      </c>
      <c r="M3224" s="9" t="s">
        <v>31</v>
      </c>
      <c r="N3224" s="9" t="s">
        <v>32</v>
      </c>
      <c r="O3224" s="12" t="s">
        <v>33</v>
      </c>
      <c r="P3224" s="12" t="s">
        <v>34</v>
      </c>
      <c r="Q3224" s="9"/>
      <c r="R3224" s="18"/>
      <c r="S3224" s="18"/>
      <c r="T3224" s="18"/>
      <c r="U3224" s="18"/>
      <c r="V3224" s="18"/>
      <c r="W3224" s="15"/>
      <c r="X3224" s="15"/>
    </row>
    <row r="3225">
      <c r="A3225" s="7">
        <v>3224.0</v>
      </c>
      <c r="B3225" s="8" t="s">
        <v>13448</v>
      </c>
      <c r="C3225" s="9" t="s">
        <v>13449</v>
      </c>
      <c r="D3225" s="10" t="str">
        <f>HYPERLINK("https://facebook.com/367089020688300_460986021298599", "367089020688300_460986021298599")</f>
        <v>367089020688300_460986021298599</v>
      </c>
      <c r="E3225" s="11">
        <v>198.0</v>
      </c>
      <c r="F3225" s="11">
        <v>1.0</v>
      </c>
      <c r="G3225" s="11">
        <v>203.0</v>
      </c>
      <c r="H3225" s="9" t="s">
        <v>26</v>
      </c>
      <c r="I3225" s="9" t="s">
        <v>13450</v>
      </c>
      <c r="J3225" s="9" t="s">
        <v>13451</v>
      </c>
      <c r="K3225" s="9" t="s">
        <v>13452</v>
      </c>
      <c r="L3225" s="9" t="s">
        <v>30</v>
      </c>
      <c r="M3225" s="9" t="s">
        <v>31</v>
      </c>
      <c r="N3225" s="9" t="s">
        <v>32</v>
      </c>
      <c r="O3225" s="12" t="s">
        <v>33</v>
      </c>
      <c r="P3225" s="12" t="s">
        <v>34</v>
      </c>
      <c r="Q3225" s="9"/>
      <c r="R3225" s="18"/>
      <c r="S3225" s="18"/>
      <c r="T3225" s="18"/>
      <c r="U3225" s="18"/>
      <c r="V3225" s="18"/>
      <c r="W3225" s="15"/>
      <c r="X3225" s="15"/>
    </row>
    <row r="3226">
      <c r="A3226" s="7">
        <v>3225.0</v>
      </c>
      <c r="B3226" s="8" t="s">
        <v>13453</v>
      </c>
      <c r="C3226" s="9" t="s">
        <v>13454</v>
      </c>
      <c r="D3226" s="10" t="str">
        <f>HYPERLINK("https://facebook.com/367089020688300_557551828308684", "367089020688300_557551828308684")</f>
        <v>367089020688300_557551828308684</v>
      </c>
      <c r="E3226" s="11">
        <v>154.0</v>
      </c>
      <c r="F3226" s="11">
        <v>1.0</v>
      </c>
      <c r="G3226" s="11">
        <v>118.0</v>
      </c>
      <c r="H3226" s="9" t="s">
        <v>26</v>
      </c>
      <c r="I3226" s="9" t="s">
        <v>7693</v>
      </c>
      <c r="J3226" s="16" t="s">
        <v>13455</v>
      </c>
      <c r="K3226" s="9"/>
      <c r="L3226" s="9" t="s">
        <v>30</v>
      </c>
      <c r="M3226" s="9" t="s">
        <v>31</v>
      </c>
      <c r="N3226" s="9" t="s">
        <v>32</v>
      </c>
      <c r="O3226" s="12" t="s">
        <v>33</v>
      </c>
      <c r="P3226" s="12" t="s">
        <v>34</v>
      </c>
      <c r="Q3226" s="9"/>
      <c r="R3226" s="18"/>
      <c r="S3226" s="18"/>
      <c r="T3226" s="18"/>
      <c r="U3226" s="18"/>
      <c r="V3226" s="18"/>
      <c r="W3226" s="15"/>
      <c r="X3226" s="15"/>
    </row>
    <row r="3227">
      <c r="A3227" s="7">
        <v>3226.0</v>
      </c>
      <c r="B3227" s="8" t="s">
        <v>13456</v>
      </c>
      <c r="C3227" s="9" t="s">
        <v>13457</v>
      </c>
      <c r="D3227" s="10" t="str">
        <f>HYPERLINK("https://facebook.com/367089020688300_439475280116340", "367089020688300_439475280116340")</f>
        <v>367089020688300_439475280116340</v>
      </c>
      <c r="E3227" s="11">
        <v>3.0</v>
      </c>
      <c r="F3227" s="11">
        <v>1.0</v>
      </c>
      <c r="G3227" s="11">
        <v>25.0</v>
      </c>
      <c r="H3227" s="9" t="s">
        <v>26</v>
      </c>
      <c r="I3227" s="9" t="s">
        <v>13458</v>
      </c>
      <c r="J3227" s="9" t="s">
        <v>13459</v>
      </c>
      <c r="K3227" s="9" t="s">
        <v>13460</v>
      </c>
      <c r="L3227" s="9" t="s">
        <v>30</v>
      </c>
      <c r="M3227" s="9" t="s">
        <v>31</v>
      </c>
      <c r="N3227" s="9" t="s">
        <v>32</v>
      </c>
      <c r="O3227" s="12" t="s">
        <v>33</v>
      </c>
      <c r="P3227" s="12" t="s">
        <v>34</v>
      </c>
      <c r="Q3227" s="9"/>
      <c r="R3227" s="18"/>
      <c r="S3227" s="18"/>
      <c r="T3227" s="18"/>
      <c r="U3227" s="18"/>
      <c r="V3227" s="18"/>
      <c r="W3227" s="15"/>
      <c r="X3227" s="15"/>
    </row>
    <row r="3228">
      <c r="A3228" s="7">
        <v>3227.0</v>
      </c>
      <c r="B3228" s="8" t="s">
        <v>13461</v>
      </c>
      <c r="C3228" s="9" t="s">
        <v>13462</v>
      </c>
      <c r="D3228" s="10" t="str">
        <f>HYPERLINK("https://facebook.com/367089020688300_508375146559686", "367089020688300_508375146559686")</f>
        <v>367089020688300_508375146559686</v>
      </c>
      <c r="E3228" s="11">
        <v>1665.0</v>
      </c>
      <c r="F3228" s="11">
        <v>103.0</v>
      </c>
      <c r="G3228" s="11">
        <v>534.0</v>
      </c>
      <c r="H3228" s="9" t="s">
        <v>26</v>
      </c>
      <c r="I3228" s="9" t="s">
        <v>4829</v>
      </c>
      <c r="J3228" s="9" t="s">
        <v>13463</v>
      </c>
      <c r="K3228" s="9" t="s">
        <v>12517</v>
      </c>
      <c r="L3228" s="9" t="s">
        <v>30</v>
      </c>
      <c r="M3228" s="9" t="s">
        <v>31</v>
      </c>
      <c r="N3228" s="9" t="s">
        <v>32</v>
      </c>
      <c r="O3228" s="12" t="s">
        <v>33</v>
      </c>
      <c r="P3228" s="12" t="s">
        <v>34</v>
      </c>
      <c r="Q3228" s="9"/>
      <c r="R3228" s="18"/>
      <c r="S3228" s="18"/>
      <c r="T3228" s="18"/>
      <c r="U3228" s="18"/>
      <c r="V3228" s="18"/>
      <c r="W3228" s="15"/>
      <c r="X3228" s="15"/>
    </row>
    <row r="3229">
      <c r="A3229" s="7">
        <v>3228.0</v>
      </c>
      <c r="B3229" s="8" t="s">
        <v>13464</v>
      </c>
      <c r="C3229" s="9" t="s">
        <v>13465</v>
      </c>
      <c r="D3229" s="10" t="str">
        <f>HYPERLINK("https://facebook.com/367089020688300_531345657595968", "367089020688300_531345657595968")</f>
        <v>367089020688300_531345657595968</v>
      </c>
      <c r="E3229" s="11">
        <v>310.0</v>
      </c>
      <c r="F3229" s="11">
        <v>50.0</v>
      </c>
      <c r="G3229" s="11">
        <v>215.0</v>
      </c>
      <c r="H3229" s="9" t="s">
        <v>26</v>
      </c>
      <c r="I3229" s="9" t="s">
        <v>13466</v>
      </c>
      <c r="J3229" s="16" t="s">
        <v>13467</v>
      </c>
      <c r="K3229" s="9"/>
      <c r="L3229" s="9" t="s">
        <v>30</v>
      </c>
      <c r="M3229" s="9" t="s">
        <v>31</v>
      </c>
      <c r="N3229" s="9" t="s">
        <v>32</v>
      </c>
      <c r="O3229" s="12" t="s">
        <v>33</v>
      </c>
      <c r="P3229" s="12" t="s">
        <v>34</v>
      </c>
      <c r="Q3229" s="9"/>
      <c r="R3229" s="18"/>
      <c r="S3229" s="18"/>
      <c r="T3229" s="18"/>
      <c r="U3229" s="18"/>
      <c r="V3229" s="18"/>
      <c r="W3229" s="15"/>
      <c r="X3229" s="15"/>
    </row>
    <row r="3230">
      <c r="A3230" s="7">
        <v>3229.0</v>
      </c>
      <c r="B3230" s="8" t="s">
        <v>13468</v>
      </c>
      <c r="C3230" s="9" t="s">
        <v>13469</v>
      </c>
      <c r="D3230" s="10" t="str">
        <f>HYPERLINK("https://facebook.com/367089020688300_507706543293213", "367089020688300_507706543293213")</f>
        <v>367089020688300_507706543293213</v>
      </c>
      <c r="E3230" s="11">
        <v>223.0</v>
      </c>
      <c r="F3230" s="11">
        <v>2.0</v>
      </c>
      <c r="G3230" s="11">
        <v>159.0</v>
      </c>
      <c r="H3230" s="9" t="s">
        <v>26</v>
      </c>
      <c r="I3230" s="9" t="s">
        <v>13470</v>
      </c>
      <c r="J3230" s="16" t="s">
        <v>13471</v>
      </c>
      <c r="K3230" s="9"/>
      <c r="L3230" s="9" t="s">
        <v>30</v>
      </c>
      <c r="M3230" s="9" t="s">
        <v>31</v>
      </c>
      <c r="N3230" s="9" t="s">
        <v>32</v>
      </c>
      <c r="O3230" s="12" t="s">
        <v>33</v>
      </c>
      <c r="P3230" s="12" t="s">
        <v>34</v>
      </c>
      <c r="Q3230" s="9"/>
      <c r="R3230" s="18"/>
      <c r="S3230" s="18"/>
      <c r="T3230" s="18"/>
      <c r="U3230" s="18"/>
      <c r="V3230" s="18"/>
      <c r="W3230" s="15"/>
      <c r="X3230" s="15"/>
    </row>
    <row r="3231">
      <c r="A3231" s="7">
        <v>3230.0</v>
      </c>
      <c r="B3231" s="8" t="s">
        <v>13472</v>
      </c>
      <c r="C3231" s="9" t="s">
        <v>13473</v>
      </c>
      <c r="D3231" s="10" t="str">
        <f>HYPERLINK("https://facebook.com/367089020688300_541131073284093", "367089020688300_541131073284093")</f>
        <v>367089020688300_541131073284093</v>
      </c>
      <c r="E3231" s="11">
        <v>38.0</v>
      </c>
      <c r="F3231" s="11">
        <v>2.0</v>
      </c>
      <c r="G3231" s="11">
        <v>19.0</v>
      </c>
      <c r="H3231" s="9" t="s">
        <v>26</v>
      </c>
      <c r="I3231" s="9" t="s">
        <v>13474</v>
      </c>
      <c r="J3231" s="9" t="s">
        <v>13475</v>
      </c>
      <c r="K3231" s="9" t="s">
        <v>13476</v>
      </c>
      <c r="L3231" s="9" t="s">
        <v>30</v>
      </c>
      <c r="M3231" s="9" t="s">
        <v>31</v>
      </c>
      <c r="N3231" s="9" t="s">
        <v>32</v>
      </c>
      <c r="O3231" s="12" t="s">
        <v>33</v>
      </c>
      <c r="P3231" s="12" t="s">
        <v>34</v>
      </c>
      <c r="Q3231" s="9"/>
      <c r="R3231" s="18"/>
      <c r="S3231" s="18"/>
      <c r="T3231" s="18"/>
      <c r="U3231" s="18"/>
      <c r="V3231" s="18"/>
      <c r="W3231" s="15"/>
      <c r="X3231" s="15"/>
    </row>
    <row r="3232">
      <c r="A3232" s="7">
        <v>3231.0</v>
      </c>
      <c r="B3232" s="8" t="s">
        <v>13477</v>
      </c>
      <c r="C3232" s="9" t="s">
        <v>13478</v>
      </c>
      <c r="D3232" s="10" t="str">
        <f>HYPERLINK("https://facebook.com/367089020688300_555902588473608", "367089020688300_555902588473608")</f>
        <v>367089020688300_555902588473608</v>
      </c>
      <c r="E3232" s="11">
        <v>130.0</v>
      </c>
      <c r="F3232" s="11">
        <v>4.0</v>
      </c>
      <c r="G3232" s="11">
        <v>132.0</v>
      </c>
      <c r="H3232" s="9" t="s">
        <v>26</v>
      </c>
      <c r="I3232" s="9" t="s">
        <v>13479</v>
      </c>
      <c r="J3232" s="9" t="s">
        <v>13480</v>
      </c>
      <c r="K3232" s="9" t="s">
        <v>13481</v>
      </c>
      <c r="L3232" s="9" t="s">
        <v>30</v>
      </c>
      <c r="M3232" s="9" t="s">
        <v>31</v>
      </c>
      <c r="N3232" s="9" t="s">
        <v>32</v>
      </c>
      <c r="O3232" s="12" t="s">
        <v>33</v>
      </c>
      <c r="P3232" s="12" t="s">
        <v>34</v>
      </c>
      <c r="Q3232" s="9"/>
      <c r="R3232" s="18"/>
      <c r="S3232" s="18"/>
      <c r="T3232" s="18"/>
      <c r="U3232" s="18"/>
      <c r="V3232" s="18"/>
      <c r="W3232" s="15"/>
      <c r="X3232" s="15"/>
    </row>
    <row r="3233">
      <c r="A3233" s="7">
        <v>3232.0</v>
      </c>
      <c r="B3233" s="8" t="s">
        <v>13482</v>
      </c>
      <c r="C3233" s="9" t="s">
        <v>13483</v>
      </c>
      <c r="D3233" s="10" t="str">
        <f>HYPERLINK("https://facebook.com/367089020688300_539926903404510", "367089020688300_539926903404510")</f>
        <v>367089020688300_539926903404510</v>
      </c>
      <c r="E3233" s="11">
        <v>252.0</v>
      </c>
      <c r="F3233" s="11">
        <v>1.0</v>
      </c>
      <c r="G3233" s="11">
        <v>153.0</v>
      </c>
      <c r="H3233" s="9" t="s">
        <v>26</v>
      </c>
      <c r="I3233" s="9" t="s">
        <v>9534</v>
      </c>
      <c r="J3233" s="16" t="s">
        <v>13484</v>
      </c>
      <c r="K3233" s="9"/>
      <c r="L3233" s="9" t="s">
        <v>30</v>
      </c>
      <c r="M3233" s="9" t="s">
        <v>31</v>
      </c>
      <c r="N3233" s="9" t="s">
        <v>32</v>
      </c>
      <c r="O3233" s="12" t="s">
        <v>33</v>
      </c>
      <c r="P3233" s="12" t="s">
        <v>34</v>
      </c>
      <c r="Q3233" s="9"/>
      <c r="R3233" s="18"/>
      <c r="S3233" s="18"/>
      <c r="T3233" s="18"/>
      <c r="U3233" s="18"/>
      <c r="V3233" s="18"/>
      <c r="W3233" s="15"/>
      <c r="X3233" s="15"/>
    </row>
    <row r="3234">
      <c r="A3234" s="7">
        <v>3233.0</v>
      </c>
      <c r="B3234" s="8" t="s">
        <v>13485</v>
      </c>
      <c r="C3234" s="9" t="s">
        <v>13486</v>
      </c>
      <c r="D3234" s="10" t="str">
        <f>HYPERLINK("https://facebook.com/367089020688300_544204989643368", "367089020688300_544204989643368")</f>
        <v>367089020688300_544204989643368</v>
      </c>
      <c r="E3234" s="11">
        <v>36.0</v>
      </c>
      <c r="F3234" s="11">
        <v>0.0</v>
      </c>
      <c r="G3234" s="11">
        <v>29.0</v>
      </c>
      <c r="H3234" s="9" t="s">
        <v>26</v>
      </c>
      <c r="I3234" s="9" t="s">
        <v>6420</v>
      </c>
      <c r="J3234" s="9" t="s">
        <v>6421</v>
      </c>
      <c r="K3234" s="9" t="s">
        <v>13487</v>
      </c>
      <c r="L3234" s="9" t="s">
        <v>30</v>
      </c>
      <c r="M3234" s="9" t="s">
        <v>31</v>
      </c>
      <c r="N3234" s="9" t="s">
        <v>32</v>
      </c>
      <c r="O3234" s="12" t="s">
        <v>33</v>
      </c>
      <c r="P3234" s="12" t="s">
        <v>34</v>
      </c>
      <c r="Q3234" s="9"/>
      <c r="R3234" s="18"/>
      <c r="S3234" s="18"/>
      <c r="T3234" s="18"/>
      <c r="U3234" s="18"/>
      <c r="V3234" s="18"/>
      <c r="W3234" s="15"/>
      <c r="X3234" s="15"/>
    </row>
    <row r="3235">
      <c r="A3235" s="7">
        <v>3234.0</v>
      </c>
      <c r="B3235" s="8" t="s">
        <v>13488</v>
      </c>
      <c r="C3235" s="9" t="s">
        <v>13489</v>
      </c>
      <c r="D3235" s="10" t="str">
        <f>HYPERLINK("https://facebook.com/367089020688300_539954000068467", "367089020688300_539954000068467")</f>
        <v>367089020688300_539954000068467</v>
      </c>
      <c r="E3235" s="11">
        <v>140.0</v>
      </c>
      <c r="F3235" s="11">
        <v>0.0</v>
      </c>
      <c r="G3235" s="11">
        <v>105.0</v>
      </c>
      <c r="H3235" s="9" t="s">
        <v>26</v>
      </c>
      <c r="I3235" s="9" t="s">
        <v>13490</v>
      </c>
      <c r="J3235" s="9" t="s">
        <v>13491</v>
      </c>
      <c r="K3235" s="9" t="s">
        <v>13492</v>
      </c>
      <c r="L3235" s="9" t="s">
        <v>30</v>
      </c>
      <c r="M3235" s="9" t="s">
        <v>31</v>
      </c>
      <c r="N3235" s="9" t="s">
        <v>32</v>
      </c>
      <c r="O3235" s="12" t="s">
        <v>33</v>
      </c>
      <c r="P3235" s="12" t="s">
        <v>34</v>
      </c>
      <c r="Q3235" s="9"/>
      <c r="R3235" s="18"/>
      <c r="S3235" s="18"/>
      <c r="T3235" s="18"/>
      <c r="U3235" s="18"/>
      <c r="V3235" s="18"/>
      <c r="W3235" s="15"/>
      <c r="X3235" s="15"/>
    </row>
    <row r="3236">
      <c r="A3236" s="7">
        <v>3235.0</v>
      </c>
      <c r="B3236" s="8" t="s">
        <v>13493</v>
      </c>
      <c r="C3236" s="9" t="s">
        <v>13494</v>
      </c>
      <c r="D3236" s="10" t="str">
        <f>HYPERLINK("https://facebook.com/367089020688300_557353368328530", "367089020688300_557353368328530")</f>
        <v>367089020688300_557353368328530</v>
      </c>
      <c r="E3236" s="11">
        <v>599.0</v>
      </c>
      <c r="F3236" s="11">
        <v>13.0</v>
      </c>
      <c r="G3236" s="11">
        <v>332.0</v>
      </c>
      <c r="H3236" s="9" t="s">
        <v>26</v>
      </c>
      <c r="I3236" s="9" t="s">
        <v>13495</v>
      </c>
      <c r="J3236" s="16" t="s">
        <v>13496</v>
      </c>
      <c r="K3236" s="9"/>
      <c r="L3236" s="9" t="s">
        <v>30</v>
      </c>
      <c r="M3236" s="9" t="s">
        <v>31</v>
      </c>
      <c r="N3236" s="9" t="s">
        <v>32</v>
      </c>
      <c r="O3236" s="12" t="s">
        <v>33</v>
      </c>
      <c r="P3236" s="12" t="s">
        <v>34</v>
      </c>
      <c r="Q3236" s="9"/>
      <c r="R3236" s="18"/>
      <c r="S3236" s="18"/>
      <c r="T3236" s="18"/>
      <c r="U3236" s="18"/>
      <c r="V3236" s="18"/>
      <c r="W3236" s="15"/>
      <c r="X3236" s="15"/>
    </row>
    <row r="3237">
      <c r="A3237" s="7">
        <v>3236.0</v>
      </c>
      <c r="B3237" s="8" t="s">
        <v>13497</v>
      </c>
      <c r="C3237" s="9" t="s">
        <v>13498</v>
      </c>
      <c r="D3237" s="10" t="str">
        <f>HYPERLINK("https://facebook.com/367089020688300_523112181752649", "367089020688300_523112181752649")</f>
        <v>367089020688300_523112181752649</v>
      </c>
      <c r="E3237" s="11">
        <v>266.0</v>
      </c>
      <c r="F3237" s="11">
        <v>2.0</v>
      </c>
      <c r="G3237" s="11">
        <v>404.0</v>
      </c>
      <c r="H3237" s="9" t="s">
        <v>26</v>
      </c>
      <c r="I3237" s="9" t="s">
        <v>13499</v>
      </c>
      <c r="J3237" s="16" t="s">
        <v>13500</v>
      </c>
      <c r="K3237" s="9"/>
      <c r="L3237" s="9" t="s">
        <v>30</v>
      </c>
      <c r="M3237" s="9" t="s">
        <v>31</v>
      </c>
      <c r="N3237" s="9" t="s">
        <v>32</v>
      </c>
      <c r="O3237" s="12" t="s">
        <v>33</v>
      </c>
      <c r="P3237" s="12" t="s">
        <v>34</v>
      </c>
      <c r="Q3237" s="9"/>
      <c r="R3237" s="18"/>
      <c r="S3237" s="18"/>
      <c r="T3237" s="18"/>
      <c r="U3237" s="18"/>
      <c r="V3237" s="18"/>
      <c r="W3237" s="15"/>
      <c r="X3237" s="15"/>
    </row>
    <row r="3238">
      <c r="A3238" s="7">
        <v>3237.0</v>
      </c>
      <c r="B3238" s="8" t="s">
        <v>13501</v>
      </c>
      <c r="C3238" s="9" t="s">
        <v>13502</v>
      </c>
      <c r="D3238" s="10" t="str">
        <f>HYPERLINK("https://facebook.com/367089020688300_553841925346341", "367089020688300_553841925346341")</f>
        <v>367089020688300_553841925346341</v>
      </c>
      <c r="E3238" s="11">
        <v>8.0</v>
      </c>
      <c r="F3238" s="11">
        <v>1.0</v>
      </c>
      <c r="G3238" s="11">
        <v>4.0</v>
      </c>
      <c r="H3238" s="9" t="s">
        <v>26</v>
      </c>
      <c r="I3238" s="9" t="s">
        <v>13503</v>
      </c>
      <c r="J3238" s="9" t="s">
        <v>13504</v>
      </c>
      <c r="K3238" s="9" t="s">
        <v>3003</v>
      </c>
      <c r="L3238" s="9" t="s">
        <v>30</v>
      </c>
      <c r="M3238" s="9" t="s">
        <v>31</v>
      </c>
      <c r="N3238" s="9" t="s">
        <v>32</v>
      </c>
      <c r="O3238" s="12" t="s">
        <v>33</v>
      </c>
      <c r="P3238" s="12" t="s">
        <v>34</v>
      </c>
      <c r="Q3238" s="9"/>
      <c r="R3238" s="18"/>
      <c r="S3238" s="18"/>
      <c r="T3238" s="18"/>
      <c r="U3238" s="18"/>
      <c r="V3238" s="18"/>
      <c r="W3238" s="15"/>
      <c r="X3238" s="15"/>
    </row>
    <row r="3239">
      <c r="A3239" s="7">
        <v>3238.0</v>
      </c>
      <c r="B3239" s="8" t="s">
        <v>13505</v>
      </c>
      <c r="C3239" s="9" t="s">
        <v>13506</v>
      </c>
      <c r="D3239" s="10" t="str">
        <f>HYPERLINK("https://facebook.com/367089020688300_538162236914310", "367089020688300_538162236914310")</f>
        <v>367089020688300_538162236914310</v>
      </c>
      <c r="E3239" s="11">
        <v>70.0</v>
      </c>
      <c r="F3239" s="11">
        <v>0.0</v>
      </c>
      <c r="G3239" s="11">
        <v>74.0</v>
      </c>
      <c r="H3239" s="9" t="s">
        <v>26</v>
      </c>
      <c r="I3239" s="9" t="s">
        <v>8113</v>
      </c>
      <c r="J3239" s="16" t="s">
        <v>8114</v>
      </c>
      <c r="K3239" s="9"/>
      <c r="L3239" s="9" t="s">
        <v>30</v>
      </c>
      <c r="M3239" s="9" t="s">
        <v>31</v>
      </c>
      <c r="N3239" s="9" t="s">
        <v>32</v>
      </c>
      <c r="O3239" s="12" t="s">
        <v>33</v>
      </c>
      <c r="P3239" s="12" t="s">
        <v>34</v>
      </c>
      <c r="Q3239" s="9"/>
      <c r="R3239" s="18"/>
      <c r="S3239" s="18"/>
      <c r="T3239" s="18"/>
      <c r="U3239" s="18"/>
      <c r="V3239" s="18"/>
      <c r="W3239" s="15"/>
      <c r="X3239" s="15"/>
    </row>
    <row r="3240">
      <c r="A3240" s="7">
        <v>3239.0</v>
      </c>
      <c r="B3240" s="8" t="s">
        <v>13507</v>
      </c>
      <c r="C3240" s="9" t="s">
        <v>13508</v>
      </c>
      <c r="D3240" s="10" t="str">
        <f>HYPERLINK("https://facebook.com/367089020688300_546446422752558", "367089020688300_546446422752558")</f>
        <v>367089020688300_546446422752558</v>
      </c>
      <c r="E3240" s="11">
        <v>205.0</v>
      </c>
      <c r="F3240" s="11">
        <v>5.0</v>
      </c>
      <c r="G3240" s="11">
        <v>82.0</v>
      </c>
      <c r="H3240" s="9" t="s">
        <v>26</v>
      </c>
      <c r="I3240" s="9" t="s">
        <v>13509</v>
      </c>
      <c r="J3240" s="9" t="s">
        <v>13510</v>
      </c>
      <c r="K3240" s="9" t="s">
        <v>13511</v>
      </c>
      <c r="L3240" s="9" t="s">
        <v>30</v>
      </c>
      <c r="M3240" s="9" t="s">
        <v>31</v>
      </c>
      <c r="N3240" s="9" t="s">
        <v>32</v>
      </c>
      <c r="O3240" s="12" t="s">
        <v>33</v>
      </c>
      <c r="P3240" s="12" t="s">
        <v>34</v>
      </c>
      <c r="Q3240" s="9"/>
      <c r="R3240" s="18"/>
      <c r="S3240" s="18"/>
      <c r="T3240" s="18"/>
      <c r="U3240" s="18"/>
      <c r="V3240" s="18"/>
      <c r="W3240" s="15"/>
      <c r="X3240" s="15"/>
    </row>
    <row r="3241">
      <c r="A3241" s="7">
        <v>3240.0</v>
      </c>
      <c r="B3241" s="8" t="s">
        <v>13512</v>
      </c>
      <c r="C3241" s="9" t="s">
        <v>13513</v>
      </c>
      <c r="D3241" s="10" t="str">
        <f>HYPERLINK("https://facebook.com/367089020688300_546307176099816", "367089020688300_546307176099816")</f>
        <v>367089020688300_546307176099816</v>
      </c>
      <c r="E3241" s="11">
        <v>13.0</v>
      </c>
      <c r="F3241" s="11">
        <v>0.0</v>
      </c>
      <c r="G3241" s="11">
        <v>12.0</v>
      </c>
      <c r="H3241" s="9" t="s">
        <v>26</v>
      </c>
      <c r="I3241" s="9" t="s">
        <v>13514</v>
      </c>
      <c r="J3241" s="9" t="s">
        <v>13515</v>
      </c>
      <c r="K3241" s="9" t="s">
        <v>485</v>
      </c>
      <c r="L3241" s="9" t="s">
        <v>30</v>
      </c>
      <c r="M3241" s="9" t="s">
        <v>31</v>
      </c>
      <c r="N3241" s="9" t="s">
        <v>32</v>
      </c>
      <c r="O3241" s="12" t="s">
        <v>33</v>
      </c>
      <c r="P3241" s="12" t="s">
        <v>34</v>
      </c>
      <c r="Q3241" s="9"/>
      <c r="R3241" s="18"/>
      <c r="S3241" s="18"/>
      <c r="T3241" s="18"/>
      <c r="U3241" s="18"/>
      <c r="V3241" s="18"/>
      <c r="W3241" s="15"/>
      <c r="X3241" s="15"/>
    </row>
    <row r="3242">
      <c r="A3242" s="7">
        <v>3241.0</v>
      </c>
      <c r="B3242" s="8" t="s">
        <v>13516</v>
      </c>
      <c r="C3242" s="9" t="s">
        <v>13517</v>
      </c>
      <c r="D3242" s="10" t="str">
        <f>HYPERLINK("https://facebook.com/367089020688300_537466003650600", "367089020688300_537466003650600")</f>
        <v>367089020688300_537466003650600</v>
      </c>
      <c r="E3242" s="11">
        <v>24.0</v>
      </c>
      <c r="F3242" s="11">
        <v>0.0</v>
      </c>
      <c r="G3242" s="11">
        <v>14.0</v>
      </c>
      <c r="H3242" s="9" t="s">
        <v>26</v>
      </c>
      <c r="I3242" s="9" t="s">
        <v>7509</v>
      </c>
      <c r="J3242" s="16" t="s">
        <v>13518</v>
      </c>
      <c r="K3242" s="9"/>
      <c r="L3242" s="9" t="s">
        <v>30</v>
      </c>
      <c r="M3242" s="9" t="s">
        <v>31</v>
      </c>
      <c r="N3242" s="9" t="s">
        <v>32</v>
      </c>
      <c r="O3242" s="12" t="s">
        <v>33</v>
      </c>
      <c r="P3242" s="12" t="s">
        <v>34</v>
      </c>
      <c r="Q3242" s="9"/>
      <c r="R3242" s="18"/>
      <c r="S3242" s="18"/>
      <c r="T3242" s="18"/>
      <c r="U3242" s="18"/>
      <c r="V3242" s="18"/>
      <c r="W3242" s="15"/>
      <c r="X3242" s="15"/>
    </row>
    <row r="3243">
      <c r="A3243" s="7">
        <v>3242.0</v>
      </c>
      <c r="B3243" s="8" t="s">
        <v>13519</v>
      </c>
      <c r="C3243" s="9" t="s">
        <v>13520</v>
      </c>
      <c r="D3243" s="10" t="str">
        <f>HYPERLINK("https://facebook.com/367089020688300_535719933825207", "367089020688300_535719933825207")</f>
        <v>367089020688300_535719933825207</v>
      </c>
      <c r="E3243" s="11">
        <v>165.0</v>
      </c>
      <c r="F3243" s="11">
        <v>6.0</v>
      </c>
      <c r="G3243" s="11">
        <v>160.0</v>
      </c>
      <c r="H3243" s="9" t="s">
        <v>26</v>
      </c>
      <c r="I3243" s="9" t="s">
        <v>13521</v>
      </c>
      <c r="J3243" s="16" t="s">
        <v>13522</v>
      </c>
      <c r="K3243" s="9"/>
      <c r="L3243" s="9" t="s">
        <v>30</v>
      </c>
      <c r="M3243" s="9" t="s">
        <v>31</v>
      </c>
      <c r="N3243" s="9" t="s">
        <v>32</v>
      </c>
      <c r="O3243" s="12" t="s">
        <v>33</v>
      </c>
      <c r="P3243" s="12" t="s">
        <v>34</v>
      </c>
      <c r="Q3243" s="9"/>
      <c r="R3243" s="18"/>
      <c r="S3243" s="18"/>
      <c r="T3243" s="18"/>
      <c r="U3243" s="18"/>
      <c r="V3243" s="18"/>
      <c r="W3243" s="15"/>
      <c r="X3243" s="15"/>
    </row>
    <row r="3244">
      <c r="A3244" s="7">
        <v>3243.0</v>
      </c>
      <c r="B3244" s="8" t="s">
        <v>13523</v>
      </c>
      <c r="C3244" s="9" t="s">
        <v>13524</v>
      </c>
      <c r="D3244" s="10" t="str">
        <f>HYPERLINK("https://facebook.com/367089020688300_541550966575437", "367089020688300_541550966575437")</f>
        <v>367089020688300_541550966575437</v>
      </c>
      <c r="E3244" s="11">
        <v>359.0</v>
      </c>
      <c r="F3244" s="11">
        <v>5.0</v>
      </c>
      <c r="G3244" s="11">
        <v>72.0</v>
      </c>
      <c r="H3244" s="9" t="s">
        <v>26</v>
      </c>
      <c r="I3244" s="9" t="s">
        <v>13525</v>
      </c>
      <c r="J3244" s="9" t="s">
        <v>13526</v>
      </c>
      <c r="K3244" s="9" t="s">
        <v>13527</v>
      </c>
      <c r="L3244" s="9" t="s">
        <v>30</v>
      </c>
      <c r="M3244" s="9" t="s">
        <v>31</v>
      </c>
      <c r="N3244" s="9" t="s">
        <v>32</v>
      </c>
      <c r="O3244" s="12" t="s">
        <v>33</v>
      </c>
      <c r="P3244" s="12" t="s">
        <v>34</v>
      </c>
      <c r="Q3244" s="9"/>
      <c r="R3244" s="18"/>
      <c r="S3244" s="18"/>
      <c r="T3244" s="18"/>
      <c r="U3244" s="18"/>
      <c r="V3244" s="18"/>
      <c r="W3244" s="15"/>
      <c r="X3244" s="15"/>
    </row>
    <row r="3245">
      <c r="A3245" s="7">
        <v>3244.0</v>
      </c>
      <c r="B3245" s="8" t="s">
        <v>13528</v>
      </c>
      <c r="C3245" s="9" t="s">
        <v>13529</v>
      </c>
      <c r="D3245" s="10" t="str">
        <f>HYPERLINK("https://facebook.com/367089020688300_449088785821656", "367089020688300_449088785821656")</f>
        <v>367089020688300_449088785821656</v>
      </c>
      <c r="E3245" s="11">
        <v>543.0</v>
      </c>
      <c r="F3245" s="11">
        <v>13.0</v>
      </c>
      <c r="G3245" s="11">
        <v>499.0</v>
      </c>
      <c r="H3245" s="9" t="s">
        <v>26</v>
      </c>
      <c r="I3245" s="9" t="s">
        <v>1104</v>
      </c>
      <c r="J3245" s="9" t="s">
        <v>13530</v>
      </c>
      <c r="K3245" s="9" t="s">
        <v>13531</v>
      </c>
      <c r="L3245" s="9" t="s">
        <v>30</v>
      </c>
      <c r="M3245" s="9" t="s">
        <v>31</v>
      </c>
      <c r="N3245" s="9" t="s">
        <v>32</v>
      </c>
      <c r="O3245" s="12" t="s">
        <v>33</v>
      </c>
      <c r="P3245" s="12" t="s">
        <v>34</v>
      </c>
      <c r="Q3245" s="9"/>
      <c r="R3245" s="18"/>
      <c r="S3245" s="18"/>
      <c r="T3245" s="18"/>
      <c r="U3245" s="18"/>
      <c r="V3245" s="18"/>
      <c r="W3245" s="15"/>
      <c r="X3245" s="15"/>
    </row>
    <row r="3246">
      <c r="A3246" s="7">
        <v>3245.0</v>
      </c>
      <c r="B3246" s="8" t="s">
        <v>13532</v>
      </c>
      <c r="C3246" s="9" t="s">
        <v>13533</v>
      </c>
      <c r="D3246" s="10" t="str">
        <f>HYPERLINK("https://facebook.com/367089020688300_461846004545934", "367089020688300_461846004545934")</f>
        <v>367089020688300_461846004545934</v>
      </c>
      <c r="E3246" s="11">
        <v>516.0</v>
      </c>
      <c r="F3246" s="11">
        <v>63.0</v>
      </c>
      <c r="G3246" s="11">
        <v>530.0</v>
      </c>
      <c r="H3246" s="9" t="s">
        <v>26</v>
      </c>
      <c r="I3246" s="9" t="s">
        <v>637</v>
      </c>
      <c r="J3246" s="9" t="s">
        <v>13534</v>
      </c>
      <c r="K3246" s="9" t="s">
        <v>13535</v>
      </c>
      <c r="L3246" s="9" t="s">
        <v>30</v>
      </c>
      <c r="M3246" s="9" t="s">
        <v>31</v>
      </c>
      <c r="N3246" s="9" t="s">
        <v>32</v>
      </c>
      <c r="O3246" s="12" t="s">
        <v>33</v>
      </c>
      <c r="P3246" s="12" t="s">
        <v>34</v>
      </c>
      <c r="Q3246" s="9"/>
      <c r="R3246" s="18"/>
      <c r="S3246" s="18"/>
      <c r="T3246" s="18"/>
      <c r="U3246" s="18"/>
      <c r="V3246" s="18"/>
      <c r="W3246" s="15"/>
      <c r="X3246" s="15"/>
    </row>
    <row r="3247">
      <c r="A3247" s="7">
        <v>3246.0</v>
      </c>
      <c r="B3247" s="8" t="s">
        <v>13536</v>
      </c>
      <c r="C3247" s="9" t="s">
        <v>13537</v>
      </c>
      <c r="D3247" s="10" t="str">
        <f>HYPERLINK("https://facebook.com/367089020688300_487893991941135", "367089020688300_487893991941135")</f>
        <v>367089020688300_487893991941135</v>
      </c>
      <c r="E3247" s="11">
        <v>83.0</v>
      </c>
      <c r="F3247" s="11">
        <v>3.0</v>
      </c>
      <c r="G3247" s="11">
        <v>150.0</v>
      </c>
      <c r="H3247" s="9" t="s">
        <v>26</v>
      </c>
      <c r="I3247" s="9" t="s">
        <v>13538</v>
      </c>
      <c r="J3247" s="9" t="s">
        <v>13539</v>
      </c>
      <c r="K3247" s="9" t="s">
        <v>3003</v>
      </c>
      <c r="L3247" s="9" t="s">
        <v>30</v>
      </c>
      <c r="M3247" s="9" t="s">
        <v>31</v>
      </c>
      <c r="N3247" s="9" t="s">
        <v>32</v>
      </c>
      <c r="O3247" s="12" t="s">
        <v>33</v>
      </c>
      <c r="P3247" s="12" t="s">
        <v>34</v>
      </c>
      <c r="Q3247" s="9"/>
      <c r="R3247" s="18"/>
      <c r="S3247" s="18"/>
      <c r="T3247" s="18"/>
      <c r="U3247" s="18"/>
      <c r="V3247" s="18"/>
      <c r="W3247" s="15"/>
      <c r="X3247" s="15"/>
    </row>
    <row r="3248">
      <c r="A3248" s="7">
        <v>3247.0</v>
      </c>
      <c r="B3248" s="8" t="s">
        <v>13540</v>
      </c>
      <c r="C3248" s="9" t="s">
        <v>13541</v>
      </c>
      <c r="D3248" s="10" t="str">
        <f>HYPERLINK("https://facebook.com/367089020688300_561307971266403", "367089020688300_561307971266403")</f>
        <v>367089020688300_561307971266403</v>
      </c>
      <c r="E3248" s="11">
        <v>111.0</v>
      </c>
      <c r="F3248" s="11">
        <v>5.0</v>
      </c>
      <c r="G3248" s="11">
        <v>98.0</v>
      </c>
      <c r="H3248" s="9" t="s">
        <v>26</v>
      </c>
      <c r="I3248" s="9" t="s">
        <v>13542</v>
      </c>
      <c r="J3248" s="16" t="s">
        <v>13543</v>
      </c>
      <c r="K3248" s="9"/>
      <c r="L3248" s="9" t="s">
        <v>30</v>
      </c>
      <c r="M3248" s="9" t="s">
        <v>31</v>
      </c>
      <c r="N3248" s="9" t="s">
        <v>32</v>
      </c>
      <c r="O3248" s="12" t="s">
        <v>33</v>
      </c>
      <c r="P3248" s="12" t="s">
        <v>34</v>
      </c>
      <c r="Q3248" s="9"/>
      <c r="R3248" s="18"/>
      <c r="S3248" s="18"/>
      <c r="T3248" s="18"/>
      <c r="U3248" s="18"/>
      <c r="V3248" s="18"/>
      <c r="W3248" s="15"/>
      <c r="X3248" s="15"/>
    </row>
    <row r="3249">
      <c r="A3249" s="7">
        <v>3248.0</v>
      </c>
      <c r="B3249" s="8" t="s">
        <v>13544</v>
      </c>
      <c r="C3249" s="9" t="s">
        <v>13545</v>
      </c>
      <c r="D3249" s="10" t="str">
        <f>HYPERLINK("https://facebook.com/367089020688300_551763228887544", "367089020688300_551763228887544")</f>
        <v>367089020688300_551763228887544</v>
      </c>
      <c r="E3249" s="11">
        <v>14.0</v>
      </c>
      <c r="F3249" s="11">
        <v>0.0</v>
      </c>
      <c r="G3249" s="11">
        <v>15.0</v>
      </c>
      <c r="H3249" s="9" t="s">
        <v>26</v>
      </c>
      <c r="I3249" s="9" t="s">
        <v>13546</v>
      </c>
      <c r="J3249" s="16" t="s">
        <v>13547</v>
      </c>
      <c r="K3249" s="9"/>
      <c r="L3249" s="9" t="s">
        <v>30</v>
      </c>
      <c r="M3249" s="9" t="s">
        <v>31</v>
      </c>
      <c r="N3249" s="9" t="s">
        <v>32</v>
      </c>
      <c r="O3249" s="12" t="s">
        <v>33</v>
      </c>
      <c r="P3249" s="12" t="s">
        <v>34</v>
      </c>
      <c r="Q3249" s="9"/>
      <c r="R3249" s="18"/>
      <c r="S3249" s="18"/>
      <c r="T3249" s="18"/>
      <c r="U3249" s="18"/>
      <c r="V3249" s="18"/>
      <c r="W3249" s="15"/>
      <c r="X3249" s="15"/>
    </row>
    <row r="3250">
      <c r="A3250" s="7">
        <v>3249.0</v>
      </c>
      <c r="B3250" s="8" t="s">
        <v>13548</v>
      </c>
      <c r="C3250" s="9" t="s">
        <v>13549</v>
      </c>
      <c r="D3250" s="10" t="str">
        <f>HYPERLINK("https://facebook.com/367089020688300_547165656013968", "367089020688300_547165656013968")</f>
        <v>367089020688300_547165656013968</v>
      </c>
      <c r="E3250" s="11">
        <v>77.0</v>
      </c>
      <c r="F3250" s="11">
        <v>10.0</v>
      </c>
      <c r="G3250" s="11">
        <v>78.0</v>
      </c>
      <c r="H3250" s="9" t="s">
        <v>26</v>
      </c>
      <c r="I3250" s="9" t="s">
        <v>13550</v>
      </c>
      <c r="J3250" s="16" t="s">
        <v>13551</v>
      </c>
      <c r="K3250" s="9"/>
      <c r="L3250" s="9" t="s">
        <v>30</v>
      </c>
      <c r="M3250" s="9" t="s">
        <v>31</v>
      </c>
      <c r="N3250" s="9" t="s">
        <v>32</v>
      </c>
      <c r="O3250" s="12" t="s">
        <v>33</v>
      </c>
      <c r="P3250" s="12" t="s">
        <v>34</v>
      </c>
      <c r="Q3250" s="9"/>
      <c r="R3250" s="18"/>
      <c r="S3250" s="18"/>
      <c r="T3250" s="18"/>
      <c r="U3250" s="18"/>
      <c r="V3250" s="18"/>
      <c r="W3250" s="15"/>
      <c r="X3250" s="15"/>
    </row>
    <row r="3251">
      <c r="A3251" s="7">
        <v>3250.0</v>
      </c>
      <c r="B3251" s="8" t="s">
        <v>13552</v>
      </c>
      <c r="C3251" s="9" t="s">
        <v>13553</v>
      </c>
      <c r="D3251" s="10" t="str">
        <f>HYPERLINK("https://facebook.com/367089020688300_423464835050718", "367089020688300_423464835050718")</f>
        <v>367089020688300_423464835050718</v>
      </c>
      <c r="E3251" s="11">
        <v>2721.0</v>
      </c>
      <c r="F3251" s="11">
        <v>151.0</v>
      </c>
      <c r="G3251" s="11">
        <v>988.0</v>
      </c>
      <c r="H3251" s="9" t="s">
        <v>26</v>
      </c>
      <c r="I3251" s="9" t="s">
        <v>13554</v>
      </c>
      <c r="J3251" s="9" t="s">
        <v>13555</v>
      </c>
      <c r="K3251" s="9" t="s">
        <v>13556</v>
      </c>
      <c r="L3251" s="9" t="s">
        <v>30</v>
      </c>
      <c r="M3251" s="9" t="s">
        <v>31</v>
      </c>
      <c r="N3251" s="9" t="s">
        <v>32</v>
      </c>
      <c r="O3251" s="12" t="s">
        <v>33</v>
      </c>
      <c r="P3251" s="12" t="s">
        <v>34</v>
      </c>
      <c r="Q3251" s="9"/>
      <c r="R3251" s="18"/>
      <c r="S3251" s="18"/>
      <c r="T3251" s="18"/>
      <c r="U3251" s="18"/>
      <c r="V3251" s="18"/>
      <c r="W3251" s="15"/>
      <c r="X3251" s="15"/>
    </row>
    <row r="3252">
      <c r="A3252" s="7">
        <v>3251.0</v>
      </c>
      <c r="B3252" s="8" t="s">
        <v>13557</v>
      </c>
      <c r="C3252" s="9" t="s">
        <v>13558</v>
      </c>
      <c r="D3252" s="10" t="str">
        <f>HYPERLINK("https://facebook.com/367089020688300_425208568209678", "367089020688300_425208568209678")</f>
        <v>367089020688300_425208568209678</v>
      </c>
      <c r="E3252" s="11">
        <v>166.0</v>
      </c>
      <c r="F3252" s="11">
        <v>4.0</v>
      </c>
      <c r="G3252" s="11">
        <v>200.0</v>
      </c>
      <c r="H3252" s="9" t="s">
        <v>26</v>
      </c>
      <c r="I3252" s="9" t="s">
        <v>3625</v>
      </c>
      <c r="J3252" s="9" t="s">
        <v>3626</v>
      </c>
      <c r="K3252" s="9" t="s">
        <v>249</v>
      </c>
      <c r="L3252" s="9" t="s">
        <v>30</v>
      </c>
      <c r="M3252" s="9" t="s">
        <v>31</v>
      </c>
      <c r="N3252" s="9" t="s">
        <v>32</v>
      </c>
      <c r="O3252" s="12" t="s">
        <v>33</v>
      </c>
      <c r="P3252" s="12" t="s">
        <v>34</v>
      </c>
      <c r="Q3252" s="9"/>
      <c r="R3252" s="18"/>
      <c r="S3252" s="18"/>
      <c r="T3252" s="18"/>
      <c r="U3252" s="18"/>
      <c r="V3252" s="18"/>
      <c r="W3252" s="15"/>
      <c r="X3252" s="15"/>
    </row>
    <row r="3253">
      <c r="A3253" s="7">
        <v>3252.0</v>
      </c>
      <c r="B3253" s="8" t="s">
        <v>13559</v>
      </c>
      <c r="C3253" s="9" t="s">
        <v>13560</v>
      </c>
      <c r="D3253" s="10" t="str">
        <f>HYPERLINK("https://facebook.com/367089020688300_546347392762461", "367089020688300_546347392762461")</f>
        <v>367089020688300_546347392762461</v>
      </c>
      <c r="E3253" s="11">
        <v>503.0</v>
      </c>
      <c r="F3253" s="11">
        <v>12.0</v>
      </c>
      <c r="G3253" s="11">
        <v>723.0</v>
      </c>
      <c r="H3253" s="9" t="s">
        <v>26</v>
      </c>
      <c r="I3253" s="9" t="s">
        <v>13561</v>
      </c>
      <c r="J3253" s="16" t="s">
        <v>13562</v>
      </c>
      <c r="K3253" s="9"/>
      <c r="L3253" s="9" t="s">
        <v>30</v>
      </c>
      <c r="M3253" s="9" t="s">
        <v>31</v>
      </c>
      <c r="N3253" s="9" t="s">
        <v>32</v>
      </c>
      <c r="O3253" s="12" t="s">
        <v>33</v>
      </c>
      <c r="P3253" s="12" t="s">
        <v>34</v>
      </c>
      <c r="Q3253" s="9"/>
      <c r="R3253" s="18"/>
      <c r="S3253" s="18"/>
      <c r="T3253" s="18"/>
      <c r="U3253" s="18"/>
      <c r="V3253" s="18"/>
      <c r="W3253" s="15"/>
      <c r="X3253" s="15"/>
    </row>
    <row r="3254">
      <c r="A3254" s="7">
        <v>3253.0</v>
      </c>
      <c r="B3254" s="8" t="s">
        <v>13563</v>
      </c>
      <c r="C3254" s="9" t="s">
        <v>13564</v>
      </c>
      <c r="D3254" s="10" t="str">
        <f>HYPERLINK("https://facebook.com/367089020688300_511667522897115", "367089020688300_511667522897115")</f>
        <v>367089020688300_511667522897115</v>
      </c>
      <c r="E3254" s="11">
        <v>77.0</v>
      </c>
      <c r="F3254" s="11">
        <v>6.0</v>
      </c>
      <c r="G3254" s="11">
        <v>101.0</v>
      </c>
      <c r="H3254" s="9" t="s">
        <v>26</v>
      </c>
      <c r="I3254" s="9" t="s">
        <v>13565</v>
      </c>
      <c r="J3254" s="9" t="s">
        <v>13566</v>
      </c>
      <c r="K3254" s="9" t="s">
        <v>13567</v>
      </c>
      <c r="L3254" s="9" t="s">
        <v>30</v>
      </c>
      <c r="M3254" s="9" t="s">
        <v>31</v>
      </c>
      <c r="N3254" s="9" t="s">
        <v>32</v>
      </c>
      <c r="O3254" s="12" t="s">
        <v>33</v>
      </c>
      <c r="P3254" s="12" t="s">
        <v>34</v>
      </c>
      <c r="Q3254" s="9"/>
      <c r="R3254" s="18"/>
      <c r="S3254" s="18"/>
      <c r="T3254" s="18"/>
      <c r="U3254" s="18"/>
      <c r="V3254" s="18"/>
      <c r="W3254" s="15"/>
      <c r="X3254" s="15"/>
    </row>
    <row r="3255">
      <c r="A3255" s="7">
        <v>3254.0</v>
      </c>
      <c r="B3255" s="8" t="s">
        <v>13568</v>
      </c>
      <c r="C3255" s="9" t="s">
        <v>13569</v>
      </c>
      <c r="D3255" s="10" t="str">
        <f>HYPERLINK("https://facebook.com/367089020688300_557891731608027", "367089020688300_557891731608027")</f>
        <v>367089020688300_557891731608027</v>
      </c>
      <c r="E3255" s="11">
        <v>10.0</v>
      </c>
      <c r="F3255" s="11">
        <v>0.0</v>
      </c>
      <c r="G3255" s="11">
        <v>27.0</v>
      </c>
      <c r="H3255" s="9" t="s">
        <v>26</v>
      </c>
      <c r="I3255" s="9" t="s">
        <v>270</v>
      </c>
      <c r="J3255" s="9" t="s">
        <v>13570</v>
      </c>
      <c r="K3255" s="9" t="s">
        <v>13571</v>
      </c>
      <c r="L3255" s="9" t="s">
        <v>30</v>
      </c>
      <c r="M3255" s="9" t="s">
        <v>31</v>
      </c>
      <c r="N3255" s="9" t="s">
        <v>32</v>
      </c>
      <c r="O3255" s="12" t="s">
        <v>33</v>
      </c>
      <c r="P3255" s="12" t="s">
        <v>34</v>
      </c>
      <c r="Q3255" s="9"/>
      <c r="R3255" s="18"/>
      <c r="S3255" s="18"/>
      <c r="T3255" s="18"/>
      <c r="U3255" s="18"/>
      <c r="V3255" s="18"/>
      <c r="W3255" s="15"/>
      <c r="X3255" s="15"/>
    </row>
    <row r="3256">
      <c r="A3256" s="7">
        <v>3255.0</v>
      </c>
      <c r="B3256" s="8" t="s">
        <v>13572</v>
      </c>
      <c r="C3256" s="9" t="s">
        <v>13573</v>
      </c>
      <c r="D3256" s="10" t="str">
        <f>HYPERLINK("https://facebook.com/367089020688300_538712966859237", "367089020688300_538712966859237")</f>
        <v>367089020688300_538712966859237</v>
      </c>
      <c r="E3256" s="11">
        <v>518.0</v>
      </c>
      <c r="F3256" s="11">
        <v>6.0</v>
      </c>
      <c r="G3256" s="11">
        <v>157.0</v>
      </c>
      <c r="H3256" s="9" t="s">
        <v>26</v>
      </c>
      <c r="I3256" s="9" t="s">
        <v>13574</v>
      </c>
      <c r="J3256" s="16" t="s">
        <v>13575</v>
      </c>
      <c r="K3256" s="9"/>
      <c r="L3256" s="9" t="s">
        <v>30</v>
      </c>
      <c r="M3256" s="9" t="s">
        <v>31</v>
      </c>
      <c r="N3256" s="9" t="s">
        <v>32</v>
      </c>
      <c r="O3256" s="12" t="s">
        <v>33</v>
      </c>
      <c r="P3256" s="12" t="s">
        <v>34</v>
      </c>
      <c r="Q3256" s="9"/>
      <c r="R3256" s="18"/>
      <c r="S3256" s="18"/>
      <c r="T3256" s="18"/>
      <c r="U3256" s="18"/>
      <c r="V3256" s="18"/>
      <c r="W3256" s="15"/>
      <c r="X3256" s="15"/>
    </row>
    <row r="3257">
      <c r="A3257" s="7">
        <v>3256.0</v>
      </c>
      <c r="B3257" s="8" t="s">
        <v>13576</v>
      </c>
      <c r="C3257" s="9" t="s">
        <v>13577</v>
      </c>
      <c r="D3257" s="10" t="str">
        <f>HYPERLINK("https://facebook.com/367089020688300_422278928502642", "367089020688300_422278928502642")</f>
        <v>367089020688300_422278928502642</v>
      </c>
      <c r="E3257" s="11">
        <v>39.0</v>
      </c>
      <c r="F3257" s="11">
        <v>1.0</v>
      </c>
      <c r="G3257" s="11">
        <v>42.0</v>
      </c>
      <c r="H3257" s="9" t="s">
        <v>26</v>
      </c>
      <c r="I3257" s="9" t="s">
        <v>13578</v>
      </c>
      <c r="J3257" s="9" t="s">
        <v>13579</v>
      </c>
      <c r="K3257" s="9" t="s">
        <v>13580</v>
      </c>
      <c r="L3257" s="9" t="s">
        <v>30</v>
      </c>
      <c r="M3257" s="9" t="s">
        <v>31</v>
      </c>
      <c r="N3257" s="9" t="s">
        <v>32</v>
      </c>
      <c r="O3257" s="12" t="s">
        <v>33</v>
      </c>
      <c r="P3257" s="12" t="s">
        <v>34</v>
      </c>
      <c r="Q3257" s="9"/>
      <c r="R3257" s="18"/>
      <c r="S3257" s="18"/>
      <c r="T3257" s="18"/>
      <c r="U3257" s="18"/>
      <c r="V3257" s="18"/>
      <c r="W3257" s="15"/>
      <c r="X3257" s="15"/>
    </row>
    <row r="3258">
      <c r="A3258" s="7">
        <v>3257.0</v>
      </c>
      <c r="B3258" s="8" t="s">
        <v>13581</v>
      </c>
      <c r="C3258" s="9" t="s">
        <v>13582</v>
      </c>
      <c r="D3258" s="10" t="str">
        <f>HYPERLINK("https://facebook.com/367089020688300_558883451508855", "367089020688300_558883451508855")</f>
        <v>367089020688300_558883451508855</v>
      </c>
      <c r="E3258" s="11">
        <v>50.0</v>
      </c>
      <c r="F3258" s="11">
        <v>1.0</v>
      </c>
      <c r="G3258" s="11">
        <v>108.0</v>
      </c>
      <c r="H3258" s="9" t="s">
        <v>26</v>
      </c>
      <c r="I3258" s="9" t="s">
        <v>13583</v>
      </c>
      <c r="J3258" s="9" t="s">
        <v>13584</v>
      </c>
      <c r="K3258" s="9" t="s">
        <v>13585</v>
      </c>
      <c r="L3258" s="9" t="s">
        <v>30</v>
      </c>
      <c r="M3258" s="9" t="s">
        <v>31</v>
      </c>
      <c r="N3258" s="9" t="s">
        <v>32</v>
      </c>
      <c r="O3258" s="12" t="s">
        <v>33</v>
      </c>
      <c r="P3258" s="12" t="s">
        <v>34</v>
      </c>
      <c r="Q3258" s="9"/>
      <c r="R3258" s="18"/>
      <c r="S3258" s="18"/>
      <c r="T3258" s="18"/>
      <c r="U3258" s="18"/>
      <c r="V3258" s="18"/>
      <c r="W3258" s="15"/>
      <c r="X3258" s="15"/>
    </row>
    <row r="3259">
      <c r="A3259" s="7">
        <v>3258.0</v>
      </c>
      <c r="B3259" s="8" t="s">
        <v>13586</v>
      </c>
      <c r="C3259" s="9" t="s">
        <v>13587</v>
      </c>
      <c r="D3259" s="10" t="str">
        <f>HYPERLINK("https://facebook.com/367089020688300_472742850122916", "367089020688300_472742850122916")</f>
        <v>367089020688300_472742850122916</v>
      </c>
      <c r="E3259" s="11">
        <v>521.0</v>
      </c>
      <c r="F3259" s="11">
        <v>25.0</v>
      </c>
      <c r="G3259" s="11">
        <v>636.0</v>
      </c>
      <c r="H3259" s="9" t="s">
        <v>26</v>
      </c>
      <c r="I3259" s="9" t="s">
        <v>13588</v>
      </c>
      <c r="J3259" s="9" t="s">
        <v>13589</v>
      </c>
      <c r="K3259" s="9" t="s">
        <v>3941</v>
      </c>
      <c r="L3259" s="9" t="s">
        <v>30</v>
      </c>
      <c r="M3259" s="9" t="s">
        <v>31</v>
      </c>
      <c r="N3259" s="9" t="s">
        <v>32</v>
      </c>
      <c r="O3259" s="12" t="s">
        <v>33</v>
      </c>
      <c r="P3259" s="12" t="s">
        <v>34</v>
      </c>
      <c r="Q3259" s="9"/>
      <c r="R3259" s="18"/>
      <c r="S3259" s="18"/>
      <c r="T3259" s="18"/>
      <c r="U3259" s="18"/>
      <c r="V3259" s="18"/>
      <c r="W3259" s="15"/>
      <c r="X3259" s="15"/>
    </row>
    <row r="3260">
      <c r="A3260" s="7">
        <v>3259.0</v>
      </c>
      <c r="B3260" s="8" t="s">
        <v>13590</v>
      </c>
      <c r="C3260" s="9" t="s">
        <v>13591</v>
      </c>
      <c r="D3260" s="10" t="str">
        <f>HYPERLINK("https://facebook.com/367089020688300_473386956725172", "367089020688300_473386956725172")</f>
        <v>367089020688300_473386956725172</v>
      </c>
      <c r="E3260" s="11">
        <v>335.0</v>
      </c>
      <c r="F3260" s="11">
        <v>7.0</v>
      </c>
      <c r="G3260" s="11">
        <v>357.0</v>
      </c>
      <c r="H3260" s="9" t="s">
        <v>26</v>
      </c>
      <c r="I3260" s="9" t="s">
        <v>13592</v>
      </c>
      <c r="J3260" s="9" t="s">
        <v>13593</v>
      </c>
      <c r="K3260" s="9" t="s">
        <v>13594</v>
      </c>
      <c r="L3260" s="9" t="s">
        <v>30</v>
      </c>
      <c r="M3260" s="9" t="s">
        <v>31</v>
      </c>
      <c r="N3260" s="9" t="s">
        <v>32</v>
      </c>
      <c r="O3260" s="12" t="s">
        <v>33</v>
      </c>
      <c r="P3260" s="12" t="s">
        <v>34</v>
      </c>
      <c r="Q3260" s="9"/>
      <c r="R3260" s="18"/>
      <c r="S3260" s="18"/>
      <c r="T3260" s="18"/>
      <c r="U3260" s="18"/>
      <c r="V3260" s="18"/>
      <c r="W3260" s="15"/>
      <c r="X3260" s="15"/>
    </row>
    <row r="3261">
      <c r="A3261" s="7">
        <v>3260.0</v>
      </c>
      <c r="B3261" s="8" t="s">
        <v>13595</v>
      </c>
      <c r="C3261" s="9" t="s">
        <v>13596</v>
      </c>
      <c r="D3261" s="10" t="str">
        <f>HYPERLINK("https://facebook.com/367089020688300_527368681326999", "367089020688300_527368681326999")</f>
        <v>367089020688300_527368681326999</v>
      </c>
      <c r="E3261" s="11">
        <v>23.0</v>
      </c>
      <c r="F3261" s="11">
        <v>0.0</v>
      </c>
      <c r="G3261" s="11">
        <v>12.0</v>
      </c>
      <c r="H3261" s="9" t="s">
        <v>26</v>
      </c>
      <c r="I3261" s="9" t="s">
        <v>2883</v>
      </c>
      <c r="J3261" s="16" t="s">
        <v>13597</v>
      </c>
      <c r="K3261" s="9"/>
      <c r="L3261" s="9" t="s">
        <v>30</v>
      </c>
      <c r="M3261" s="9" t="s">
        <v>31</v>
      </c>
      <c r="N3261" s="9" t="s">
        <v>32</v>
      </c>
      <c r="O3261" s="12" t="s">
        <v>33</v>
      </c>
      <c r="P3261" s="12" t="s">
        <v>34</v>
      </c>
      <c r="Q3261" s="9"/>
      <c r="R3261" s="18"/>
      <c r="S3261" s="18"/>
      <c r="T3261" s="18"/>
      <c r="U3261" s="18"/>
      <c r="V3261" s="18"/>
      <c r="W3261" s="15"/>
      <c r="X3261" s="15"/>
    </row>
    <row r="3262">
      <c r="A3262" s="7">
        <v>3261.0</v>
      </c>
      <c r="B3262" s="8" t="s">
        <v>13598</v>
      </c>
      <c r="C3262" s="9" t="s">
        <v>13599</v>
      </c>
      <c r="D3262" s="10" t="str">
        <f>HYPERLINK("https://facebook.com/367089020688300_552351292162071", "367089020688300_552351292162071")</f>
        <v>367089020688300_552351292162071</v>
      </c>
      <c r="E3262" s="11">
        <v>62.0</v>
      </c>
      <c r="F3262" s="11">
        <v>3.0</v>
      </c>
      <c r="G3262" s="11">
        <v>120.0</v>
      </c>
      <c r="H3262" s="9" t="s">
        <v>26</v>
      </c>
      <c r="I3262" s="9" t="s">
        <v>13600</v>
      </c>
      <c r="J3262" s="9" t="s">
        <v>13601</v>
      </c>
      <c r="K3262" s="9" t="s">
        <v>13602</v>
      </c>
      <c r="L3262" s="9" t="s">
        <v>30</v>
      </c>
      <c r="M3262" s="9" t="s">
        <v>31</v>
      </c>
      <c r="N3262" s="9" t="s">
        <v>32</v>
      </c>
      <c r="O3262" s="12" t="s">
        <v>33</v>
      </c>
      <c r="P3262" s="12" t="s">
        <v>34</v>
      </c>
      <c r="Q3262" s="9"/>
      <c r="R3262" s="18"/>
      <c r="S3262" s="18"/>
      <c r="T3262" s="18"/>
      <c r="U3262" s="18"/>
      <c r="V3262" s="18"/>
      <c r="W3262" s="15"/>
      <c r="X3262" s="15"/>
    </row>
    <row r="3263">
      <c r="A3263" s="7">
        <v>3262.0</v>
      </c>
      <c r="B3263" s="8" t="s">
        <v>13603</v>
      </c>
      <c r="C3263" s="9" t="s">
        <v>13604</v>
      </c>
      <c r="D3263" s="10" t="str">
        <f>HYPERLINK("https://facebook.com/367089020688300_470708793659655", "367089020688300_470708793659655")</f>
        <v>367089020688300_470708793659655</v>
      </c>
      <c r="E3263" s="11">
        <v>1736.0</v>
      </c>
      <c r="F3263" s="11">
        <v>211.0</v>
      </c>
      <c r="G3263" s="11">
        <v>759.0</v>
      </c>
      <c r="H3263" s="9" t="s">
        <v>26</v>
      </c>
      <c r="I3263" s="9" t="s">
        <v>13605</v>
      </c>
      <c r="J3263" s="16" t="s">
        <v>13606</v>
      </c>
      <c r="K3263" s="9"/>
      <c r="L3263" s="9" t="s">
        <v>30</v>
      </c>
      <c r="M3263" s="9" t="s">
        <v>31</v>
      </c>
      <c r="N3263" s="9" t="s">
        <v>32</v>
      </c>
      <c r="O3263" s="12" t="s">
        <v>33</v>
      </c>
      <c r="P3263" s="12" t="s">
        <v>34</v>
      </c>
      <c r="Q3263" s="9"/>
      <c r="R3263" s="18"/>
      <c r="S3263" s="18"/>
      <c r="T3263" s="18"/>
      <c r="U3263" s="18"/>
      <c r="V3263" s="18"/>
      <c r="W3263" s="15"/>
      <c r="X3263" s="15"/>
    </row>
    <row r="3264">
      <c r="A3264" s="7">
        <v>3263.0</v>
      </c>
      <c r="B3264" s="8" t="s">
        <v>13607</v>
      </c>
      <c r="C3264" s="9" t="s">
        <v>13608</v>
      </c>
      <c r="D3264" s="10" t="str">
        <f>HYPERLINK("https://facebook.com/367089020688300_559706424759891", "367089020688300_559706424759891")</f>
        <v>367089020688300_559706424759891</v>
      </c>
      <c r="E3264" s="11">
        <v>9.0</v>
      </c>
      <c r="F3264" s="11">
        <v>0.0</v>
      </c>
      <c r="G3264" s="11">
        <v>0.0</v>
      </c>
      <c r="H3264" s="9" t="s">
        <v>26</v>
      </c>
      <c r="I3264" s="9" t="s">
        <v>7321</v>
      </c>
      <c r="J3264" s="9" t="s">
        <v>7322</v>
      </c>
      <c r="K3264" s="9" t="s">
        <v>13609</v>
      </c>
      <c r="L3264" s="9" t="s">
        <v>30</v>
      </c>
      <c r="M3264" s="9" t="s">
        <v>31</v>
      </c>
      <c r="N3264" s="9" t="s">
        <v>32</v>
      </c>
      <c r="O3264" s="12" t="s">
        <v>33</v>
      </c>
      <c r="P3264" s="12" t="s">
        <v>34</v>
      </c>
      <c r="Q3264" s="9"/>
      <c r="R3264" s="18"/>
      <c r="S3264" s="18"/>
      <c r="T3264" s="18"/>
      <c r="U3264" s="18"/>
      <c r="V3264" s="18"/>
      <c r="W3264" s="15"/>
      <c r="X3264" s="15"/>
    </row>
    <row r="3265">
      <c r="A3265" s="7">
        <v>3264.0</v>
      </c>
      <c r="B3265" s="8" t="s">
        <v>13610</v>
      </c>
      <c r="C3265" s="9" t="s">
        <v>13611</v>
      </c>
      <c r="D3265" s="10" t="str">
        <f>HYPERLINK("https://facebook.com/367089020688300_553432932053907", "367089020688300_553432932053907")</f>
        <v>367089020688300_553432932053907</v>
      </c>
      <c r="E3265" s="11">
        <v>29.0</v>
      </c>
      <c r="F3265" s="11">
        <v>0.0</v>
      </c>
      <c r="G3265" s="11">
        <v>30.0</v>
      </c>
      <c r="H3265" s="9" t="s">
        <v>26</v>
      </c>
      <c r="I3265" s="9" t="s">
        <v>2655</v>
      </c>
      <c r="J3265" s="16" t="s">
        <v>13612</v>
      </c>
      <c r="K3265" s="9"/>
      <c r="L3265" s="9" t="s">
        <v>30</v>
      </c>
      <c r="M3265" s="9" t="s">
        <v>31</v>
      </c>
      <c r="N3265" s="9" t="s">
        <v>32</v>
      </c>
      <c r="O3265" s="12" t="s">
        <v>33</v>
      </c>
      <c r="P3265" s="12" t="s">
        <v>34</v>
      </c>
      <c r="Q3265" s="9"/>
      <c r="R3265" s="18"/>
      <c r="S3265" s="18"/>
      <c r="T3265" s="18"/>
      <c r="U3265" s="18"/>
      <c r="V3265" s="18"/>
      <c r="W3265" s="15"/>
      <c r="X3265" s="15"/>
    </row>
    <row r="3266">
      <c r="A3266" s="7">
        <v>3265.0</v>
      </c>
      <c r="B3266" s="8" t="s">
        <v>13613</v>
      </c>
      <c r="C3266" s="9" t="s">
        <v>13614</v>
      </c>
      <c r="D3266" s="10" t="str">
        <f>HYPERLINK("https://facebook.com/367089020688300_548667015863832", "367089020688300_548667015863832")</f>
        <v>367089020688300_548667015863832</v>
      </c>
      <c r="E3266" s="11">
        <v>216.0</v>
      </c>
      <c r="F3266" s="11">
        <v>1.0</v>
      </c>
      <c r="G3266" s="11">
        <v>245.0</v>
      </c>
      <c r="H3266" s="9" t="s">
        <v>26</v>
      </c>
      <c r="I3266" s="9" t="s">
        <v>13615</v>
      </c>
      <c r="J3266" s="16" t="s">
        <v>13616</v>
      </c>
      <c r="K3266" s="9"/>
      <c r="L3266" s="9" t="s">
        <v>30</v>
      </c>
      <c r="M3266" s="9" t="s">
        <v>31</v>
      </c>
      <c r="N3266" s="9" t="s">
        <v>32</v>
      </c>
      <c r="O3266" s="12" t="s">
        <v>33</v>
      </c>
      <c r="P3266" s="12" t="s">
        <v>34</v>
      </c>
      <c r="Q3266" s="9"/>
      <c r="R3266" s="18"/>
      <c r="S3266" s="18"/>
      <c r="T3266" s="18"/>
      <c r="U3266" s="18"/>
      <c r="V3266" s="18"/>
      <c r="W3266" s="15"/>
      <c r="X3266" s="15"/>
    </row>
    <row r="3267">
      <c r="A3267" s="7">
        <v>3266.0</v>
      </c>
      <c r="B3267" s="8" t="s">
        <v>13617</v>
      </c>
      <c r="C3267" s="9" t="s">
        <v>13618</v>
      </c>
      <c r="D3267" s="10" t="str">
        <f>HYPERLINK("https://facebook.com/367089020688300_478958196168048", "367089020688300_478958196168048")</f>
        <v>367089020688300_478958196168048</v>
      </c>
      <c r="E3267" s="11">
        <v>405.0</v>
      </c>
      <c r="F3267" s="11">
        <v>58.0</v>
      </c>
      <c r="G3267" s="11">
        <v>141.0</v>
      </c>
      <c r="H3267" s="9" t="s">
        <v>26</v>
      </c>
      <c r="I3267" s="9" t="s">
        <v>1182</v>
      </c>
      <c r="J3267" s="9" t="s">
        <v>13619</v>
      </c>
      <c r="K3267" s="9" t="s">
        <v>13620</v>
      </c>
      <c r="L3267" s="9" t="s">
        <v>30</v>
      </c>
      <c r="M3267" s="9" t="s">
        <v>31</v>
      </c>
      <c r="N3267" s="9" t="s">
        <v>32</v>
      </c>
      <c r="O3267" s="12" t="s">
        <v>33</v>
      </c>
      <c r="P3267" s="12" t="s">
        <v>34</v>
      </c>
      <c r="Q3267" s="9"/>
      <c r="R3267" s="18"/>
      <c r="S3267" s="18"/>
      <c r="T3267" s="18"/>
      <c r="U3267" s="18"/>
      <c r="V3267" s="18"/>
      <c r="W3267" s="15"/>
      <c r="X3267" s="15"/>
    </row>
    <row r="3268">
      <c r="A3268" s="7">
        <v>3267.0</v>
      </c>
      <c r="B3268" s="8" t="s">
        <v>13621</v>
      </c>
      <c r="C3268" s="9" t="s">
        <v>13622</v>
      </c>
      <c r="D3268" s="10" t="str">
        <f>HYPERLINK("https://facebook.com/367089020688300_563694681027732", "367089020688300_563694681027732")</f>
        <v>367089020688300_563694681027732</v>
      </c>
      <c r="E3268" s="11">
        <v>124.0</v>
      </c>
      <c r="F3268" s="11">
        <v>0.0</v>
      </c>
      <c r="G3268" s="11">
        <v>42.0</v>
      </c>
      <c r="H3268" s="9" t="s">
        <v>26</v>
      </c>
      <c r="I3268" s="9" t="s">
        <v>9534</v>
      </c>
      <c r="J3268" s="16" t="s">
        <v>13623</v>
      </c>
      <c r="K3268" s="9"/>
      <c r="L3268" s="9" t="s">
        <v>30</v>
      </c>
      <c r="M3268" s="9" t="s">
        <v>31</v>
      </c>
      <c r="N3268" s="9" t="s">
        <v>32</v>
      </c>
      <c r="O3268" s="12" t="s">
        <v>33</v>
      </c>
      <c r="P3268" s="12" t="s">
        <v>34</v>
      </c>
      <c r="Q3268" s="9"/>
      <c r="R3268" s="18"/>
      <c r="S3268" s="18"/>
      <c r="T3268" s="18"/>
      <c r="U3268" s="18"/>
      <c r="V3268" s="18"/>
      <c r="W3268" s="15"/>
      <c r="X3268" s="15"/>
    </row>
    <row r="3269">
      <c r="A3269" s="7">
        <v>3268.0</v>
      </c>
      <c r="B3269" s="8" t="s">
        <v>13624</v>
      </c>
      <c r="C3269" s="9" t="s">
        <v>13625</v>
      </c>
      <c r="D3269" s="10" t="str">
        <f>HYPERLINK("https://facebook.com/367089020688300_480801992650335", "367089020688300_480801992650335")</f>
        <v>367089020688300_480801992650335</v>
      </c>
      <c r="E3269" s="11">
        <v>169.0</v>
      </c>
      <c r="F3269" s="11">
        <v>14.0</v>
      </c>
      <c r="G3269" s="11">
        <v>246.0</v>
      </c>
      <c r="H3269" s="9" t="s">
        <v>26</v>
      </c>
      <c r="I3269" s="9" t="s">
        <v>13626</v>
      </c>
      <c r="J3269" s="9" t="s">
        <v>13627</v>
      </c>
      <c r="K3269" s="9" t="s">
        <v>3495</v>
      </c>
      <c r="L3269" s="9" t="s">
        <v>30</v>
      </c>
      <c r="M3269" s="9" t="s">
        <v>31</v>
      </c>
      <c r="N3269" s="9" t="s">
        <v>32</v>
      </c>
      <c r="O3269" s="12" t="s">
        <v>33</v>
      </c>
      <c r="P3269" s="12" t="s">
        <v>34</v>
      </c>
      <c r="Q3269" s="9"/>
      <c r="R3269" s="18"/>
      <c r="S3269" s="18"/>
      <c r="T3269" s="18"/>
      <c r="U3269" s="18"/>
      <c r="V3269" s="18"/>
      <c r="W3269" s="15"/>
      <c r="X3269" s="15"/>
    </row>
    <row r="3270">
      <c r="A3270" s="7">
        <v>3269.0</v>
      </c>
      <c r="B3270" s="8" t="s">
        <v>13628</v>
      </c>
      <c r="C3270" s="9" t="s">
        <v>13629</v>
      </c>
      <c r="D3270" s="10" t="str">
        <f>HYPERLINK("https://facebook.com/367089020688300_538394093557791", "367089020688300_538394093557791")</f>
        <v>367089020688300_538394093557791</v>
      </c>
      <c r="E3270" s="11">
        <v>231.0</v>
      </c>
      <c r="F3270" s="11">
        <v>2.0</v>
      </c>
      <c r="G3270" s="11">
        <v>27.0</v>
      </c>
      <c r="H3270" s="9" t="s">
        <v>26</v>
      </c>
      <c r="I3270" s="9" t="s">
        <v>13630</v>
      </c>
      <c r="J3270" s="16" t="s">
        <v>13631</v>
      </c>
      <c r="K3270" s="9"/>
      <c r="L3270" s="9" t="s">
        <v>30</v>
      </c>
      <c r="M3270" s="9" t="s">
        <v>31</v>
      </c>
      <c r="N3270" s="9" t="s">
        <v>32</v>
      </c>
      <c r="O3270" s="12" t="s">
        <v>33</v>
      </c>
      <c r="P3270" s="12" t="s">
        <v>34</v>
      </c>
      <c r="Q3270" s="9"/>
      <c r="R3270" s="18"/>
      <c r="S3270" s="18"/>
      <c r="T3270" s="18"/>
      <c r="U3270" s="18"/>
      <c r="V3270" s="18"/>
      <c r="W3270" s="15"/>
      <c r="X3270" s="15"/>
    </row>
    <row r="3271">
      <c r="A3271" s="7">
        <v>3270.0</v>
      </c>
      <c r="B3271" s="8" t="s">
        <v>13632</v>
      </c>
      <c r="C3271" s="9" t="s">
        <v>13633</v>
      </c>
      <c r="D3271" s="10" t="str">
        <f>HYPERLINK("https://facebook.com/367089020688300_548483972548803", "367089020688300_548483972548803")</f>
        <v>367089020688300_548483972548803</v>
      </c>
      <c r="E3271" s="11">
        <v>23.0</v>
      </c>
      <c r="F3271" s="11">
        <v>0.0</v>
      </c>
      <c r="G3271" s="11">
        <v>12.0</v>
      </c>
      <c r="H3271" s="9" t="s">
        <v>26</v>
      </c>
      <c r="I3271" s="9" t="s">
        <v>13634</v>
      </c>
      <c r="J3271" s="9" t="s">
        <v>13635</v>
      </c>
      <c r="K3271" s="9" t="s">
        <v>13636</v>
      </c>
      <c r="L3271" s="9" t="s">
        <v>30</v>
      </c>
      <c r="M3271" s="9" t="s">
        <v>31</v>
      </c>
      <c r="N3271" s="9" t="s">
        <v>32</v>
      </c>
      <c r="O3271" s="12" t="s">
        <v>33</v>
      </c>
      <c r="P3271" s="12" t="s">
        <v>34</v>
      </c>
      <c r="Q3271" s="9"/>
      <c r="R3271" s="18"/>
      <c r="S3271" s="18"/>
      <c r="T3271" s="18"/>
      <c r="U3271" s="18"/>
      <c r="V3271" s="18"/>
      <c r="W3271" s="15"/>
      <c r="X3271" s="15"/>
    </row>
    <row r="3272">
      <c r="A3272" s="7">
        <v>3271.0</v>
      </c>
      <c r="B3272" s="8" t="s">
        <v>13637</v>
      </c>
      <c r="C3272" s="9" t="s">
        <v>13638</v>
      </c>
      <c r="D3272" s="10" t="str">
        <f>HYPERLINK("https://facebook.com/367089020688300_563069224423611", "367089020688300_563069224423611")</f>
        <v>367089020688300_563069224423611</v>
      </c>
      <c r="E3272" s="11">
        <v>4.0</v>
      </c>
      <c r="F3272" s="11">
        <v>0.0</v>
      </c>
      <c r="G3272" s="11">
        <v>4.0</v>
      </c>
      <c r="H3272" s="9" t="s">
        <v>26</v>
      </c>
      <c r="I3272" s="9" t="s">
        <v>13639</v>
      </c>
      <c r="J3272" s="16" t="s">
        <v>13640</v>
      </c>
      <c r="K3272" s="9"/>
      <c r="L3272" s="9" t="s">
        <v>30</v>
      </c>
      <c r="M3272" s="9" t="s">
        <v>31</v>
      </c>
      <c r="N3272" s="9" t="s">
        <v>32</v>
      </c>
      <c r="O3272" s="12" t="s">
        <v>33</v>
      </c>
      <c r="P3272" s="12" t="s">
        <v>34</v>
      </c>
      <c r="Q3272" s="9"/>
      <c r="R3272" s="18"/>
      <c r="S3272" s="18"/>
      <c r="T3272" s="18"/>
      <c r="U3272" s="18"/>
      <c r="V3272" s="18"/>
      <c r="W3272" s="15"/>
      <c r="X3272" s="15"/>
    </row>
    <row r="3273">
      <c r="A3273" s="7">
        <v>3272.0</v>
      </c>
      <c r="B3273" s="8" t="s">
        <v>13641</v>
      </c>
      <c r="C3273" s="9" t="s">
        <v>13642</v>
      </c>
      <c r="D3273" s="10" t="str">
        <f>HYPERLINK("https://facebook.com/367089020688300_542398233157377", "367089020688300_542398233157377")</f>
        <v>367089020688300_542398233157377</v>
      </c>
      <c r="E3273" s="11">
        <v>3.0</v>
      </c>
      <c r="F3273" s="11">
        <v>0.0</v>
      </c>
      <c r="G3273" s="11">
        <v>3.0</v>
      </c>
      <c r="H3273" s="9" t="s">
        <v>26</v>
      </c>
      <c r="I3273" s="9" t="s">
        <v>975</v>
      </c>
      <c r="J3273" s="16" t="s">
        <v>13643</v>
      </c>
      <c r="K3273" s="9"/>
      <c r="L3273" s="9" t="s">
        <v>30</v>
      </c>
      <c r="M3273" s="9" t="s">
        <v>31</v>
      </c>
      <c r="N3273" s="9" t="s">
        <v>32</v>
      </c>
      <c r="O3273" s="12" t="s">
        <v>33</v>
      </c>
      <c r="P3273" s="12" t="s">
        <v>34</v>
      </c>
      <c r="Q3273" s="9"/>
      <c r="R3273" s="18"/>
      <c r="S3273" s="18"/>
      <c r="T3273" s="18"/>
      <c r="U3273" s="18"/>
      <c r="V3273" s="18"/>
      <c r="W3273" s="15"/>
      <c r="X3273" s="15"/>
    </row>
    <row r="3274">
      <c r="A3274" s="7">
        <v>3273.0</v>
      </c>
      <c r="B3274" s="8" t="s">
        <v>13644</v>
      </c>
      <c r="C3274" s="9" t="s">
        <v>13645</v>
      </c>
      <c r="D3274" s="10" t="str">
        <f>HYPERLINK("https://facebook.com/367089020688300_505544666842734", "367089020688300_505544666842734")</f>
        <v>367089020688300_505544666842734</v>
      </c>
      <c r="E3274" s="11">
        <v>231.0</v>
      </c>
      <c r="F3274" s="11">
        <v>3.0</v>
      </c>
      <c r="G3274" s="11">
        <v>136.0</v>
      </c>
      <c r="H3274" s="9" t="s">
        <v>26</v>
      </c>
      <c r="I3274" s="9" t="s">
        <v>13646</v>
      </c>
      <c r="J3274" s="9" t="s">
        <v>13647</v>
      </c>
      <c r="K3274" s="9" t="s">
        <v>13648</v>
      </c>
      <c r="L3274" s="9" t="s">
        <v>30</v>
      </c>
      <c r="M3274" s="9" t="s">
        <v>31</v>
      </c>
      <c r="N3274" s="9" t="s">
        <v>32</v>
      </c>
      <c r="O3274" s="12" t="s">
        <v>33</v>
      </c>
      <c r="P3274" s="12" t="s">
        <v>34</v>
      </c>
      <c r="Q3274" s="9"/>
      <c r="R3274" s="18"/>
      <c r="S3274" s="18"/>
      <c r="T3274" s="18"/>
      <c r="U3274" s="18"/>
      <c r="V3274" s="18"/>
      <c r="W3274" s="15"/>
      <c r="X3274" s="15"/>
    </row>
    <row r="3275">
      <c r="A3275" s="7">
        <v>3274.0</v>
      </c>
      <c r="B3275" s="8" t="s">
        <v>13649</v>
      </c>
      <c r="C3275" s="9" t="s">
        <v>13650</v>
      </c>
      <c r="D3275" s="10" t="str">
        <f>HYPERLINK("https://facebook.com/367089020688300_545923146138219", "367089020688300_545923146138219")</f>
        <v>367089020688300_545923146138219</v>
      </c>
      <c r="E3275" s="11">
        <v>80.0</v>
      </c>
      <c r="F3275" s="11">
        <v>0.0</v>
      </c>
      <c r="G3275" s="11">
        <v>42.0</v>
      </c>
      <c r="H3275" s="9" t="s">
        <v>26</v>
      </c>
      <c r="I3275" s="9" t="s">
        <v>13651</v>
      </c>
      <c r="J3275" s="16" t="s">
        <v>13652</v>
      </c>
      <c r="K3275" s="9"/>
      <c r="L3275" s="9" t="s">
        <v>30</v>
      </c>
      <c r="M3275" s="9" t="s">
        <v>31</v>
      </c>
      <c r="N3275" s="9" t="s">
        <v>32</v>
      </c>
      <c r="O3275" s="12" t="s">
        <v>33</v>
      </c>
      <c r="P3275" s="12" t="s">
        <v>34</v>
      </c>
      <c r="Q3275" s="9"/>
      <c r="R3275" s="18"/>
      <c r="S3275" s="18"/>
      <c r="T3275" s="18"/>
      <c r="U3275" s="18"/>
      <c r="V3275" s="18"/>
      <c r="W3275" s="15"/>
      <c r="X3275" s="15"/>
    </row>
    <row r="3276">
      <c r="A3276" s="7">
        <v>3275.0</v>
      </c>
      <c r="B3276" s="8" t="s">
        <v>13653</v>
      </c>
      <c r="C3276" s="9" t="s">
        <v>13654</v>
      </c>
      <c r="D3276" s="10" t="str">
        <f>HYPERLINK("https://facebook.com/367089020688300_474058103324724", "367089020688300_474058103324724")</f>
        <v>367089020688300_474058103324724</v>
      </c>
      <c r="E3276" s="11">
        <v>347.0</v>
      </c>
      <c r="F3276" s="11">
        <v>1.0</v>
      </c>
      <c r="G3276" s="11">
        <v>156.0</v>
      </c>
      <c r="H3276" s="9" t="s">
        <v>26</v>
      </c>
      <c r="I3276" s="9" t="s">
        <v>13655</v>
      </c>
      <c r="J3276" s="9" t="s">
        <v>13656</v>
      </c>
      <c r="K3276" s="9" t="s">
        <v>13657</v>
      </c>
      <c r="L3276" s="9" t="s">
        <v>30</v>
      </c>
      <c r="M3276" s="9" t="s">
        <v>31</v>
      </c>
      <c r="N3276" s="9" t="s">
        <v>32</v>
      </c>
      <c r="O3276" s="12" t="s">
        <v>33</v>
      </c>
      <c r="P3276" s="12" t="s">
        <v>34</v>
      </c>
      <c r="Q3276" s="9"/>
      <c r="R3276" s="18"/>
      <c r="S3276" s="18"/>
      <c r="T3276" s="18"/>
      <c r="U3276" s="18"/>
      <c r="V3276" s="18"/>
      <c r="W3276" s="15"/>
      <c r="X3276" s="15"/>
    </row>
    <row r="3277">
      <c r="A3277" s="7">
        <v>3276.0</v>
      </c>
      <c r="B3277" s="8" t="s">
        <v>13658</v>
      </c>
      <c r="C3277" s="9" t="s">
        <v>13659</v>
      </c>
      <c r="D3277" s="10" t="str">
        <f>HYPERLINK("https://facebook.com/367089020688300_452003642196837", "367089020688300_452003642196837")</f>
        <v>367089020688300_452003642196837</v>
      </c>
      <c r="E3277" s="11">
        <v>207.0</v>
      </c>
      <c r="F3277" s="11">
        <v>15.0</v>
      </c>
      <c r="G3277" s="11">
        <v>193.0</v>
      </c>
      <c r="H3277" s="9" t="s">
        <v>26</v>
      </c>
      <c r="I3277" s="9" t="s">
        <v>13660</v>
      </c>
      <c r="J3277" s="9" t="s">
        <v>13661</v>
      </c>
      <c r="K3277" s="9" t="s">
        <v>51</v>
      </c>
      <c r="L3277" s="9" t="s">
        <v>30</v>
      </c>
      <c r="M3277" s="9" t="s">
        <v>31</v>
      </c>
      <c r="N3277" s="9" t="s">
        <v>32</v>
      </c>
      <c r="O3277" s="12" t="s">
        <v>33</v>
      </c>
      <c r="P3277" s="12" t="s">
        <v>34</v>
      </c>
      <c r="Q3277" s="9"/>
      <c r="R3277" s="18"/>
      <c r="S3277" s="18"/>
      <c r="T3277" s="18"/>
      <c r="U3277" s="18"/>
      <c r="V3277" s="18"/>
      <c r="W3277" s="15"/>
      <c r="X3277" s="15"/>
    </row>
    <row r="3278">
      <c r="A3278" s="7">
        <v>3277.0</v>
      </c>
      <c r="B3278" s="8" t="s">
        <v>13662</v>
      </c>
      <c r="C3278" s="9" t="s">
        <v>13663</v>
      </c>
      <c r="D3278" s="10" t="str">
        <f>HYPERLINK("https://facebook.com/367089020688300_423414975055704", "367089020688300_423414975055704")</f>
        <v>367089020688300_423414975055704</v>
      </c>
      <c r="E3278" s="11">
        <v>711.0</v>
      </c>
      <c r="F3278" s="11">
        <v>54.0</v>
      </c>
      <c r="G3278" s="11">
        <v>697.0</v>
      </c>
      <c r="H3278" s="9" t="s">
        <v>26</v>
      </c>
      <c r="I3278" s="9" t="s">
        <v>1738</v>
      </c>
      <c r="J3278" s="9" t="s">
        <v>13664</v>
      </c>
      <c r="K3278" s="9" t="s">
        <v>13665</v>
      </c>
      <c r="L3278" s="9" t="s">
        <v>30</v>
      </c>
      <c r="M3278" s="9" t="s">
        <v>31</v>
      </c>
      <c r="N3278" s="9" t="s">
        <v>32</v>
      </c>
      <c r="O3278" s="12" t="s">
        <v>33</v>
      </c>
      <c r="P3278" s="12" t="s">
        <v>34</v>
      </c>
      <c r="Q3278" s="9"/>
      <c r="R3278" s="18"/>
      <c r="S3278" s="18"/>
      <c r="T3278" s="18"/>
      <c r="U3278" s="18"/>
      <c r="V3278" s="18"/>
      <c r="W3278" s="15"/>
      <c r="X3278" s="15"/>
    </row>
    <row r="3279">
      <c r="A3279" s="7">
        <v>3278.0</v>
      </c>
      <c r="B3279" s="8" t="s">
        <v>13666</v>
      </c>
      <c r="C3279" s="9" t="s">
        <v>13667</v>
      </c>
      <c r="D3279" s="10" t="str">
        <f>HYPERLINK("https://facebook.com/367089020688300_515176559212878", "367089020688300_515176559212878")</f>
        <v>367089020688300_515176559212878</v>
      </c>
      <c r="E3279" s="11">
        <v>696.0</v>
      </c>
      <c r="F3279" s="11">
        <v>46.0</v>
      </c>
      <c r="G3279" s="11">
        <v>868.0</v>
      </c>
      <c r="H3279" s="9" t="s">
        <v>26</v>
      </c>
      <c r="I3279" s="9" t="s">
        <v>13668</v>
      </c>
      <c r="J3279" s="9" t="s">
        <v>13669</v>
      </c>
      <c r="K3279" s="9" t="s">
        <v>13670</v>
      </c>
      <c r="L3279" s="9" t="s">
        <v>30</v>
      </c>
      <c r="M3279" s="9" t="s">
        <v>31</v>
      </c>
      <c r="N3279" s="9" t="s">
        <v>32</v>
      </c>
      <c r="O3279" s="12" t="s">
        <v>33</v>
      </c>
      <c r="P3279" s="12" t="s">
        <v>34</v>
      </c>
      <c r="Q3279" s="9"/>
      <c r="R3279" s="18"/>
      <c r="S3279" s="18"/>
      <c r="T3279" s="18"/>
      <c r="U3279" s="18"/>
      <c r="V3279" s="18"/>
      <c r="W3279" s="15"/>
      <c r="X3279" s="15"/>
    </row>
    <row r="3280">
      <c r="A3280" s="7">
        <v>3279.0</v>
      </c>
      <c r="B3280" s="8" t="s">
        <v>13671</v>
      </c>
      <c r="C3280" s="9" t="s">
        <v>13672</v>
      </c>
      <c r="D3280" s="10" t="str">
        <f>HYPERLINK("https://facebook.com/367089020688300_537419223655278", "367089020688300_537419223655278")</f>
        <v>367089020688300_537419223655278</v>
      </c>
      <c r="E3280" s="11">
        <v>12.0</v>
      </c>
      <c r="F3280" s="11">
        <v>0.0</v>
      </c>
      <c r="G3280" s="11">
        <v>4.0</v>
      </c>
      <c r="H3280" s="9" t="s">
        <v>26</v>
      </c>
      <c r="I3280" s="9" t="s">
        <v>13673</v>
      </c>
      <c r="J3280" s="16" t="s">
        <v>13674</v>
      </c>
      <c r="K3280" s="9"/>
      <c r="L3280" s="9" t="s">
        <v>30</v>
      </c>
      <c r="M3280" s="9" t="s">
        <v>31</v>
      </c>
      <c r="N3280" s="9" t="s">
        <v>32</v>
      </c>
      <c r="O3280" s="12" t="s">
        <v>33</v>
      </c>
      <c r="P3280" s="12" t="s">
        <v>34</v>
      </c>
      <c r="Q3280" s="9"/>
      <c r="R3280" s="18"/>
      <c r="S3280" s="18"/>
      <c r="T3280" s="18"/>
      <c r="U3280" s="18"/>
      <c r="V3280" s="18"/>
      <c r="W3280" s="15"/>
      <c r="X3280" s="15"/>
    </row>
    <row r="3281">
      <c r="A3281" s="7">
        <v>3280.0</v>
      </c>
      <c r="B3281" s="8" t="s">
        <v>13675</v>
      </c>
      <c r="C3281" s="9" t="s">
        <v>13676</v>
      </c>
      <c r="D3281" s="10" t="str">
        <f>HYPERLINK("https://facebook.com/367089020688300_505371153526752", "367089020688300_505371153526752")</f>
        <v>367089020688300_505371153526752</v>
      </c>
      <c r="E3281" s="11">
        <v>150.0</v>
      </c>
      <c r="F3281" s="11">
        <v>1.0</v>
      </c>
      <c r="G3281" s="11">
        <v>179.0</v>
      </c>
      <c r="H3281" s="9" t="s">
        <v>26</v>
      </c>
      <c r="I3281" s="9" t="s">
        <v>13677</v>
      </c>
      <c r="J3281" s="9" t="s">
        <v>13678</v>
      </c>
      <c r="K3281" s="9" t="s">
        <v>13679</v>
      </c>
      <c r="L3281" s="9" t="s">
        <v>30</v>
      </c>
      <c r="M3281" s="9" t="s">
        <v>31</v>
      </c>
      <c r="N3281" s="9" t="s">
        <v>32</v>
      </c>
      <c r="O3281" s="12" t="s">
        <v>33</v>
      </c>
      <c r="P3281" s="12" t="s">
        <v>34</v>
      </c>
      <c r="Q3281" s="9"/>
      <c r="R3281" s="18"/>
      <c r="S3281" s="18"/>
      <c r="T3281" s="18"/>
      <c r="U3281" s="18"/>
      <c r="V3281" s="18"/>
      <c r="W3281" s="15"/>
      <c r="X3281" s="15"/>
    </row>
    <row r="3282">
      <c r="A3282" s="7">
        <v>3281.0</v>
      </c>
      <c r="B3282" s="8" t="s">
        <v>13680</v>
      </c>
      <c r="C3282" s="9" t="s">
        <v>13681</v>
      </c>
      <c r="D3282" s="10" t="str">
        <f>HYPERLINK("https://facebook.com/367089020688300_526621101401757", "367089020688300_526621101401757")</f>
        <v>367089020688300_526621101401757</v>
      </c>
      <c r="E3282" s="11">
        <v>322.0</v>
      </c>
      <c r="F3282" s="11">
        <v>3.0</v>
      </c>
      <c r="G3282" s="11">
        <v>340.0</v>
      </c>
      <c r="H3282" s="9" t="s">
        <v>26</v>
      </c>
      <c r="I3282" s="9" t="s">
        <v>863</v>
      </c>
      <c r="J3282" s="9" t="s">
        <v>864</v>
      </c>
      <c r="K3282" s="9" t="s">
        <v>13682</v>
      </c>
      <c r="L3282" s="9" t="s">
        <v>30</v>
      </c>
      <c r="M3282" s="9" t="s">
        <v>31</v>
      </c>
      <c r="N3282" s="9" t="s">
        <v>32</v>
      </c>
      <c r="O3282" s="12" t="s">
        <v>33</v>
      </c>
      <c r="P3282" s="12" t="s">
        <v>34</v>
      </c>
      <c r="Q3282" s="9"/>
      <c r="R3282" s="18"/>
      <c r="S3282" s="18"/>
      <c r="T3282" s="18"/>
      <c r="U3282" s="18"/>
      <c r="V3282" s="18"/>
      <c r="W3282" s="15"/>
      <c r="X3282" s="15"/>
    </row>
    <row r="3283">
      <c r="A3283" s="7">
        <v>3282.0</v>
      </c>
      <c r="B3283" s="8" t="s">
        <v>13683</v>
      </c>
      <c r="C3283" s="9" t="s">
        <v>13684</v>
      </c>
      <c r="D3283" s="10" t="str">
        <f>HYPERLINK("https://facebook.com/367089020688300_409472059783329", "367089020688300_409472059783329")</f>
        <v>367089020688300_409472059783329</v>
      </c>
      <c r="E3283" s="11">
        <v>703.0</v>
      </c>
      <c r="F3283" s="11">
        <v>8.0</v>
      </c>
      <c r="G3283" s="11">
        <v>536.0</v>
      </c>
      <c r="H3283" s="9" t="s">
        <v>26</v>
      </c>
      <c r="I3283" s="9" t="s">
        <v>13685</v>
      </c>
      <c r="J3283" s="9" t="s">
        <v>13686</v>
      </c>
      <c r="K3283" s="9" t="s">
        <v>13687</v>
      </c>
      <c r="L3283" s="9" t="s">
        <v>30</v>
      </c>
      <c r="M3283" s="9" t="s">
        <v>31</v>
      </c>
      <c r="N3283" s="9" t="s">
        <v>32</v>
      </c>
      <c r="O3283" s="12" t="s">
        <v>33</v>
      </c>
      <c r="P3283" s="12" t="s">
        <v>34</v>
      </c>
      <c r="Q3283" s="9"/>
      <c r="R3283" s="18"/>
      <c r="S3283" s="18"/>
      <c r="T3283" s="18"/>
      <c r="U3283" s="18"/>
      <c r="V3283" s="18"/>
      <c r="W3283" s="15"/>
      <c r="X3283" s="15"/>
    </row>
    <row r="3284">
      <c r="A3284" s="7">
        <v>3283.0</v>
      </c>
      <c r="B3284" s="8" t="s">
        <v>13688</v>
      </c>
      <c r="C3284" s="9" t="s">
        <v>13689</v>
      </c>
      <c r="D3284" s="10" t="str">
        <f>HYPERLINK("https://facebook.com/367089020688300_460543791342822", "367089020688300_460543791342822")</f>
        <v>367089020688300_460543791342822</v>
      </c>
      <c r="E3284" s="11">
        <v>158.0</v>
      </c>
      <c r="F3284" s="11">
        <v>1.0</v>
      </c>
      <c r="G3284" s="11">
        <v>178.0</v>
      </c>
      <c r="H3284" s="9" t="s">
        <v>26</v>
      </c>
      <c r="I3284" s="9" t="s">
        <v>13690</v>
      </c>
      <c r="J3284" s="9" t="s">
        <v>13691</v>
      </c>
      <c r="K3284" s="9" t="s">
        <v>1355</v>
      </c>
      <c r="L3284" s="9" t="s">
        <v>30</v>
      </c>
      <c r="M3284" s="9" t="s">
        <v>31</v>
      </c>
      <c r="N3284" s="9" t="s">
        <v>32</v>
      </c>
      <c r="O3284" s="12" t="s">
        <v>33</v>
      </c>
      <c r="P3284" s="12" t="s">
        <v>34</v>
      </c>
      <c r="Q3284" s="9"/>
      <c r="R3284" s="18"/>
      <c r="S3284" s="18"/>
      <c r="T3284" s="18"/>
      <c r="U3284" s="18"/>
      <c r="V3284" s="18"/>
      <c r="W3284" s="15"/>
      <c r="X3284" s="15"/>
    </row>
    <row r="3285">
      <c r="A3285" s="7">
        <v>3284.0</v>
      </c>
      <c r="B3285" s="8" t="s">
        <v>13692</v>
      </c>
      <c r="C3285" s="9" t="s">
        <v>13693</v>
      </c>
      <c r="D3285" s="10" t="str">
        <f>HYPERLINK("https://facebook.com/367089020688300_426702174726984", "367089020688300_426702174726984")</f>
        <v>367089020688300_426702174726984</v>
      </c>
      <c r="E3285" s="11">
        <v>291.0</v>
      </c>
      <c r="F3285" s="11">
        <v>3.0</v>
      </c>
      <c r="G3285" s="11">
        <v>201.0</v>
      </c>
      <c r="H3285" s="9" t="s">
        <v>26</v>
      </c>
      <c r="I3285" s="9" t="s">
        <v>13694</v>
      </c>
      <c r="J3285" s="9" t="s">
        <v>13695</v>
      </c>
      <c r="K3285" s="9" t="s">
        <v>249</v>
      </c>
      <c r="L3285" s="9" t="s">
        <v>30</v>
      </c>
      <c r="M3285" s="9" t="s">
        <v>31</v>
      </c>
      <c r="N3285" s="9" t="s">
        <v>32</v>
      </c>
      <c r="O3285" s="12" t="s">
        <v>33</v>
      </c>
      <c r="P3285" s="12" t="s">
        <v>34</v>
      </c>
      <c r="Q3285" s="9"/>
      <c r="R3285" s="18"/>
      <c r="S3285" s="18"/>
      <c r="T3285" s="18"/>
      <c r="U3285" s="18"/>
      <c r="V3285" s="18"/>
      <c r="W3285" s="15"/>
      <c r="X3285" s="15"/>
    </row>
    <row r="3286">
      <c r="A3286" s="7">
        <v>3285.0</v>
      </c>
      <c r="B3286" s="8" t="s">
        <v>13696</v>
      </c>
      <c r="C3286" s="9" t="s">
        <v>13697</v>
      </c>
      <c r="D3286" s="10" t="str">
        <f>HYPERLINK("https://facebook.com/367089020688300_562251097838757", "367089020688300_562251097838757")</f>
        <v>367089020688300_562251097838757</v>
      </c>
      <c r="E3286" s="11">
        <v>1108.0</v>
      </c>
      <c r="F3286" s="11">
        <v>19.0</v>
      </c>
      <c r="G3286" s="11">
        <v>1664.0</v>
      </c>
      <c r="H3286" s="9" t="s">
        <v>26</v>
      </c>
      <c r="I3286" s="9" t="s">
        <v>13698</v>
      </c>
      <c r="J3286" s="16" t="s">
        <v>13699</v>
      </c>
      <c r="K3286" s="9"/>
      <c r="L3286" s="9" t="s">
        <v>30</v>
      </c>
      <c r="M3286" s="9" t="s">
        <v>31</v>
      </c>
      <c r="N3286" s="9" t="s">
        <v>32</v>
      </c>
      <c r="O3286" s="12" t="s">
        <v>33</v>
      </c>
      <c r="P3286" s="12" t="s">
        <v>34</v>
      </c>
      <c r="Q3286" s="9"/>
      <c r="R3286" s="18"/>
      <c r="S3286" s="18"/>
      <c r="T3286" s="18"/>
      <c r="U3286" s="18"/>
      <c r="V3286" s="18"/>
      <c r="W3286" s="15"/>
      <c r="X3286" s="15"/>
    </row>
    <row r="3287">
      <c r="A3287" s="7">
        <v>3286.0</v>
      </c>
      <c r="B3287" s="8" t="s">
        <v>13700</v>
      </c>
      <c r="C3287" s="9" t="s">
        <v>13701</v>
      </c>
      <c r="D3287" s="10" t="str">
        <f>HYPERLINK("https://facebook.com/367089020688300_551378402259360", "367089020688300_551378402259360")</f>
        <v>367089020688300_551378402259360</v>
      </c>
      <c r="E3287" s="11">
        <v>194.0</v>
      </c>
      <c r="F3287" s="11">
        <v>4.0</v>
      </c>
      <c r="G3287" s="11">
        <v>247.0</v>
      </c>
      <c r="H3287" s="9" t="s">
        <v>26</v>
      </c>
      <c r="I3287" s="9" t="s">
        <v>13702</v>
      </c>
      <c r="J3287" s="16" t="s">
        <v>13703</v>
      </c>
      <c r="K3287" s="9"/>
      <c r="L3287" s="9" t="s">
        <v>30</v>
      </c>
      <c r="M3287" s="9" t="s">
        <v>31</v>
      </c>
      <c r="N3287" s="9" t="s">
        <v>32</v>
      </c>
      <c r="O3287" s="12" t="s">
        <v>33</v>
      </c>
      <c r="P3287" s="12" t="s">
        <v>34</v>
      </c>
      <c r="Q3287" s="9"/>
      <c r="R3287" s="18"/>
      <c r="S3287" s="18"/>
      <c r="T3287" s="18"/>
      <c r="U3287" s="18"/>
      <c r="V3287" s="18"/>
      <c r="W3287" s="15"/>
      <c r="X3287" s="15"/>
    </row>
    <row r="3288">
      <c r="A3288" s="7">
        <v>3287.0</v>
      </c>
      <c r="B3288" s="8" t="s">
        <v>13704</v>
      </c>
      <c r="C3288" s="9" t="s">
        <v>13705</v>
      </c>
      <c r="D3288" s="10" t="str">
        <f>HYPERLINK("https://facebook.com/367089020688300_467810730616128", "367089020688300_467810730616128")</f>
        <v>367089020688300_467810730616128</v>
      </c>
      <c r="E3288" s="11">
        <v>120.0</v>
      </c>
      <c r="F3288" s="11">
        <v>3.0</v>
      </c>
      <c r="G3288" s="11">
        <v>171.0</v>
      </c>
      <c r="H3288" s="9" t="s">
        <v>26</v>
      </c>
      <c r="I3288" s="9" t="s">
        <v>13706</v>
      </c>
      <c r="J3288" s="9" t="s">
        <v>13707</v>
      </c>
      <c r="K3288" s="9" t="s">
        <v>13708</v>
      </c>
      <c r="L3288" s="9" t="s">
        <v>30</v>
      </c>
      <c r="M3288" s="9" t="s">
        <v>31</v>
      </c>
      <c r="N3288" s="9" t="s">
        <v>32</v>
      </c>
      <c r="O3288" s="12" t="s">
        <v>33</v>
      </c>
      <c r="P3288" s="12" t="s">
        <v>34</v>
      </c>
      <c r="Q3288" s="9"/>
      <c r="R3288" s="18"/>
      <c r="S3288" s="18"/>
      <c r="T3288" s="18"/>
      <c r="U3288" s="18"/>
      <c r="V3288" s="18"/>
      <c r="W3288" s="15"/>
      <c r="X3288" s="15"/>
    </row>
    <row r="3289">
      <c r="A3289" s="7">
        <v>3288.0</v>
      </c>
      <c r="B3289" s="8" t="s">
        <v>13709</v>
      </c>
      <c r="C3289" s="9" t="s">
        <v>13710</v>
      </c>
      <c r="D3289" s="10" t="str">
        <f>HYPERLINK("https://facebook.com/367089020688300_557087351688465", "367089020688300_557087351688465")</f>
        <v>367089020688300_557087351688465</v>
      </c>
      <c r="E3289" s="11">
        <v>43.0</v>
      </c>
      <c r="F3289" s="11">
        <v>0.0</v>
      </c>
      <c r="G3289" s="11">
        <v>79.0</v>
      </c>
      <c r="H3289" s="9" t="s">
        <v>26</v>
      </c>
      <c r="I3289" s="9" t="s">
        <v>2951</v>
      </c>
      <c r="J3289" s="16" t="s">
        <v>13711</v>
      </c>
      <c r="K3289" s="9"/>
      <c r="L3289" s="9" t="s">
        <v>30</v>
      </c>
      <c r="M3289" s="9" t="s">
        <v>31</v>
      </c>
      <c r="N3289" s="9" t="s">
        <v>32</v>
      </c>
      <c r="O3289" s="12" t="s">
        <v>33</v>
      </c>
      <c r="P3289" s="12" t="s">
        <v>34</v>
      </c>
      <c r="Q3289" s="9"/>
      <c r="R3289" s="18"/>
      <c r="S3289" s="18"/>
      <c r="T3289" s="18"/>
      <c r="U3289" s="18"/>
      <c r="V3289" s="18"/>
      <c r="W3289" s="15"/>
      <c r="X3289" s="15"/>
    </row>
    <row r="3290">
      <c r="A3290" s="7">
        <v>3289.0</v>
      </c>
      <c r="B3290" s="8" t="s">
        <v>13712</v>
      </c>
      <c r="C3290" s="9" t="s">
        <v>13713</v>
      </c>
      <c r="D3290" s="10" t="str">
        <f>HYPERLINK("https://facebook.com/367089020688300_560334964697037", "367089020688300_560334964697037")</f>
        <v>367089020688300_560334964697037</v>
      </c>
      <c r="E3290" s="11">
        <v>538.0</v>
      </c>
      <c r="F3290" s="11">
        <v>8.0</v>
      </c>
      <c r="G3290" s="11">
        <v>782.0</v>
      </c>
      <c r="H3290" s="9" t="s">
        <v>26</v>
      </c>
      <c r="I3290" s="9" t="s">
        <v>2009</v>
      </c>
      <c r="J3290" s="9" t="s">
        <v>13714</v>
      </c>
      <c r="K3290" s="9" t="s">
        <v>3984</v>
      </c>
      <c r="L3290" s="9" t="s">
        <v>30</v>
      </c>
      <c r="M3290" s="9" t="s">
        <v>31</v>
      </c>
      <c r="N3290" s="9" t="s">
        <v>32</v>
      </c>
      <c r="O3290" s="12" t="s">
        <v>33</v>
      </c>
      <c r="P3290" s="12" t="s">
        <v>34</v>
      </c>
      <c r="Q3290" s="9"/>
      <c r="R3290" s="18"/>
      <c r="S3290" s="18"/>
      <c r="T3290" s="18"/>
      <c r="U3290" s="18"/>
      <c r="V3290" s="18"/>
      <c r="W3290" s="15"/>
      <c r="X3290" s="15"/>
    </row>
    <row r="3291">
      <c r="A3291" s="7">
        <v>3290.0</v>
      </c>
      <c r="B3291" s="8" t="s">
        <v>13715</v>
      </c>
      <c r="C3291" s="9" t="s">
        <v>13716</v>
      </c>
      <c r="D3291" s="10" t="str">
        <f>HYPERLINK("https://facebook.com/367089020688300_508779873185880", "367089020688300_508779873185880")</f>
        <v>367089020688300_508779873185880</v>
      </c>
      <c r="E3291" s="11">
        <v>968.0</v>
      </c>
      <c r="F3291" s="11">
        <v>2.0</v>
      </c>
      <c r="G3291" s="11">
        <v>101.0</v>
      </c>
      <c r="H3291" s="9" t="s">
        <v>26</v>
      </c>
      <c r="I3291" s="9" t="s">
        <v>8430</v>
      </c>
      <c r="J3291" s="9" t="s">
        <v>13717</v>
      </c>
      <c r="K3291" s="9" t="s">
        <v>13718</v>
      </c>
      <c r="L3291" s="9" t="s">
        <v>30</v>
      </c>
      <c r="M3291" s="9" t="s">
        <v>31</v>
      </c>
      <c r="N3291" s="9" t="s">
        <v>32</v>
      </c>
      <c r="O3291" s="12" t="s">
        <v>33</v>
      </c>
      <c r="P3291" s="12" t="s">
        <v>34</v>
      </c>
      <c r="Q3291" s="9"/>
      <c r="R3291" s="18"/>
      <c r="S3291" s="18"/>
      <c r="T3291" s="18"/>
      <c r="U3291" s="18"/>
      <c r="V3291" s="18"/>
      <c r="W3291" s="15"/>
      <c r="X3291" s="15"/>
    </row>
    <row r="3292">
      <c r="A3292" s="7">
        <v>3291.0</v>
      </c>
      <c r="B3292" s="8" t="s">
        <v>13719</v>
      </c>
      <c r="C3292" s="9" t="s">
        <v>13720</v>
      </c>
      <c r="D3292" s="10" t="str">
        <f>HYPERLINK("https://facebook.com/367089020688300_562211347842732", "367089020688300_562211347842732")</f>
        <v>367089020688300_562211347842732</v>
      </c>
      <c r="E3292" s="11">
        <v>51.0</v>
      </c>
      <c r="F3292" s="11">
        <v>1.0</v>
      </c>
      <c r="G3292" s="11">
        <v>56.0</v>
      </c>
      <c r="H3292" s="9" t="s">
        <v>26</v>
      </c>
      <c r="I3292" s="9" t="s">
        <v>13721</v>
      </c>
      <c r="J3292" s="9" t="s">
        <v>13722</v>
      </c>
      <c r="K3292" s="9" t="s">
        <v>13723</v>
      </c>
      <c r="L3292" s="9" t="s">
        <v>30</v>
      </c>
      <c r="M3292" s="9" t="s">
        <v>31</v>
      </c>
      <c r="N3292" s="9" t="s">
        <v>32</v>
      </c>
      <c r="O3292" s="12" t="s">
        <v>33</v>
      </c>
      <c r="P3292" s="12" t="s">
        <v>34</v>
      </c>
      <c r="Q3292" s="9"/>
      <c r="R3292" s="18"/>
      <c r="S3292" s="18"/>
      <c r="T3292" s="18"/>
      <c r="U3292" s="18"/>
      <c r="V3292" s="18"/>
      <c r="W3292" s="15"/>
      <c r="X3292" s="15"/>
    </row>
    <row r="3293">
      <c r="A3293" s="7">
        <v>3292.0</v>
      </c>
      <c r="B3293" s="8" t="s">
        <v>13724</v>
      </c>
      <c r="C3293" s="9" t="s">
        <v>13725</v>
      </c>
      <c r="D3293" s="10" t="str">
        <f>HYPERLINK("https://facebook.com/367089020688300_557451874985346", "367089020688300_557451874985346")</f>
        <v>367089020688300_557451874985346</v>
      </c>
      <c r="E3293" s="11">
        <v>86.0</v>
      </c>
      <c r="F3293" s="11">
        <v>2.0</v>
      </c>
      <c r="G3293" s="11">
        <v>90.0</v>
      </c>
      <c r="H3293" s="9" t="s">
        <v>26</v>
      </c>
      <c r="I3293" s="9" t="s">
        <v>13726</v>
      </c>
      <c r="J3293" s="16" t="s">
        <v>13727</v>
      </c>
      <c r="K3293" s="9"/>
      <c r="L3293" s="9" t="s">
        <v>30</v>
      </c>
      <c r="M3293" s="9" t="s">
        <v>31</v>
      </c>
      <c r="N3293" s="9" t="s">
        <v>32</v>
      </c>
      <c r="O3293" s="12" t="s">
        <v>33</v>
      </c>
      <c r="P3293" s="12" t="s">
        <v>34</v>
      </c>
      <c r="Q3293" s="9"/>
      <c r="R3293" s="18"/>
      <c r="S3293" s="18"/>
      <c r="T3293" s="18"/>
      <c r="U3293" s="18"/>
      <c r="V3293" s="18"/>
      <c r="W3293" s="15"/>
      <c r="X3293" s="15"/>
    </row>
    <row r="3294">
      <c r="A3294" s="7">
        <v>3293.0</v>
      </c>
      <c r="B3294" s="8" t="s">
        <v>13728</v>
      </c>
      <c r="C3294" s="9" t="s">
        <v>13729</v>
      </c>
      <c r="D3294" s="10" t="str">
        <f>HYPERLINK("https://facebook.com/367089020688300_547561799307687", "367089020688300_547561799307687")</f>
        <v>367089020688300_547561799307687</v>
      </c>
      <c r="E3294" s="11">
        <v>58.0</v>
      </c>
      <c r="F3294" s="11">
        <v>1.0</v>
      </c>
      <c r="G3294" s="11">
        <v>66.0</v>
      </c>
      <c r="H3294" s="9" t="s">
        <v>26</v>
      </c>
      <c r="I3294" s="9" t="s">
        <v>13730</v>
      </c>
      <c r="J3294" s="16" t="s">
        <v>13731</v>
      </c>
      <c r="K3294" s="9"/>
      <c r="L3294" s="9" t="s">
        <v>30</v>
      </c>
      <c r="M3294" s="9" t="s">
        <v>31</v>
      </c>
      <c r="N3294" s="9" t="s">
        <v>32</v>
      </c>
      <c r="O3294" s="12" t="s">
        <v>33</v>
      </c>
      <c r="P3294" s="12" t="s">
        <v>34</v>
      </c>
      <c r="Q3294" s="9"/>
      <c r="R3294" s="18"/>
      <c r="S3294" s="18"/>
      <c r="T3294" s="18"/>
      <c r="U3294" s="18"/>
      <c r="V3294" s="18"/>
      <c r="W3294" s="15"/>
      <c r="X3294" s="15"/>
    </row>
    <row r="3295">
      <c r="A3295" s="7">
        <v>3294.0</v>
      </c>
      <c r="B3295" s="8" t="s">
        <v>13732</v>
      </c>
      <c r="C3295" s="9" t="s">
        <v>13733</v>
      </c>
      <c r="D3295" s="10" t="str">
        <f>HYPERLINK("https://facebook.com/367089020688300_468450227218845", "367089020688300_468450227218845")</f>
        <v>367089020688300_468450227218845</v>
      </c>
      <c r="E3295" s="11">
        <v>542.0</v>
      </c>
      <c r="F3295" s="11">
        <v>8.0</v>
      </c>
      <c r="G3295" s="11">
        <v>582.0</v>
      </c>
      <c r="H3295" s="9" t="s">
        <v>26</v>
      </c>
      <c r="I3295" s="9" t="s">
        <v>1293</v>
      </c>
      <c r="J3295" s="9" t="s">
        <v>1294</v>
      </c>
      <c r="K3295" s="9" t="s">
        <v>13734</v>
      </c>
      <c r="L3295" s="9" t="s">
        <v>30</v>
      </c>
      <c r="M3295" s="9" t="s">
        <v>31</v>
      </c>
      <c r="N3295" s="9" t="s">
        <v>32</v>
      </c>
      <c r="O3295" s="12" t="s">
        <v>33</v>
      </c>
      <c r="P3295" s="12" t="s">
        <v>34</v>
      </c>
      <c r="Q3295" s="9"/>
      <c r="R3295" s="18"/>
      <c r="S3295" s="18"/>
      <c r="T3295" s="18"/>
      <c r="U3295" s="18"/>
      <c r="V3295" s="18"/>
      <c r="W3295" s="15"/>
      <c r="X3295" s="15"/>
    </row>
    <row r="3296">
      <c r="A3296" s="7">
        <v>3295.0</v>
      </c>
      <c r="B3296" s="8" t="s">
        <v>13735</v>
      </c>
      <c r="C3296" s="9" t="s">
        <v>13736</v>
      </c>
      <c r="D3296" s="10" t="str">
        <f>HYPERLINK("https://facebook.com/367089020688300_409735289757006", "367089020688300_409735289757006")</f>
        <v>367089020688300_409735289757006</v>
      </c>
      <c r="E3296" s="11">
        <v>527.0</v>
      </c>
      <c r="F3296" s="11">
        <v>3.0</v>
      </c>
      <c r="G3296" s="11">
        <v>409.0</v>
      </c>
      <c r="H3296" s="9" t="s">
        <v>26</v>
      </c>
      <c r="I3296" s="9" t="s">
        <v>13737</v>
      </c>
      <c r="J3296" s="9" t="s">
        <v>13738</v>
      </c>
      <c r="K3296" s="9" t="s">
        <v>13739</v>
      </c>
      <c r="L3296" s="9" t="s">
        <v>30</v>
      </c>
      <c r="M3296" s="9" t="s">
        <v>31</v>
      </c>
      <c r="N3296" s="9" t="s">
        <v>32</v>
      </c>
      <c r="O3296" s="12" t="s">
        <v>33</v>
      </c>
      <c r="P3296" s="12" t="s">
        <v>34</v>
      </c>
      <c r="Q3296" s="9"/>
      <c r="R3296" s="18"/>
      <c r="S3296" s="18"/>
      <c r="T3296" s="18"/>
      <c r="U3296" s="18"/>
      <c r="V3296" s="18"/>
      <c r="W3296" s="15"/>
      <c r="X3296" s="15"/>
    </row>
    <row r="3297">
      <c r="A3297" s="7">
        <v>3296.0</v>
      </c>
      <c r="B3297" s="8" t="s">
        <v>13740</v>
      </c>
      <c r="C3297" s="9" t="s">
        <v>13741</v>
      </c>
      <c r="D3297" s="10" t="str">
        <f>HYPERLINK("https://facebook.com/367089020688300_537202267010307", "367089020688300_537202267010307")</f>
        <v>367089020688300_537202267010307</v>
      </c>
      <c r="E3297" s="11">
        <v>11.0</v>
      </c>
      <c r="F3297" s="11">
        <v>0.0</v>
      </c>
      <c r="G3297" s="11">
        <v>0.0</v>
      </c>
      <c r="H3297" s="9" t="s">
        <v>26</v>
      </c>
      <c r="I3297" s="9" t="s">
        <v>13742</v>
      </c>
      <c r="J3297" s="9" t="s">
        <v>13743</v>
      </c>
      <c r="K3297" s="9" t="s">
        <v>13744</v>
      </c>
      <c r="L3297" s="9" t="s">
        <v>30</v>
      </c>
      <c r="M3297" s="9" t="s">
        <v>31</v>
      </c>
      <c r="N3297" s="9" t="s">
        <v>32</v>
      </c>
      <c r="O3297" s="12" t="s">
        <v>33</v>
      </c>
      <c r="P3297" s="12" t="s">
        <v>34</v>
      </c>
      <c r="Q3297" s="9"/>
      <c r="R3297" s="18"/>
      <c r="S3297" s="18"/>
      <c r="T3297" s="18"/>
      <c r="U3297" s="18"/>
      <c r="V3297" s="18"/>
      <c r="W3297" s="15"/>
      <c r="X3297" s="15"/>
    </row>
    <row r="3298">
      <c r="A3298" s="7">
        <v>3297.0</v>
      </c>
      <c r="B3298" s="8" t="s">
        <v>13745</v>
      </c>
      <c r="C3298" s="9" t="s">
        <v>13746</v>
      </c>
      <c r="D3298" s="10" t="str">
        <f>HYPERLINK("https://facebook.com/367089020688300_535285490535318", "367089020688300_535285490535318")</f>
        <v>367089020688300_535285490535318</v>
      </c>
      <c r="E3298" s="11">
        <v>27.0</v>
      </c>
      <c r="F3298" s="11">
        <v>0.0</v>
      </c>
      <c r="G3298" s="11">
        <v>27.0</v>
      </c>
      <c r="H3298" s="9" t="s">
        <v>26</v>
      </c>
      <c r="I3298" s="9" t="s">
        <v>13747</v>
      </c>
      <c r="J3298" s="9" t="s">
        <v>13748</v>
      </c>
      <c r="K3298" s="9" t="s">
        <v>13749</v>
      </c>
      <c r="L3298" s="9" t="s">
        <v>30</v>
      </c>
      <c r="M3298" s="9" t="s">
        <v>31</v>
      </c>
      <c r="N3298" s="9" t="s">
        <v>32</v>
      </c>
      <c r="O3298" s="12" t="s">
        <v>33</v>
      </c>
      <c r="P3298" s="12" t="s">
        <v>34</v>
      </c>
      <c r="Q3298" s="9"/>
      <c r="R3298" s="18"/>
      <c r="S3298" s="18"/>
      <c r="T3298" s="18"/>
      <c r="U3298" s="18"/>
      <c r="V3298" s="18"/>
      <c r="W3298" s="15"/>
      <c r="X3298" s="15"/>
    </row>
    <row r="3299">
      <c r="A3299" s="7">
        <v>3298.0</v>
      </c>
      <c r="B3299" s="8" t="s">
        <v>13750</v>
      </c>
      <c r="C3299" s="9" t="s">
        <v>13751</v>
      </c>
      <c r="D3299" s="10" t="str">
        <f>HYPERLINK("https://facebook.com/367089020688300_538082933588907", "367089020688300_538082933588907")</f>
        <v>367089020688300_538082933588907</v>
      </c>
      <c r="E3299" s="11">
        <v>31.0</v>
      </c>
      <c r="F3299" s="11">
        <v>0.0</v>
      </c>
      <c r="G3299" s="11">
        <v>4.0</v>
      </c>
      <c r="H3299" s="9" t="s">
        <v>26</v>
      </c>
      <c r="I3299" s="9" t="s">
        <v>13752</v>
      </c>
      <c r="J3299" s="9" t="s">
        <v>13753</v>
      </c>
      <c r="K3299" s="9" t="s">
        <v>13754</v>
      </c>
      <c r="L3299" s="9" t="s">
        <v>30</v>
      </c>
      <c r="M3299" s="9" t="s">
        <v>31</v>
      </c>
      <c r="N3299" s="9" t="s">
        <v>32</v>
      </c>
      <c r="O3299" s="12" t="s">
        <v>33</v>
      </c>
      <c r="P3299" s="12" t="s">
        <v>34</v>
      </c>
      <c r="Q3299" s="9"/>
      <c r="R3299" s="18"/>
      <c r="S3299" s="18"/>
      <c r="T3299" s="18"/>
      <c r="U3299" s="18"/>
      <c r="V3299" s="18"/>
      <c r="W3299" s="15"/>
      <c r="X3299" s="15"/>
    </row>
    <row r="3300">
      <c r="A3300" s="7">
        <v>3299.0</v>
      </c>
      <c r="B3300" s="8" t="s">
        <v>13755</v>
      </c>
      <c r="C3300" s="9" t="s">
        <v>13756</v>
      </c>
      <c r="D3300" s="10" t="str">
        <f>HYPERLINK("https://facebook.com/367089020688300_530310511032816", "367089020688300_530310511032816")</f>
        <v>367089020688300_530310511032816</v>
      </c>
      <c r="E3300" s="11">
        <v>1217.0</v>
      </c>
      <c r="F3300" s="11">
        <v>12.0</v>
      </c>
      <c r="G3300" s="11">
        <v>1173.0</v>
      </c>
      <c r="H3300" s="9" t="s">
        <v>26</v>
      </c>
      <c r="I3300" s="9" t="s">
        <v>13757</v>
      </c>
      <c r="J3300" s="16" t="s">
        <v>13758</v>
      </c>
      <c r="K3300" s="9"/>
      <c r="L3300" s="9" t="s">
        <v>30</v>
      </c>
      <c r="M3300" s="9" t="s">
        <v>31</v>
      </c>
      <c r="N3300" s="9" t="s">
        <v>32</v>
      </c>
      <c r="O3300" s="12" t="s">
        <v>33</v>
      </c>
      <c r="P3300" s="12" t="s">
        <v>34</v>
      </c>
      <c r="Q3300" s="9"/>
      <c r="R3300" s="18"/>
      <c r="S3300" s="18"/>
      <c r="T3300" s="18"/>
      <c r="U3300" s="18"/>
      <c r="V3300" s="18"/>
      <c r="W3300" s="15"/>
      <c r="X3300" s="15"/>
    </row>
    <row r="3301">
      <c r="A3301" s="7">
        <v>3300.0</v>
      </c>
      <c r="B3301" s="8" t="s">
        <v>13759</v>
      </c>
      <c r="C3301" s="9" t="s">
        <v>13760</v>
      </c>
      <c r="D3301" s="10" t="str">
        <f>HYPERLINK("https://facebook.com/367089020688300_535617683835432", "367089020688300_535617683835432")</f>
        <v>367089020688300_535617683835432</v>
      </c>
      <c r="E3301" s="11">
        <v>241.0</v>
      </c>
      <c r="F3301" s="11">
        <v>6.0</v>
      </c>
      <c r="G3301" s="11">
        <v>233.0</v>
      </c>
      <c r="H3301" s="9" t="s">
        <v>26</v>
      </c>
      <c r="I3301" s="9" t="s">
        <v>229</v>
      </c>
      <c r="J3301" s="16" t="s">
        <v>13761</v>
      </c>
      <c r="K3301" s="9"/>
      <c r="L3301" s="9" t="s">
        <v>30</v>
      </c>
      <c r="M3301" s="9" t="s">
        <v>31</v>
      </c>
      <c r="N3301" s="9" t="s">
        <v>32</v>
      </c>
      <c r="O3301" s="12" t="s">
        <v>33</v>
      </c>
      <c r="P3301" s="12" t="s">
        <v>34</v>
      </c>
      <c r="Q3301" s="9"/>
      <c r="R3301" s="18"/>
      <c r="S3301" s="18"/>
      <c r="T3301" s="18"/>
      <c r="U3301" s="18"/>
      <c r="V3301" s="18"/>
      <c r="W3301" s="15"/>
      <c r="X3301" s="15"/>
    </row>
    <row r="3302">
      <c r="A3302" s="7">
        <v>3301.0</v>
      </c>
      <c r="B3302" s="8" t="s">
        <v>13762</v>
      </c>
      <c r="C3302" s="9" t="s">
        <v>13763</v>
      </c>
      <c r="D3302" s="10" t="str">
        <f>HYPERLINK("https://facebook.com/367089020688300_528228354574365", "367089020688300_528228354574365")</f>
        <v>367089020688300_528228354574365</v>
      </c>
      <c r="E3302" s="11">
        <v>110.0</v>
      </c>
      <c r="F3302" s="11">
        <v>1.0</v>
      </c>
      <c r="G3302" s="11">
        <v>124.0</v>
      </c>
      <c r="H3302" s="9" t="s">
        <v>26</v>
      </c>
      <c r="I3302" s="9" t="s">
        <v>13764</v>
      </c>
      <c r="J3302" s="9" t="s">
        <v>13765</v>
      </c>
      <c r="K3302" s="9" t="s">
        <v>13766</v>
      </c>
      <c r="L3302" s="9" t="s">
        <v>30</v>
      </c>
      <c r="M3302" s="9" t="s">
        <v>31</v>
      </c>
      <c r="N3302" s="9" t="s">
        <v>32</v>
      </c>
      <c r="O3302" s="12" t="s">
        <v>33</v>
      </c>
      <c r="P3302" s="12" t="s">
        <v>34</v>
      </c>
      <c r="Q3302" s="9"/>
      <c r="R3302" s="18"/>
      <c r="S3302" s="18"/>
      <c r="T3302" s="18"/>
      <c r="U3302" s="18"/>
      <c r="V3302" s="18"/>
      <c r="W3302" s="15"/>
      <c r="X3302" s="15"/>
    </row>
    <row r="3303">
      <c r="A3303" s="7">
        <v>3302.0</v>
      </c>
      <c r="B3303" s="8" t="s">
        <v>13767</v>
      </c>
      <c r="C3303" s="9" t="s">
        <v>13768</v>
      </c>
      <c r="D3303" s="10" t="str">
        <f>HYPERLINK("https://facebook.com/367089020688300_379499866113882", "367089020688300_379499866113882")</f>
        <v>367089020688300_379499866113882</v>
      </c>
      <c r="E3303" s="11">
        <v>1999.0</v>
      </c>
      <c r="F3303" s="11">
        <v>62.0</v>
      </c>
      <c r="G3303" s="11">
        <v>1398.0</v>
      </c>
      <c r="H3303" s="9" t="s">
        <v>26</v>
      </c>
      <c r="I3303" s="9" t="s">
        <v>863</v>
      </c>
      <c r="J3303" s="9" t="s">
        <v>864</v>
      </c>
      <c r="K3303" s="9" t="s">
        <v>5864</v>
      </c>
      <c r="L3303" s="9" t="s">
        <v>30</v>
      </c>
      <c r="M3303" s="9" t="s">
        <v>31</v>
      </c>
      <c r="N3303" s="9" t="s">
        <v>32</v>
      </c>
      <c r="O3303" s="12" t="s">
        <v>33</v>
      </c>
      <c r="P3303" s="12" t="s">
        <v>34</v>
      </c>
      <c r="Q3303" s="9"/>
      <c r="R3303" s="18"/>
      <c r="S3303" s="18"/>
      <c r="T3303" s="18"/>
      <c r="U3303" s="18"/>
      <c r="V3303" s="18"/>
      <c r="W3303" s="15"/>
      <c r="X3303" s="15"/>
    </row>
    <row r="3304">
      <c r="A3304" s="7">
        <v>3303.0</v>
      </c>
      <c r="B3304" s="8" t="s">
        <v>13769</v>
      </c>
      <c r="C3304" s="9" t="s">
        <v>13770</v>
      </c>
      <c r="D3304" s="10" t="str">
        <f>HYPERLINK("https://facebook.com/367089020688300_501333773930490", "367089020688300_501333773930490")</f>
        <v>367089020688300_501333773930490</v>
      </c>
      <c r="E3304" s="11">
        <v>71.0</v>
      </c>
      <c r="F3304" s="11">
        <v>0.0</v>
      </c>
      <c r="G3304" s="11">
        <v>44.0</v>
      </c>
      <c r="H3304" s="9" t="s">
        <v>26</v>
      </c>
      <c r="I3304" s="9" t="s">
        <v>4049</v>
      </c>
      <c r="J3304" s="9" t="s">
        <v>13771</v>
      </c>
      <c r="K3304" s="9" t="s">
        <v>13772</v>
      </c>
      <c r="L3304" s="9" t="s">
        <v>30</v>
      </c>
      <c r="M3304" s="9" t="s">
        <v>31</v>
      </c>
      <c r="N3304" s="9" t="s">
        <v>32</v>
      </c>
      <c r="O3304" s="12" t="s">
        <v>33</v>
      </c>
      <c r="P3304" s="12" t="s">
        <v>34</v>
      </c>
      <c r="Q3304" s="9"/>
      <c r="R3304" s="18"/>
      <c r="S3304" s="18"/>
      <c r="T3304" s="18"/>
      <c r="U3304" s="18"/>
      <c r="V3304" s="18"/>
      <c r="W3304" s="15"/>
      <c r="X3304" s="15"/>
    </row>
    <row r="3305">
      <c r="A3305" s="7">
        <v>3304.0</v>
      </c>
      <c r="B3305" s="8" t="s">
        <v>13773</v>
      </c>
      <c r="C3305" s="9" t="s">
        <v>13774</v>
      </c>
      <c r="D3305" s="10" t="str">
        <f>HYPERLINK("https://facebook.com/367089020688300_547128539351013", "367089020688300_547128539351013")</f>
        <v>367089020688300_547128539351013</v>
      </c>
      <c r="E3305" s="11">
        <v>51.0</v>
      </c>
      <c r="F3305" s="11">
        <v>0.0</v>
      </c>
      <c r="G3305" s="11">
        <v>39.0</v>
      </c>
      <c r="H3305" s="9" t="s">
        <v>26</v>
      </c>
      <c r="I3305" s="9" t="s">
        <v>13775</v>
      </c>
      <c r="J3305" s="9" t="s">
        <v>13776</v>
      </c>
      <c r="K3305" s="9" t="s">
        <v>13777</v>
      </c>
      <c r="L3305" s="9" t="s">
        <v>30</v>
      </c>
      <c r="M3305" s="9" t="s">
        <v>31</v>
      </c>
      <c r="N3305" s="9" t="s">
        <v>32</v>
      </c>
      <c r="O3305" s="12" t="s">
        <v>33</v>
      </c>
      <c r="P3305" s="12" t="s">
        <v>34</v>
      </c>
      <c r="Q3305" s="9"/>
      <c r="R3305" s="18"/>
      <c r="S3305" s="18"/>
      <c r="T3305" s="18"/>
      <c r="U3305" s="18"/>
      <c r="V3305" s="18"/>
      <c r="W3305" s="15"/>
      <c r="X3305" s="15"/>
    </row>
    <row r="3306">
      <c r="A3306" s="7">
        <v>3305.0</v>
      </c>
      <c r="B3306" s="8" t="s">
        <v>13778</v>
      </c>
      <c r="C3306" s="9" t="s">
        <v>13779</v>
      </c>
      <c r="D3306" s="10" t="str">
        <f>HYPERLINK("https://facebook.com/367089020688300_406332100097325", "367089020688300_406332100097325")</f>
        <v>367089020688300_406332100097325</v>
      </c>
      <c r="E3306" s="11">
        <v>157.0</v>
      </c>
      <c r="F3306" s="11">
        <v>3.0</v>
      </c>
      <c r="G3306" s="11">
        <v>240.0</v>
      </c>
      <c r="H3306" s="9" t="s">
        <v>26</v>
      </c>
      <c r="I3306" s="9" t="s">
        <v>13780</v>
      </c>
      <c r="J3306" s="9" t="s">
        <v>13781</v>
      </c>
      <c r="K3306" s="9" t="s">
        <v>13782</v>
      </c>
      <c r="L3306" s="9" t="s">
        <v>30</v>
      </c>
      <c r="M3306" s="9" t="s">
        <v>31</v>
      </c>
      <c r="N3306" s="9" t="s">
        <v>32</v>
      </c>
      <c r="O3306" s="12" t="s">
        <v>33</v>
      </c>
      <c r="P3306" s="12" t="s">
        <v>34</v>
      </c>
      <c r="Q3306" s="9"/>
      <c r="R3306" s="18"/>
      <c r="S3306" s="18"/>
      <c r="T3306" s="18"/>
      <c r="U3306" s="18"/>
      <c r="V3306" s="18"/>
      <c r="W3306" s="15"/>
      <c r="X3306" s="15"/>
    </row>
    <row r="3307">
      <c r="A3307" s="7">
        <v>3306.0</v>
      </c>
      <c r="B3307" s="8" t="s">
        <v>13783</v>
      </c>
      <c r="C3307" s="9" t="s">
        <v>13784</v>
      </c>
      <c r="D3307" s="10" t="str">
        <f>HYPERLINK("https://facebook.com/367089020688300_543328459731021", "367089020688300_543328459731021")</f>
        <v>367089020688300_543328459731021</v>
      </c>
      <c r="E3307" s="11">
        <v>216.0</v>
      </c>
      <c r="F3307" s="11">
        <v>1.0</v>
      </c>
      <c r="G3307" s="11">
        <v>90.0</v>
      </c>
      <c r="H3307" s="9" t="s">
        <v>26</v>
      </c>
      <c r="I3307" s="9" t="s">
        <v>13785</v>
      </c>
      <c r="J3307" s="9" t="s">
        <v>13786</v>
      </c>
      <c r="K3307" s="9" t="s">
        <v>51</v>
      </c>
      <c r="L3307" s="9" t="s">
        <v>30</v>
      </c>
      <c r="M3307" s="9" t="s">
        <v>31</v>
      </c>
      <c r="N3307" s="9" t="s">
        <v>32</v>
      </c>
      <c r="O3307" s="12" t="s">
        <v>33</v>
      </c>
      <c r="P3307" s="12" t="s">
        <v>34</v>
      </c>
      <c r="Q3307" s="9"/>
      <c r="R3307" s="18"/>
      <c r="S3307" s="18"/>
      <c r="T3307" s="18"/>
      <c r="U3307" s="18"/>
      <c r="V3307" s="18"/>
      <c r="W3307" s="15"/>
      <c r="X3307" s="15"/>
    </row>
    <row r="3308">
      <c r="A3308" s="7">
        <v>3307.0</v>
      </c>
      <c r="B3308" s="8" t="s">
        <v>13787</v>
      </c>
      <c r="C3308" s="9" t="s">
        <v>13788</v>
      </c>
      <c r="D3308" s="10" t="str">
        <f>HYPERLINK("https://facebook.com/367089020688300_507724859958048", "367089020688300_507724859958048")</f>
        <v>367089020688300_507724859958048</v>
      </c>
      <c r="E3308" s="11">
        <v>294.0</v>
      </c>
      <c r="F3308" s="11">
        <v>2.0</v>
      </c>
      <c r="G3308" s="11">
        <v>274.0</v>
      </c>
      <c r="H3308" s="9" t="s">
        <v>26</v>
      </c>
      <c r="I3308" s="9" t="s">
        <v>13789</v>
      </c>
      <c r="J3308" s="16" t="s">
        <v>13790</v>
      </c>
      <c r="K3308" s="9"/>
      <c r="L3308" s="9" t="s">
        <v>30</v>
      </c>
      <c r="M3308" s="9" t="s">
        <v>31</v>
      </c>
      <c r="N3308" s="9" t="s">
        <v>32</v>
      </c>
      <c r="O3308" s="12" t="s">
        <v>33</v>
      </c>
      <c r="P3308" s="12" t="s">
        <v>34</v>
      </c>
      <c r="Q3308" s="9"/>
      <c r="R3308" s="18"/>
      <c r="S3308" s="18"/>
      <c r="T3308" s="18"/>
      <c r="U3308" s="18"/>
      <c r="V3308" s="18"/>
      <c r="W3308" s="15"/>
      <c r="X3308" s="15"/>
    </row>
    <row r="3309">
      <c r="A3309" s="7">
        <v>3308.0</v>
      </c>
      <c r="B3309" s="8" t="s">
        <v>13791</v>
      </c>
      <c r="C3309" s="9" t="s">
        <v>13792</v>
      </c>
      <c r="D3309" s="10" t="str">
        <f>HYPERLINK("https://facebook.com/367089020688300_559257634804770", "367089020688300_559257634804770")</f>
        <v>367089020688300_559257634804770</v>
      </c>
      <c r="E3309" s="11">
        <v>32.0</v>
      </c>
      <c r="F3309" s="11">
        <v>1.0</v>
      </c>
      <c r="G3309" s="11">
        <v>33.0</v>
      </c>
      <c r="H3309" s="9" t="s">
        <v>26</v>
      </c>
      <c r="I3309" s="9" t="s">
        <v>13634</v>
      </c>
      <c r="J3309" s="9" t="s">
        <v>13635</v>
      </c>
      <c r="K3309" s="9" t="s">
        <v>13793</v>
      </c>
      <c r="L3309" s="9" t="s">
        <v>30</v>
      </c>
      <c r="M3309" s="9" t="s">
        <v>31</v>
      </c>
      <c r="N3309" s="9" t="s">
        <v>32</v>
      </c>
      <c r="O3309" s="12" t="s">
        <v>33</v>
      </c>
      <c r="P3309" s="12" t="s">
        <v>34</v>
      </c>
      <c r="Q3309" s="9"/>
      <c r="R3309" s="18"/>
      <c r="S3309" s="18"/>
      <c r="T3309" s="18"/>
      <c r="U3309" s="18"/>
      <c r="V3309" s="18"/>
      <c r="W3309" s="15"/>
      <c r="X3309" s="15"/>
    </row>
    <row r="3310">
      <c r="A3310" s="7">
        <v>3309.0</v>
      </c>
      <c r="B3310" s="8" t="s">
        <v>13794</v>
      </c>
      <c r="C3310" s="9" t="s">
        <v>13795</v>
      </c>
      <c r="D3310" s="10" t="str">
        <f>HYPERLINK("https://facebook.com/367089020688300_536276770436190", "367089020688300_536276770436190")</f>
        <v>367089020688300_536276770436190</v>
      </c>
      <c r="E3310" s="11">
        <v>412.0</v>
      </c>
      <c r="F3310" s="11">
        <v>18.0</v>
      </c>
      <c r="G3310" s="11">
        <v>537.0</v>
      </c>
      <c r="H3310" s="9" t="s">
        <v>26</v>
      </c>
      <c r="I3310" s="9" t="s">
        <v>13796</v>
      </c>
      <c r="J3310" s="16" t="s">
        <v>13797</v>
      </c>
      <c r="K3310" s="9"/>
      <c r="L3310" s="9" t="s">
        <v>30</v>
      </c>
      <c r="M3310" s="9" t="s">
        <v>31</v>
      </c>
      <c r="N3310" s="9" t="s">
        <v>32</v>
      </c>
      <c r="O3310" s="12" t="s">
        <v>33</v>
      </c>
      <c r="P3310" s="12" t="s">
        <v>34</v>
      </c>
      <c r="Q3310" s="9"/>
      <c r="R3310" s="18"/>
      <c r="S3310" s="18"/>
      <c r="T3310" s="18"/>
      <c r="U3310" s="18"/>
      <c r="V3310" s="18"/>
      <c r="W3310" s="15"/>
      <c r="X3310" s="15"/>
    </row>
    <row r="3311">
      <c r="A3311" s="7">
        <v>3310.0</v>
      </c>
      <c r="B3311" s="8" t="s">
        <v>13798</v>
      </c>
      <c r="C3311" s="9" t="s">
        <v>13799</v>
      </c>
      <c r="D3311" s="10" t="str">
        <f>HYPERLINK("https://facebook.com/367089020688300_525739801489887", "367089020688300_525739801489887")</f>
        <v>367089020688300_525739801489887</v>
      </c>
      <c r="E3311" s="11">
        <v>160.0</v>
      </c>
      <c r="F3311" s="11">
        <v>3.0</v>
      </c>
      <c r="G3311" s="11">
        <v>228.0</v>
      </c>
      <c r="H3311" s="9" t="s">
        <v>26</v>
      </c>
      <c r="I3311" s="9" t="s">
        <v>12663</v>
      </c>
      <c r="J3311" s="16" t="s">
        <v>12664</v>
      </c>
      <c r="K3311" s="9"/>
      <c r="L3311" s="9" t="s">
        <v>30</v>
      </c>
      <c r="M3311" s="9" t="s">
        <v>31</v>
      </c>
      <c r="N3311" s="9" t="s">
        <v>32</v>
      </c>
      <c r="O3311" s="12" t="s">
        <v>33</v>
      </c>
      <c r="P3311" s="12" t="s">
        <v>34</v>
      </c>
      <c r="Q3311" s="9"/>
      <c r="R3311" s="18"/>
      <c r="S3311" s="18"/>
      <c r="T3311" s="18"/>
      <c r="U3311" s="18"/>
      <c r="V3311" s="18"/>
      <c r="W3311" s="15"/>
      <c r="X3311" s="15"/>
    </row>
    <row r="3312">
      <c r="A3312" s="7">
        <v>3311.0</v>
      </c>
      <c r="B3312" s="8" t="s">
        <v>13800</v>
      </c>
      <c r="C3312" s="9" t="s">
        <v>13801</v>
      </c>
      <c r="D3312" s="10" t="str">
        <f>HYPERLINK("https://facebook.com/367089020688300_476703269726874", "367089020688300_476703269726874")</f>
        <v>367089020688300_476703269726874</v>
      </c>
      <c r="E3312" s="11">
        <v>191.0</v>
      </c>
      <c r="F3312" s="11">
        <v>20.0</v>
      </c>
      <c r="G3312" s="11">
        <v>136.0</v>
      </c>
      <c r="H3312" s="9" t="s">
        <v>26</v>
      </c>
      <c r="I3312" s="9" t="s">
        <v>13802</v>
      </c>
      <c r="J3312" s="9" t="s">
        <v>13803</v>
      </c>
      <c r="K3312" s="9" t="s">
        <v>13804</v>
      </c>
      <c r="L3312" s="9" t="s">
        <v>30</v>
      </c>
      <c r="M3312" s="9" t="s">
        <v>31</v>
      </c>
      <c r="N3312" s="9" t="s">
        <v>32</v>
      </c>
      <c r="O3312" s="12" t="s">
        <v>33</v>
      </c>
      <c r="P3312" s="12" t="s">
        <v>34</v>
      </c>
      <c r="Q3312" s="9"/>
      <c r="R3312" s="18"/>
      <c r="S3312" s="18"/>
      <c r="T3312" s="18"/>
      <c r="U3312" s="18"/>
      <c r="V3312" s="18"/>
      <c r="W3312" s="15"/>
      <c r="X3312" s="15"/>
    </row>
    <row r="3313">
      <c r="A3313" s="7">
        <v>3312.0</v>
      </c>
      <c r="B3313" s="8" t="s">
        <v>13805</v>
      </c>
      <c r="C3313" s="9" t="s">
        <v>13806</v>
      </c>
      <c r="D3313" s="10" t="str">
        <f>HYPERLINK("https://facebook.com/367089020688300_558991604831373", "367089020688300_558991604831373")</f>
        <v>367089020688300_558991604831373</v>
      </c>
      <c r="E3313" s="11">
        <v>2.0</v>
      </c>
      <c r="F3313" s="11">
        <v>0.0</v>
      </c>
      <c r="G3313" s="11">
        <v>5.0</v>
      </c>
      <c r="H3313" s="9" t="s">
        <v>26</v>
      </c>
      <c r="I3313" s="9" t="s">
        <v>5925</v>
      </c>
      <c r="J3313" s="9" t="s">
        <v>13807</v>
      </c>
      <c r="K3313" s="9" t="s">
        <v>13808</v>
      </c>
      <c r="L3313" s="9" t="s">
        <v>30</v>
      </c>
      <c r="M3313" s="9" t="s">
        <v>31</v>
      </c>
      <c r="N3313" s="9" t="s">
        <v>32</v>
      </c>
      <c r="O3313" s="12" t="s">
        <v>33</v>
      </c>
      <c r="P3313" s="12" t="s">
        <v>34</v>
      </c>
      <c r="Q3313" s="9"/>
      <c r="R3313" s="18"/>
      <c r="S3313" s="18"/>
      <c r="T3313" s="18"/>
      <c r="U3313" s="18"/>
      <c r="V3313" s="18"/>
      <c r="W3313" s="15"/>
      <c r="X3313" s="15"/>
    </row>
    <row r="3314">
      <c r="A3314" s="7">
        <v>3313.0</v>
      </c>
      <c r="B3314" s="8" t="s">
        <v>13809</v>
      </c>
      <c r="C3314" s="9" t="s">
        <v>13810</v>
      </c>
      <c r="D3314" s="10" t="str">
        <f>HYPERLINK("https://facebook.com/367089020688300_487906808606520", "367089020688300_487906808606520")</f>
        <v>367089020688300_487906808606520</v>
      </c>
      <c r="E3314" s="11">
        <v>41.0</v>
      </c>
      <c r="F3314" s="11">
        <v>0.0</v>
      </c>
      <c r="G3314" s="11">
        <v>52.0</v>
      </c>
      <c r="H3314" s="9" t="s">
        <v>26</v>
      </c>
      <c r="I3314" s="9" t="s">
        <v>13811</v>
      </c>
      <c r="J3314" s="9" t="s">
        <v>13812</v>
      </c>
      <c r="K3314" s="9" t="s">
        <v>13813</v>
      </c>
      <c r="L3314" s="9" t="s">
        <v>30</v>
      </c>
      <c r="M3314" s="9" t="s">
        <v>31</v>
      </c>
      <c r="N3314" s="9" t="s">
        <v>32</v>
      </c>
      <c r="O3314" s="12" t="s">
        <v>33</v>
      </c>
      <c r="P3314" s="12" t="s">
        <v>34</v>
      </c>
      <c r="Q3314" s="9"/>
      <c r="R3314" s="18"/>
      <c r="S3314" s="18"/>
      <c r="T3314" s="18"/>
      <c r="U3314" s="18"/>
      <c r="V3314" s="18"/>
      <c r="W3314" s="15"/>
      <c r="X3314" s="15"/>
    </row>
    <row r="3315">
      <c r="A3315" s="7">
        <v>3314.0</v>
      </c>
      <c r="B3315" s="8" t="s">
        <v>13814</v>
      </c>
      <c r="C3315" s="9" t="s">
        <v>13815</v>
      </c>
      <c r="D3315" s="10" t="str">
        <f>HYPERLINK("https://facebook.com/367089020688300_489280751802459", "367089020688300_489280751802459")</f>
        <v>367089020688300_489280751802459</v>
      </c>
      <c r="E3315" s="11">
        <v>243.0</v>
      </c>
      <c r="F3315" s="11">
        <v>10.0</v>
      </c>
      <c r="G3315" s="11">
        <v>193.0</v>
      </c>
      <c r="H3315" s="9" t="s">
        <v>26</v>
      </c>
      <c r="I3315" s="9" t="s">
        <v>13816</v>
      </c>
      <c r="J3315" s="9" t="s">
        <v>13817</v>
      </c>
      <c r="K3315" s="9" t="s">
        <v>13818</v>
      </c>
      <c r="L3315" s="9" t="s">
        <v>30</v>
      </c>
      <c r="M3315" s="9" t="s">
        <v>31</v>
      </c>
      <c r="N3315" s="9" t="s">
        <v>32</v>
      </c>
      <c r="O3315" s="12" t="s">
        <v>33</v>
      </c>
      <c r="P3315" s="12" t="s">
        <v>34</v>
      </c>
      <c r="Q3315" s="9"/>
      <c r="R3315" s="18"/>
      <c r="S3315" s="18"/>
      <c r="T3315" s="18"/>
      <c r="U3315" s="18"/>
      <c r="V3315" s="18"/>
      <c r="W3315" s="15"/>
      <c r="X3315" s="15"/>
    </row>
    <row r="3316">
      <c r="A3316" s="7">
        <v>3315.0</v>
      </c>
      <c r="B3316" s="8" t="s">
        <v>13819</v>
      </c>
      <c r="C3316" s="9" t="s">
        <v>13820</v>
      </c>
      <c r="D3316" s="10" t="str">
        <f>HYPERLINK("https://facebook.com/367089020688300_556766621720538", "367089020688300_556766621720538")</f>
        <v>367089020688300_556766621720538</v>
      </c>
      <c r="E3316" s="11">
        <v>206.0</v>
      </c>
      <c r="F3316" s="11">
        <v>31.0</v>
      </c>
      <c r="G3316" s="11">
        <v>157.0</v>
      </c>
      <c r="H3316" s="9" t="s">
        <v>26</v>
      </c>
      <c r="I3316" s="9" t="s">
        <v>12370</v>
      </c>
      <c r="J3316" s="16" t="s">
        <v>12371</v>
      </c>
      <c r="K3316" s="9"/>
      <c r="L3316" s="9" t="s">
        <v>30</v>
      </c>
      <c r="M3316" s="9" t="s">
        <v>31</v>
      </c>
      <c r="N3316" s="9" t="s">
        <v>32</v>
      </c>
      <c r="O3316" s="12" t="s">
        <v>33</v>
      </c>
      <c r="P3316" s="12" t="s">
        <v>34</v>
      </c>
      <c r="Q3316" s="9"/>
      <c r="R3316" s="18"/>
      <c r="S3316" s="18"/>
      <c r="T3316" s="18"/>
      <c r="U3316" s="18"/>
      <c r="V3316" s="18"/>
      <c r="W3316" s="15"/>
      <c r="X3316" s="15"/>
    </row>
    <row r="3317">
      <c r="A3317" s="7">
        <v>3316.0</v>
      </c>
      <c r="B3317" s="8" t="s">
        <v>13821</v>
      </c>
      <c r="C3317" s="9" t="s">
        <v>13822</v>
      </c>
      <c r="D3317" s="10" t="str">
        <f>HYPERLINK("https://facebook.com/367089020688300_555834978480369", "367089020688300_555834978480369")</f>
        <v>367089020688300_555834978480369</v>
      </c>
      <c r="E3317" s="11">
        <v>52.0</v>
      </c>
      <c r="F3317" s="11">
        <v>0.0</v>
      </c>
      <c r="G3317" s="11">
        <v>54.0</v>
      </c>
      <c r="H3317" s="9" t="s">
        <v>26</v>
      </c>
      <c r="I3317" s="9" t="s">
        <v>12317</v>
      </c>
      <c r="J3317" s="16" t="s">
        <v>13823</v>
      </c>
      <c r="K3317" s="9"/>
      <c r="L3317" s="9" t="s">
        <v>30</v>
      </c>
      <c r="M3317" s="9" t="s">
        <v>31</v>
      </c>
      <c r="N3317" s="9" t="s">
        <v>32</v>
      </c>
      <c r="O3317" s="12" t="s">
        <v>33</v>
      </c>
      <c r="P3317" s="12" t="s">
        <v>34</v>
      </c>
      <c r="Q3317" s="9"/>
      <c r="R3317" s="18"/>
      <c r="S3317" s="18"/>
      <c r="T3317" s="18"/>
      <c r="U3317" s="18"/>
      <c r="V3317" s="18"/>
      <c r="W3317" s="15"/>
      <c r="X3317" s="15"/>
    </row>
    <row r="3318">
      <c r="A3318" s="7">
        <v>3317.0</v>
      </c>
      <c r="B3318" s="8" t="s">
        <v>13824</v>
      </c>
      <c r="C3318" s="9" t="s">
        <v>13825</v>
      </c>
      <c r="D3318" s="10" t="str">
        <f>HYPERLINK("https://facebook.com/367089020688300_545442132852987", "367089020688300_545442132852987")</f>
        <v>367089020688300_545442132852987</v>
      </c>
      <c r="E3318" s="11">
        <v>217.0</v>
      </c>
      <c r="F3318" s="11">
        <v>18.0</v>
      </c>
      <c r="G3318" s="11">
        <v>260.0</v>
      </c>
      <c r="H3318" s="9" t="s">
        <v>26</v>
      </c>
      <c r="I3318" s="9" t="s">
        <v>13826</v>
      </c>
      <c r="J3318" s="9" t="s">
        <v>13827</v>
      </c>
      <c r="K3318" s="9" t="s">
        <v>13828</v>
      </c>
      <c r="L3318" s="9" t="s">
        <v>30</v>
      </c>
      <c r="M3318" s="9" t="s">
        <v>31</v>
      </c>
      <c r="N3318" s="9" t="s">
        <v>32</v>
      </c>
      <c r="O3318" s="12" t="s">
        <v>33</v>
      </c>
      <c r="P3318" s="12" t="s">
        <v>34</v>
      </c>
      <c r="Q3318" s="9"/>
      <c r="R3318" s="18"/>
      <c r="S3318" s="18"/>
      <c r="T3318" s="18"/>
      <c r="U3318" s="18"/>
      <c r="V3318" s="18"/>
      <c r="W3318" s="15"/>
      <c r="X3318" s="15"/>
    </row>
    <row r="3319">
      <c r="A3319" s="7">
        <v>3318.0</v>
      </c>
      <c r="B3319" s="8" t="s">
        <v>13829</v>
      </c>
      <c r="C3319" s="9" t="s">
        <v>13830</v>
      </c>
      <c r="D3319" s="10" t="str">
        <f>HYPERLINK("https://facebook.com/367089020688300_529922081071659", "367089020688300_529922081071659")</f>
        <v>367089020688300_529922081071659</v>
      </c>
      <c r="E3319" s="11">
        <v>197.0</v>
      </c>
      <c r="F3319" s="11">
        <v>7.0</v>
      </c>
      <c r="G3319" s="11">
        <v>357.0</v>
      </c>
      <c r="H3319" s="9" t="s">
        <v>26</v>
      </c>
      <c r="I3319" s="9" t="s">
        <v>13831</v>
      </c>
      <c r="J3319" s="9" t="s">
        <v>13832</v>
      </c>
      <c r="K3319" s="9" t="s">
        <v>13833</v>
      </c>
      <c r="L3319" s="9" t="s">
        <v>30</v>
      </c>
      <c r="M3319" s="9" t="s">
        <v>31</v>
      </c>
      <c r="N3319" s="9" t="s">
        <v>32</v>
      </c>
      <c r="O3319" s="12" t="s">
        <v>33</v>
      </c>
      <c r="P3319" s="12" t="s">
        <v>34</v>
      </c>
      <c r="Q3319" s="9"/>
      <c r="R3319" s="18"/>
      <c r="S3319" s="18"/>
      <c r="T3319" s="18"/>
      <c r="U3319" s="18"/>
      <c r="V3319" s="18"/>
      <c r="W3319" s="15"/>
      <c r="X3319" s="15"/>
    </row>
    <row r="3320">
      <c r="A3320" s="7">
        <v>3319.0</v>
      </c>
      <c r="B3320" s="8" t="s">
        <v>13834</v>
      </c>
      <c r="C3320" s="9" t="s">
        <v>13835</v>
      </c>
      <c r="D3320" s="10" t="str">
        <f>HYPERLINK("https://facebook.com/367089020688300_523338185063382", "367089020688300_523338185063382")</f>
        <v>367089020688300_523338185063382</v>
      </c>
      <c r="E3320" s="11">
        <v>205.0</v>
      </c>
      <c r="F3320" s="11">
        <v>6.0</v>
      </c>
      <c r="G3320" s="11">
        <v>247.0</v>
      </c>
      <c r="H3320" s="9" t="s">
        <v>26</v>
      </c>
      <c r="I3320" s="9" t="s">
        <v>13836</v>
      </c>
      <c r="J3320" s="16" t="s">
        <v>13837</v>
      </c>
      <c r="K3320" s="9"/>
      <c r="L3320" s="9" t="s">
        <v>30</v>
      </c>
      <c r="M3320" s="9" t="s">
        <v>31</v>
      </c>
      <c r="N3320" s="9" t="s">
        <v>32</v>
      </c>
      <c r="O3320" s="12" t="s">
        <v>33</v>
      </c>
      <c r="P3320" s="12" t="s">
        <v>34</v>
      </c>
      <c r="Q3320" s="9"/>
      <c r="R3320" s="18"/>
      <c r="S3320" s="18"/>
      <c r="T3320" s="18"/>
      <c r="U3320" s="18"/>
      <c r="V3320" s="18"/>
      <c r="W3320" s="15"/>
      <c r="X3320" s="15"/>
    </row>
    <row r="3321">
      <c r="A3321" s="7">
        <v>3320.0</v>
      </c>
      <c r="B3321" s="8" t="s">
        <v>13838</v>
      </c>
      <c r="C3321" s="9" t="s">
        <v>13839</v>
      </c>
      <c r="D3321" s="10" t="str">
        <f>HYPERLINK("https://facebook.com/367089020688300_551326315597902", "367089020688300_551326315597902")</f>
        <v>367089020688300_551326315597902</v>
      </c>
      <c r="E3321" s="11">
        <v>19.0</v>
      </c>
      <c r="F3321" s="11">
        <v>0.0</v>
      </c>
      <c r="G3321" s="11">
        <v>8.0</v>
      </c>
      <c r="H3321" s="9" t="s">
        <v>26</v>
      </c>
      <c r="I3321" s="9" t="s">
        <v>13840</v>
      </c>
      <c r="J3321" s="16" t="s">
        <v>13841</v>
      </c>
      <c r="K3321" s="9"/>
      <c r="L3321" s="9" t="s">
        <v>30</v>
      </c>
      <c r="M3321" s="9" t="s">
        <v>31</v>
      </c>
      <c r="N3321" s="9" t="s">
        <v>32</v>
      </c>
      <c r="O3321" s="12" t="s">
        <v>33</v>
      </c>
      <c r="P3321" s="12" t="s">
        <v>34</v>
      </c>
      <c r="Q3321" s="9"/>
      <c r="R3321" s="18"/>
      <c r="S3321" s="18"/>
      <c r="T3321" s="18"/>
      <c r="U3321" s="18"/>
      <c r="V3321" s="18"/>
      <c r="W3321" s="15"/>
      <c r="X3321" s="15"/>
    </row>
    <row r="3322">
      <c r="A3322" s="7">
        <v>3321.0</v>
      </c>
      <c r="B3322" s="8" t="s">
        <v>13842</v>
      </c>
      <c r="C3322" s="9" t="s">
        <v>13843</v>
      </c>
      <c r="D3322" s="10" t="str">
        <f>HYPERLINK("https://facebook.com/367089020688300_518000542263813", "367089020688300_518000542263813")</f>
        <v>367089020688300_518000542263813</v>
      </c>
      <c r="E3322" s="11">
        <v>222.0</v>
      </c>
      <c r="F3322" s="11">
        <v>9.0</v>
      </c>
      <c r="G3322" s="11">
        <v>481.0</v>
      </c>
      <c r="H3322" s="9" t="s">
        <v>26</v>
      </c>
      <c r="I3322" s="9" t="s">
        <v>13844</v>
      </c>
      <c r="J3322" s="9" t="s">
        <v>13845</v>
      </c>
      <c r="K3322" s="9" t="s">
        <v>13846</v>
      </c>
      <c r="L3322" s="9" t="s">
        <v>30</v>
      </c>
      <c r="M3322" s="9" t="s">
        <v>31</v>
      </c>
      <c r="N3322" s="9" t="s">
        <v>32</v>
      </c>
      <c r="O3322" s="12" t="s">
        <v>33</v>
      </c>
      <c r="P3322" s="12" t="s">
        <v>34</v>
      </c>
      <c r="Q3322" s="9"/>
      <c r="R3322" s="18"/>
      <c r="S3322" s="18"/>
      <c r="T3322" s="18"/>
      <c r="U3322" s="18"/>
      <c r="V3322" s="18"/>
      <c r="W3322" s="15"/>
      <c r="X3322" s="15"/>
    </row>
    <row r="3323">
      <c r="A3323" s="7">
        <v>3322.0</v>
      </c>
      <c r="B3323" s="8" t="s">
        <v>13847</v>
      </c>
      <c r="C3323" s="9" t="s">
        <v>13848</v>
      </c>
      <c r="D3323" s="10" t="str">
        <f>HYPERLINK("https://facebook.com/367089020688300_536253993771801", "367089020688300_536253993771801")</f>
        <v>367089020688300_536253993771801</v>
      </c>
      <c r="E3323" s="11">
        <v>334.0</v>
      </c>
      <c r="F3323" s="11">
        <v>3.0</v>
      </c>
      <c r="G3323" s="11">
        <v>302.0</v>
      </c>
      <c r="H3323" s="9" t="s">
        <v>26</v>
      </c>
      <c r="I3323" s="9" t="s">
        <v>13849</v>
      </c>
      <c r="J3323" s="16" t="s">
        <v>13850</v>
      </c>
      <c r="K3323" s="9"/>
      <c r="L3323" s="9" t="s">
        <v>30</v>
      </c>
      <c r="M3323" s="9" t="s">
        <v>31</v>
      </c>
      <c r="N3323" s="9" t="s">
        <v>32</v>
      </c>
      <c r="O3323" s="12" t="s">
        <v>33</v>
      </c>
      <c r="P3323" s="12" t="s">
        <v>34</v>
      </c>
      <c r="Q3323" s="9"/>
      <c r="R3323" s="18"/>
      <c r="S3323" s="18"/>
      <c r="T3323" s="18"/>
      <c r="U3323" s="18"/>
      <c r="V3323" s="18"/>
      <c r="W3323" s="15"/>
      <c r="X3323" s="15"/>
    </row>
    <row r="3324">
      <c r="A3324" s="7">
        <v>3323.0</v>
      </c>
      <c r="B3324" s="8" t="s">
        <v>13851</v>
      </c>
      <c r="C3324" s="9" t="s">
        <v>13852</v>
      </c>
      <c r="D3324" s="10" t="str">
        <f>HYPERLINK("https://facebook.com/367089020688300_377571999640002", "367089020688300_377571999640002")</f>
        <v>367089020688300_377571999640002</v>
      </c>
      <c r="E3324" s="11">
        <v>197.0</v>
      </c>
      <c r="F3324" s="11">
        <v>13.0</v>
      </c>
      <c r="G3324" s="11">
        <v>272.0</v>
      </c>
      <c r="H3324" s="9" t="s">
        <v>26</v>
      </c>
      <c r="I3324" s="9" t="s">
        <v>5299</v>
      </c>
      <c r="J3324" s="9" t="s">
        <v>13853</v>
      </c>
      <c r="K3324" s="9" t="s">
        <v>8372</v>
      </c>
      <c r="L3324" s="9" t="s">
        <v>30</v>
      </c>
      <c r="M3324" s="9" t="s">
        <v>31</v>
      </c>
      <c r="N3324" s="9" t="s">
        <v>32</v>
      </c>
      <c r="O3324" s="12" t="s">
        <v>33</v>
      </c>
      <c r="P3324" s="12" t="s">
        <v>34</v>
      </c>
      <c r="Q3324" s="9"/>
      <c r="R3324" s="18"/>
      <c r="S3324" s="18"/>
      <c r="T3324" s="18"/>
      <c r="U3324" s="18"/>
      <c r="V3324" s="18"/>
      <c r="W3324" s="15"/>
      <c r="X3324" s="15"/>
    </row>
    <row r="3325">
      <c r="A3325" s="7">
        <v>3324.0</v>
      </c>
      <c r="B3325" s="8" t="s">
        <v>13854</v>
      </c>
      <c r="C3325" s="9" t="s">
        <v>13855</v>
      </c>
      <c r="D3325" s="10" t="str">
        <f>HYPERLINK("https://facebook.com/367089020688300_559254941471706", "367089020688300_559254941471706")</f>
        <v>367089020688300_559254941471706</v>
      </c>
      <c r="E3325" s="11">
        <v>32.0</v>
      </c>
      <c r="F3325" s="11">
        <v>1.0</v>
      </c>
      <c r="G3325" s="11">
        <v>53.0</v>
      </c>
      <c r="H3325" s="9" t="s">
        <v>26</v>
      </c>
      <c r="I3325" s="9" t="s">
        <v>13856</v>
      </c>
      <c r="J3325" s="9" t="s">
        <v>13857</v>
      </c>
      <c r="K3325" s="9" t="s">
        <v>3003</v>
      </c>
      <c r="L3325" s="9" t="s">
        <v>30</v>
      </c>
      <c r="M3325" s="9" t="s">
        <v>31</v>
      </c>
      <c r="N3325" s="9" t="s">
        <v>32</v>
      </c>
      <c r="O3325" s="12" t="s">
        <v>33</v>
      </c>
      <c r="P3325" s="12" t="s">
        <v>34</v>
      </c>
      <c r="Q3325" s="9"/>
      <c r="R3325" s="18"/>
      <c r="S3325" s="18"/>
      <c r="T3325" s="18"/>
      <c r="U3325" s="18"/>
      <c r="V3325" s="18"/>
      <c r="W3325" s="15"/>
      <c r="X3325" s="15"/>
    </row>
    <row r="3326">
      <c r="A3326" s="7">
        <v>3325.0</v>
      </c>
      <c r="B3326" s="8" t="s">
        <v>13858</v>
      </c>
      <c r="C3326" s="9" t="s">
        <v>13859</v>
      </c>
      <c r="D3326" s="10" t="str">
        <f>HYPERLINK("https://facebook.com/367089020688300_506308780099656", "367089020688300_506308780099656")</f>
        <v>367089020688300_506308780099656</v>
      </c>
      <c r="E3326" s="11">
        <v>47.0</v>
      </c>
      <c r="F3326" s="11">
        <v>0.0</v>
      </c>
      <c r="G3326" s="11">
        <v>154.0</v>
      </c>
      <c r="H3326" s="9" t="s">
        <v>26</v>
      </c>
      <c r="I3326" s="9" t="s">
        <v>6607</v>
      </c>
      <c r="J3326" s="9" t="s">
        <v>6608</v>
      </c>
      <c r="K3326" s="9" t="s">
        <v>13860</v>
      </c>
      <c r="L3326" s="9" t="s">
        <v>30</v>
      </c>
      <c r="M3326" s="9" t="s">
        <v>31</v>
      </c>
      <c r="N3326" s="9" t="s">
        <v>32</v>
      </c>
      <c r="O3326" s="12" t="s">
        <v>33</v>
      </c>
      <c r="P3326" s="12" t="s">
        <v>34</v>
      </c>
      <c r="Q3326" s="9"/>
      <c r="R3326" s="18"/>
      <c r="S3326" s="18"/>
      <c r="T3326" s="18"/>
      <c r="U3326" s="18"/>
      <c r="V3326" s="18"/>
      <c r="W3326" s="15"/>
      <c r="X3326" s="15"/>
    </row>
    <row r="3327">
      <c r="A3327" s="7">
        <v>3326.0</v>
      </c>
      <c r="B3327" s="8" t="s">
        <v>13861</v>
      </c>
      <c r="C3327" s="9" t="s">
        <v>13862</v>
      </c>
      <c r="D3327" s="10" t="str">
        <f>HYPERLINK("https://facebook.com/367089020688300_512886582775209", "367089020688300_512886582775209")</f>
        <v>367089020688300_512886582775209</v>
      </c>
      <c r="E3327" s="11">
        <v>64.0</v>
      </c>
      <c r="F3327" s="11">
        <v>2.0</v>
      </c>
      <c r="G3327" s="11">
        <v>52.0</v>
      </c>
      <c r="H3327" s="9" t="s">
        <v>26</v>
      </c>
      <c r="I3327" s="9" t="s">
        <v>7249</v>
      </c>
      <c r="J3327" s="9" t="s">
        <v>13863</v>
      </c>
      <c r="K3327" s="9" t="s">
        <v>6490</v>
      </c>
      <c r="L3327" s="9" t="s">
        <v>30</v>
      </c>
      <c r="M3327" s="9" t="s">
        <v>31</v>
      </c>
      <c r="N3327" s="9" t="s">
        <v>32</v>
      </c>
      <c r="O3327" s="12" t="s">
        <v>33</v>
      </c>
      <c r="P3327" s="12" t="s">
        <v>34</v>
      </c>
      <c r="Q3327" s="9"/>
      <c r="R3327" s="18"/>
      <c r="S3327" s="18"/>
      <c r="T3327" s="18"/>
      <c r="U3327" s="18"/>
      <c r="V3327" s="18"/>
      <c r="W3327" s="15"/>
      <c r="X3327" s="15"/>
    </row>
    <row r="3328">
      <c r="A3328" s="7">
        <v>3327.0</v>
      </c>
      <c r="B3328" s="8" t="s">
        <v>13864</v>
      </c>
      <c r="C3328" s="9" t="s">
        <v>13865</v>
      </c>
      <c r="D3328" s="10" t="str">
        <f>HYPERLINK("https://facebook.com/367089020688300_556793178384549", "367089020688300_556793178384549")</f>
        <v>367089020688300_556793178384549</v>
      </c>
      <c r="E3328" s="11">
        <v>192.0</v>
      </c>
      <c r="F3328" s="11">
        <v>4.0</v>
      </c>
      <c r="G3328" s="11">
        <v>152.0</v>
      </c>
      <c r="H3328" s="9" t="s">
        <v>26</v>
      </c>
      <c r="I3328" s="9" t="s">
        <v>13866</v>
      </c>
      <c r="J3328" s="16" t="s">
        <v>13867</v>
      </c>
      <c r="K3328" s="9"/>
      <c r="L3328" s="9" t="s">
        <v>30</v>
      </c>
      <c r="M3328" s="9" t="s">
        <v>31</v>
      </c>
      <c r="N3328" s="9" t="s">
        <v>32</v>
      </c>
      <c r="O3328" s="12" t="s">
        <v>33</v>
      </c>
      <c r="P3328" s="12" t="s">
        <v>34</v>
      </c>
      <c r="Q3328" s="9"/>
      <c r="R3328" s="18"/>
      <c r="S3328" s="18"/>
      <c r="T3328" s="18"/>
      <c r="U3328" s="18"/>
      <c r="V3328" s="18"/>
      <c r="W3328" s="15"/>
      <c r="X3328" s="15"/>
    </row>
    <row r="3329">
      <c r="A3329" s="7">
        <v>3328.0</v>
      </c>
      <c r="B3329" s="8" t="s">
        <v>13868</v>
      </c>
      <c r="C3329" s="9" t="s">
        <v>13869</v>
      </c>
      <c r="D3329" s="10" t="str">
        <f>HYPERLINK("https://facebook.com/367089020688300_425352724861929", "367089020688300_425352724861929")</f>
        <v>367089020688300_425352724861929</v>
      </c>
      <c r="E3329" s="11">
        <v>11.0</v>
      </c>
      <c r="F3329" s="11">
        <v>0.0</v>
      </c>
      <c r="G3329" s="11">
        <v>12.0</v>
      </c>
      <c r="H3329" s="9" t="s">
        <v>26</v>
      </c>
      <c r="I3329" s="9" t="s">
        <v>13870</v>
      </c>
      <c r="J3329" s="9" t="s">
        <v>13871</v>
      </c>
      <c r="K3329" s="9" t="s">
        <v>13872</v>
      </c>
      <c r="L3329" s="9" t="s">
        <v>30</v>
      </c>
      <c r="M3329" s="9" t="s">
        <v>31</v>
      </c>
      <c r="N3329" s="9" t="s">
        <v>32</v>
      </c>
      <c r="O3329" s="12" t="s">
        <v>33</v>
      </c>
      <c r="P3329" s="12" t="s">
        <v>34</v>
      </c>
      <c r="Q3329" s="9"/>
      <c r="R3329" s="18"/>
      <c r="S3329" s="18"/>
      <c r="T3329" s="18"/>
      <c r="U3329" s="18"/>
      <c r="V3329" s="18"/>
      <c r="W3329" s="15"/>
      <c r="X3329" s="15"/>
    </row>
    <row r="3330">
      <c r="A3330" s="7">
        <v>3329.0</v>
      </c>
      <c r="B3330" s="8" t="s">
        <v>13873</v>
      </c>
      <c r="C3330" s="9" t="s">
        <v>13874</v>
      </c>
      <c r="D3330" s="10" t="str">
        <f>HYPERLINK("https://facebook.com/367089020688300_519838738746660", "367089020688300_519838738746660")</f>
        <v>367089020688300_519838738746660</v>
      </c>
      <c r="E3330" s="11">
        <v>69.0</v>
      </c>
      <c r="F3330" s="11">
        <v>1.0</v>
      </c>
      <c r="G3330" s="11">
        <v>53.0</v>
      </c>
      <c r="H3330" s="9" t="s">
        <v>26</v>
      </c>
      <c r="I3330" s="9" t="s">
        <v>3956</v>
      </c>
      <c r="J3330" s="9" t="s">
        <v>13875</v>
      </c>
      <c r="K3330" s="9" t="s">
        <v>13876</v>
      </c>
      <c r="L3330" s="9" t="s">
        <v>30</v>
      </c>
      <c r="M3330" s="9" t="s">
        <v>31</v>
      </c>
      <c r="N3330" s="9" t="s">
        <v>32</v>
      </c>
      <c r="O3330" s="12" t="s">
        <v>33</v>
      </c>
      <c r="P3330" s="12" t="s">
        <v>34</v>
      </c>
      <c r="Q3330" s="9"/>
      <c r="R3330" s="18"/>
      <c r="S3330" s="18"/>
      <c r="T3330" s="18"/>
      <c r="U3330" s="18"/>
      <c r="V3330" s="18"/>
      <c r="W3330" s="15"/>
      <c r="X3330" s="15"/>
    </row>
    <row r="3331">
      <c r="A3331" s="7">
        <v>3330.0</v>
      </c>
      <c r="B3331" s="8" t="s">
        <v>13877</v>
      </c>
      <c r="C3331" s="9" t="s">
        <v>13878</v>
      </c>
      <c r="D3331" s="10" t="str">
        <f>HYPERLINK("https://facebook.com/367089020688300_545967616133772", "367089020688300_545967616133772")</f>
        <v>367089020688300_545967616133772</v>
      </c>
      <c r="E3331" s="11">
        <v>224.0</v>
      </c>
      <c r="F3331" s="11">
        <v>6.0</v>
      </c>
      <c r="G3331" s="11">
        <v>244.0</v>
      </c>
      <c r="H3331" s="9" t="s">
        <v>26</v>
      </c>
      <c r="I3331" s="9" t="s">
        <v>13879</v>
      </c>
      <c r="J3331" s="9" t="s">
        <v>13880</v>
      </c>
      <c r="K3331" s="9" t="s">
        <v>13881</v>
      </c>
      <c r="L3331" s="9" t="s">
        <v>30</v>
      </c>
      <c r="M3331" s="9" t="s">
        <v>31</v>
      </c>
      <c r="N3331" s="9" t="s">
        <v>32</v>
      </c>
      <c r="O3331" s="12" t="s">
        <v>33</v>
      </c>
      <c r="P3331" s="12" t="s">
        <v>34</v>
      </c>
      <c r="Q3331" s="9"/>
      <c r="R3331" s="18"/>
      <c r="S3331" s="18"/>
      <c r="T3331" s="18"/>
      <c r="U3331" s="18"/>
      <c r="V3331" s="18"/>
      <c r="W3331" s="15"/>
      <c r="X3331" s="15"/>
    </row>
    <row r="3332">
      <c r="A3332" s="7">
        <v>3331.0</v>
      </c>
      <c r="B3332" s="8" t="s">
        <v>13882</v>
      </c>
      <c r="C3332" s="9" t="s">
        <v>13883</v>
      </c>
      <c r="D3332" s="10" t="str">
        <f>HYPERLINK("https://facebook.com/367089020688300_458868311510370", "367089020688300_458868311510370")</f>
        <v>367089020688300_458868311510370</v>
      </c>
      <c r="E3332" s="11">
        <v>746.0</v>
      </c>
      <c r="F3332" s="11">
        <v>16.0</v>
      </c>
      <c r="G3332" s="11">
        <v>851.0</v>
      </c>
      <c r="H3332" s="9" t="s">
        <v>26</v>
      </c>
      <c r="I3332" s="9" t="s">
        <v>13884</v>
      </c>
      <c r="J3332" s="9" t="s">
        <v>13885</v>
      </c>
      <c r="K3332" s="9" t="s">
        <v>13886</v>
      </c>
      <c r="L3332" s="9" t="s">
        <v>30</v>
      </c>
      <c r="M3332" s="9" t="s">
        <v>31</v>
      </c>
      <c r="N3332" s="9" t="s">
        <v>32</v>
      </c>
      <c r="O3332" s="12" t="s">
        <v>33</v>
      </c>
      <c r="P3332" s="12" t="s">
        <v>34</v>
      </c>
      <c r="Q3332" s="9"/>
      <c r="R3332" s="18"/>
      <c r="S3332" s="18"/>
      <c r="T3332" s="18"/>
      <c r="U3332" s="18"/>
      <c r="V3332" s="18"/>
      <c r="W3332" s="15"/>
      <c r="X3332" s="15"/>
    </row>
    <row r="3333">
      <c r="A3333" s="7">
        <v>3332.0</v>
      </c>
      <c r="B3333" s="8" t="s">
        <v>13887</v>
      </c>
      <c r="C3333" s="9" t="s">
        <v>13888</v>
      </c>
      <c r="D3333" s="10" t="str">
        <f>HYPERLINK("https://facebook.com/367089020688300_561918181205382", "367089020688300_561918181205382")</f>
        <v>367089020688300_561918181205382</v>
      </c>
      <c r="E3333" s="11">
        <v>255.0</v>
      </c>
      <c r="F3333" s="11">
        <v>4.0</v>
      </c>
      <c r="G3333" s="11">
        <v>315.0</v>
      </c>
      <c r="H3333" s="9" t="s">
        <v>26</v>
      </c>
      <c r="I3333" s="9" t="s">
        <v>13889</v>
      </c>
      <c r="J3333" s="9" t="s">
        <v>13890</v>
      </c>
      <c r="K3333" s="9" t="s">
        <v>13891</v>
      </c>
      <c r="L3333" s="9" t="s">
        <v>30</v>
      </c>
      <c r="M3333" s="9" t="s">
        <v>31</v>
      </c>
      <c r="N3333" s="9" t="s">
        <v>32</v>
      </c>
      <c r="O3333" s="12" t="s">
        <v>33</v>
      </c>
      <c r="P3333" s="12" t="s">
        <v>34</v>
      </c>
      <c r="Q3333" s="9"/>
      <c r="R3333" s="18"/>
      <c r="S3333" s="18"/>
      <c r="T3333" s="18"/>
      <c r="U3333" s="18"/>
      <c r="V3333" s="18"/>
      <c r="W3333" s="15"/>
      <c r="X3333" s="15"/>
    </row>
    <row r="3334">
      <c r="A3334" s="7">
        <v>3333.0</v>
      </c>
      <c r="B3334" s="8" t="s">
        <v>13892</v>
      </c>
      <c r="C3334" s="9" t="s">
        <v>13893</v>
      </c>
      <c r="D3334" s="10" t="str">
        <f>HYPERLINK("https://facebook.com/367089020688300_563570174373516", "367089020688300_563570174373516")</f>
        <v>367089020688300_563570174373516</v>
      </c>
      <c r="E3334" s="11">
        <v>6.0</v>
      </c>
      <c r="F3334" s="11">
        <v>0.0</v>
      </c>
      <c r="G3334" s="11">
        <v>4.0</v>
      </c>
      <c r="H3334" s="9" t="s">
        <v>26</v>
      </c>
      <c r="I3334" s="9" t="s">
        <v>2383</v>
      </c>
      <c r="J3334" s="16" t="s">
        <v>13894</v>
      </c>
      <c r="K3334" s="9"/>
      <c r="L3334" s="9" t="s">
        <v>30</v>
      </c>
      <c r="M3334" s="9" t="s">
        <v>31</v>
      </c>
      <c r="N3334" s="9" t="s">
        <v>32</v>
      </c>
      <c r="O3334" s="12" t="s">
        <v>33</v>
      </c>
      <c r="P3334" s="12" t="s">
        <v>34</v>
      </c>
      <c r="Q3334" s="9"/>
      <c r="R3334" s="18"/>
      <c r="S3334" s="18"/>
      <c r="T3334" s="18"/>
      <c r="U3334" s="18"/>
      <c r="V3334" s="18"/>
      <c r="W3334" s="15"/>
      <c r="X3334" s="15"/>
    </row>
    <row r="3335">
      <c r="A3335" s="7">
        <v>3334.0</v>
      </c>
      <c r="B3335" s="8" t="s">
        <v>13895</v>
      </c>
      <c r="C3335" s="9" t="s">
        <v>13896</v>
      </c>
      <c r="D3335" s="10" t="str">
        <f>HYPERLINK("https://facebook.com/367089020688300_538645236866010", "367089020688300_538645236866010")</f>
        <v>367089020688300_538645236866010</v>
      </c>
      <c r="E3335" s="11">
        <v>135.0</v>
      </c>
      <c r="F3335" s="11">
        <v>1.0</v>
      </c>
      <c r="G3335" s="11">
        <v>136.0</v>
      </c>
      <c r="H3335" s="9" t="s">
        <v>26</v>
      </c>
      <c r="I3335" s="9" t="s">
        <v>13897</v>
      </c>
      <c r="J3335" s="9" t="s">
        <v>13898</v>
      </c>
      <c r="K3335" s="9" t="s">
        <v>219</v>
      </c>
      <c r="L3335" s="9" t="s">
        <v>30</v>
      </c>
      <c r="M3335" s="9" t="s">
        <v>31</v>
      </c>
      <c r="N3335" s="9" t="s">
        <v>32</v>
      </c>
      <c r="O3335" s="12" t="s">
        <v>33</v>
      </c>
      <c r="P3335" s="12" t="s">
        <v>34</v>
      </c>
      <c r="Q3335" s="9"/>
      <c r="R3335" s="18"/>
      <c r="S3335" s="18"/>
      <c r="T3335" s="18"/>
      <c r="U3335" s="18"/>
      <c r="V3335" s="18"/>
      <c r="W3335" s="15"/>
      <c r="X3335" s="15"/>
    </row>
    <row r="3336">
      <c r="A3336" s="7">
        <v>3335.0</v>
      </c>
      <c r="B3336" s="8" t="s">
        <v>13899</v>
      </c>
      <c r="C3336" s="9" t="s">
        <v>13900</v>
      </c>
      <c r="D3336" s="10" t="str">
        <f>HYPERLINK("https://facebook.com/367089020688300_549099725820561", "367089020688300_549099725820561")</f>
        <v>367089020688300_549099725820561</v>
      </c>
      <c r="E3336" s="11">
        <v>53.0</v>
      </c>
      <c r="F3336" s="11">
        <v>0.0</v>
      </c>
      <c r="G3336" s="11">
        <v>23.0</v>
      </c>
      <c r="H3336" s="9" t="s">
        <v>26</v>
      </c>
      <c r="I3336" s="9" t="s">
        <v>642</v>
      </c>
      <c r="J3336" s="16" t="s">
        <v>643</v>
      </c>
      <c r="K3336" s="9"/>
      <c r="L3336" s="9" t="s">
        <v>30</v>
      </c>
      <c r="M3336" s="9" t="s">
        <v>31</v>
      </c>
      <c r="N3336" s="9" t="s">
        <v>32</v>
      </c>
      <c r="O3336" s="12" t="s">
        <v>33</v>
      </c>
      <c r="P3336" s="12" t="s">
        <v>34</v>
      </c>
      <c r="Q3336" s="9"/>
      <c r="R3336" s="18"/>
      <c r="S3336" s="18"/>
      <c r="T3336" s="18"/>
      <c r="U3336" s="18"/>
      <c r="V3336" s="18"/>
      <c r="W3336" s="15"/>
      <c r="X3336" s="15"/>
    </row>
    <row r="3337">
      <c r="A3337" s="7">
        <v>3336.0</v>
      </c>
      <c r="B3337" s="8" t="s">
        <v>13901</v>
      </c>
      <c r="C3337" s="9" t="s">
        <v>13902</v>
      </c>
      <c r="D3337" s="10" t="str">
        <f>HYPERLINK("https://facebook.com/367089020688300_450807365649798", "367089020688300_450807365649798")</f>
        <v>367089020688300_450807365649798</v>
      </c>
      <c r="E3337" s="11">
        <v>711.0</v>
      </c>
      <c r="F3337" s="11">
        <v>11.0</v>
      </c>
      <c r="G3337" s="11">
        <v>309.0</v>
      </c>
      <c r="H3337" s="9" t="s">
        <v>26</v>
      </c>
      <c r="I3337" s="9" t="s">
        <v>13903</v>
      </c>
      <c r="J3337" s="9" t="s">
        <v>13904</v>
      </c>
      <c r="K3337" s="9" t="s">
        <v>13905</v>
      </c>
      <c r="L3337" s="9" t="s">
        <v>30</v>
      </c>
      <c r="M3337" s="9" t="s">
        <v>31</v>
      </c>
      <c r="N3337" s="9" t="s">
        <v>32</v>
      </c>
      <c r="O3337" s="12" t="s">
        <v>33</v>
      </c>
      <c r="P3337" s="12" t="s">
        <v>34</v>
      </c>
      <c r="Q3337" s="9"/>
      <c r="R3337" s="18"/>
      <c r="S3337" s="18"/>
      <c r="T3337" s="18"/>
      <c r="U3337" s="18"/>
      <c r="V3337" s="18"/>
      <c r="W3337" s="15"/>
      <c r="X3337" s="15"/>
    </row>
    <row r="3338">
      <c r="A3338" s="7">
        <v>3337.0</v>
      </c>
      <c r="B3338" s="8" t="s">
        <v>13906</v>
      </c>
      <c r="C3338" s="9" t="s">
        <v>13907</v>
      </c>
      <c r="D3338" s="10" t="str">
        <f>HYPERLINK("https://facebook.com/367089020688300_490839204979947", "367089020688300_490839204979947")</f>
        <v>367089020688300_490839204979947</v>
      </c>
      <c r="E3338" s="11">
        <v>226.0</v>
      </c>
      <c r="F3338" s="11">
        <v>1.0</v>
      </c>
      <c r="G3338" s="11">
        <v>203.0</v>
      </c>
      <c r="H3338" s="9" t="s">
        <v>26</v>
      </c>
      <c r="I3338" s="9" t="s">
        <v>13908</v>
      </c>
      <c r="J3338" s="9" t="s">
        <v>13909</v>
      </c>
      <c r="K3338" s="9" t="s">
        <v>104</v>
      </c>
      <c r="L3338" s="9" t="s">
        <v>30</v>
      </c>
      <c r="M3338" s="9" t="s">
        <v>31</v>
      </c>
      <c r="N3338" s="9" t="s">
        <v>32</v>
      </c>
      <c r="O3338" s="12" t="s">
        <v>33</v>
      </c>
      <c r="P3338" s="12" t="s">
        <v>34</v>
      </c>
      <c r="Q3338" s="9"/>
      <c r="R3338" s="18"/>
      <c r="S3338" s="18"/>
      <c r="T3338" s="18"/>
      <c r="U3338" s="18"/>
      <c r="V3338" s="18"/>
      <c r="W3338" s="15"/>
      <c r="X3338" s="15"/>
    </row>
    <row r="3339">
      <c r="A3339" s="7">
        <v>3338.0</v>
      </c>
      <c r="B3339" s="8" t="s">
        <v>13910</v>
      </c>
      <c r="C3339" s="9" t="s">
        <v>13911</v>
      </c>
      <c r="D3339" s="10" t="str">
        <f>HYPERLINK("https://facebook.com/367089020688300_552350825495451", "367089020688300_552350825495451")</f>
        <v>367089020688300_552350825495451</v>
      </c>
      <c r="E3339" s="11">
        <v>541.0</v>
      </c>
      <c r="F3339" s="11">
        <v>19.0</v>
      </c>
      <c r="G3339" s="11">
        <v>483.0</v>
      </c>
      <c r="H3339" s="9" t="s">
        <v>26</v>
      </c>
      <c r="I3339" s="9" t="s">
        <v>975</v>
      </c>
      <c r="J3339" s="9" t="s">
        <v>13912</v>
      </c>
      <c r="K3339" s="9" t="s">
        <v>13913</v>
      </c>
      <c r="L3339" s="9" t="s">
        <v>30</v>
      </c>
      <c r="M3339" s="9" t="s">
        <v>31</v>
      </c>
      <c r="N3339" s="9" t="s">
        <v>32</v>
      </c>
      <c r="O3339" s="12" t="s">
        <v>33</v>
      </c>
      <c r="P3339" s="12" t="s">
        <v>34</v>
      </c>
      <c r="Q3339" s="9"/>
      <c r="R3339" s="18"/>
      <c r="S3339" s="18"/>
      <c r="T3339" s="18"/>
      <c r="U3339" s="18"/>
      <c r="V3339" s="18"/>
      <c r="W3339" s="15"/>
      <c r="X3339" s="15"/>
    </row>
    <row r="3340">
      <c r="A3340" s="7">
        <v>3339.0</v>
      </c>
      <c r="B3340" s="8" t="s">
        <v>13914</v>
      </c>
      <c r="C3340" s="9" t="s">
        <v>13915</v>
      </c>
      <c r="D3340" s="10" t="str">
        <f>HYPERLINK("https://facebook.com/367089020688300_537952776935256", "367089020688300_537952776935256")</f>
        <v>367089020688300_537952776935256</v>
      </c>
      <c r="E3340" s="11">
        <v>23.0</v>
      </c>
      <c r="F3340" s="11">
        <v>0.0</v>
      </c>
      <c r="G3340" s="11">
        <v>11.0</v>
      </c>
      <c r="H3340" s="9" t="s">
        <v>26</v>
      </c>
      <c r="I3340" s="9" t="s">
        <v>13916</v>
      </c>
      <c r="J3340" s="16" t="s">
        <v>13917</v>
      </c>
      <c r="K3340" s="9"/>
      <c r="L3340" s="9" t="s">
        <v>30</v>
      </c>
      <c r="M3340" s="9" t="s">
        <v>31</v>
      </c>
      <c r="N3340" s="9" t="s">
        <v>32</v>
      </c>
      <c r="O3340" s="12" t="s">
        <v>33</v>
      </c>
      <c r="P3340" s="12" t="s">
        <v>34</v>
      </c>
      <c r="Q3340" s="9"/>
      <c r="R3340" s="18"/>
      <c r="S3340" s="18"/>
      <c r="T3340" s="18"/>
      <c r="U3340" s="18"/>
      <c r="V3340" s="18"/>
      <c r="W3340" s="15"/>
      <c r="X3340" s="15"/>
    </row>
    <row r="3341">
      <c r="A3341" s="7">
        <v>3340.0</v>
      </c>
      <c r="B3341" s="8" t="s">
        <v>13918</v>
      </c>
      <c r="C3341" s="9" t="s">
        <v>13919</v>
      </c>
      <c r="D3341" s="10" t="str">
        <f>HYPERLINK("https://facebook.com/367089020688300_505800946817106", "367089020688300_505800946817106")</f>
        <v>367089020688300_505800946817106</v>
      </c>
      <c r="E3341" s="11">
        <v>484.0</v>
      </c>
      <c r="F3341" s="11">
        <v>21.0</v>
      </c>
      <c r="G3341" s="11">
        <v>574.0</v>
      </c>
      <c r="H3341" s="9" t="s">
        <v>26</v>
      </c>
      <c r="I3341" s="9" t="s">
        <v>13920</v>
      </c>
      <c r="J3341" s="9" t="s">
        <v>13921</v>
      </c>
      <c r="K3341" s="9" t="s">
        <v>13922</v>
      </c>
      <c r="L3341" s="9" t="s">
        <v>30</v>
      </c>
      <c r="M3341" s="9" t="s">
        <v>31</v>
      </c>
      <c r="N3341" s="9" t="s">
        <v>32</v>
      </c>
      <c r="O3341" s="12" t="s">
        <v>33</v>
      </c>
      <c r="P3341" s="12" t="s">
        <v>34</v>
      </c>
      <c r="Q3341" s="9"/>
      <c r="R3341" s="18"/>
      <c r="S3341" s="18"/>
      <c r="T3341" s="18"/>
      <c r="U3341" s="18"/>
      <c r="V3341" s="18"/>
      <c r="W3341" s="15"/>
      <c r="X3341" s="15"/>
    </row>
    <row r="3342">
      <c r="A3342" s="7">
        <v>3341.0</v>
      </c>
      <c r="B3342" s="8" t="s">
        <v>13923</v>
      </c>
      <c r="C3342" s="9" t="s">
        <v>13924</v>
      </c>
      <c r="D3342" s="10" t="str">
        <f>HYPERLINK("https://facebook.com/367089020688300_557886364941897", "367089020688300_557886364941897")</f>
        <v>367089020688300_557886364941897</v>
      </c>
      <c r="E3342" s="11">
        <v>60.0</v>
      </c>
      <c r="F3342" s="11">
        <v>0.0</v>
      </c>
      <c r="G3342" s="11">
        <v>24.0</v>
      </c>
      <c r="H3342" s="9" t="s">
        <v>26</v>
      </c>
      <c r="I3342" s="9" t="s">
        <v>1540</v>
      </c>
      <c r="J3342" s="9" t="s">
        <v>10594</v>
      </c>
      <c r="K3342" s="9" t="s">
        <v>9681</v>
      </c>
      <c r="L3342" s="9" t="s">
        <v>30</v>
      </c>
      <c r="M3342" s="9" t="s">
        <v>31</v>
      </c>
      <c r="N3342" s="9" t="s">
        <v>32</v>
      </c>
      <c r="O3342" s="12" t="s">
        <v>33</v>
      </c>
      <c r="P3342" s="12" t="s">
        <v>34</v>
      </c>
      <c r="Q3342" s="9"/>
      <c r="R3342" s="18"/>
      <c r="S3342" s="18"/>
      <c r="T3342" s="18"/>
      <c r="U3342" s="18"/>
      <c r="V3342" s="18"/>
      <c r="W3342" s="15"/>
      <c r="X3342" s="15"/>
    </row>
    <row r="3343">
      <c r="A3343" s="7">
        <v>3342.0</v>
      </c>
      <c r="B3343" s="8" t="s">
        <v>13925</v>
      </c>
      <c r="C3343" s="9" t="s">
        <v>13926</v>
      </c>
      <c r="D3343" s="10" t="str">
        <f>HYPERLINK("https://facebook.com/367089020688300_534651533932047", "367089020688300_534651533932047")</f>
        <v>367089020688300_534651533932047</v>
      </c>
      <c r="E3343" s="11">
        <v>42.0</v>
      </c>
      <c r="F3343" s="11">
        <v>0.0</v>
      </c>
      <c r="G3343" s="11">
        <v>41.0</v>
      </c>
      <c r="H3343" s="9" t="s">
        <v>26</v>
      </c>
      <c r="I3343" s="9" t="s">
        <v>13927</v>
      </c>
      <c r="J3343" s="9" t="s">
        <v>13928</v>
      </c>
      <c r="K3343" s="9" t="s">
        <v>13929</v>
      </c>
      <c r="L3343" s="9" t="s">
        <v>30</v>
      </c>
      <c r="M3343" s="9" t="s">
        <v>31</v>
      </c>
      <c r="N3343" s="9" t="s">
        <v>32</v>
      </c>
      <c r="O3343" s="12" t="s">
        <v>33</v>
      </c>
      <c r="P3343" s="12" t="s">
        <v>34</v>
      </c>
      <c r="Q3343" s="9"/>
      <c r="R3343" s="18"/>
      <c r="S3343" s="18"/>
      <c r="T3343" s="18"/>
      <c r="U3343" s="18"/>
      <c r="V3343" s="18"/>
      <c r="W3343" s="15"/>
      <c r="X3343" s="15"/>
    </row>
    <row r="3344">
      <c r="A3344" s="7">
        <v>3343.0</v>
      </c>
      <c r="B3344" s="8" t="s">
        <v>13930</v>
      </c>
      <c r="C3344" s="9" t="s">
        <v>13931</v>
      </c>
      <c r="D3344" s="10" t="str">
        <f>HYPERLINK("https://facebook.com/367089020688300_507403149990219", "367089020688300_507403149990219")</f>
        <v>367089020688300_507403149990219</v>
      </c>
      <c r="E3344" s="11">
        <v>8.0</v>
      </c>
      <c r="F3344" s="11">
        <v>0.0</v>
      </c>
      <c r="G3344" s="11">
        <v>1.0</v>
      </c>
      <c r="H3344" s="9" t="s">
        <v>26</v>
      </c>
      <c r="I3344" s="9" t="s">
        <v>13932</v>
      </c>
      <c r="J3344" s="9" t="s">
        <v>13933</v>
      </c>
      <c r="K3344" s="9" t="s">
        <v>13934</v>
      </c>
      <c r="L3344" s="9" t="s">
        <v>30</v>
      </c>
      <c r="M3344" s="9" t="s">
        <v>31</v>
      </c>
      <c r="N3344" s="9" t="s">
        <v>32</v>
      </c>
      <c r="O3344" s="12" t="s">
        <v>33</v>
      </c>
      <c r="P3344" s="12" t="s">
        <v>34</v>
      </c>
      <c r="Q3344" s="9"/>
      <c r="R3344" s="18"/>
      <c r="S3344" s="18"/>
      <c r="T3344" s="18"/>
      <c r="U3344" s="18"/>
      <c r="V3344" s="18"/>
      <c r="W3344" s="15"/>
      <c r="X3344" s="15"/>
    </row>
    <row r="3345">
      <c r="A3345" s="7">
        <v>3344.0</v>
      </c>
      <c r="B3345" s="8" t="s">
        <v>13935</v>
      </c>
      <c r="C3345" s="9" t="s">
        <v>13936</v>
      </c>
      <c r="D3345" s="10" t="str">
        <f>HYPERLINK("https://facebook.com/367089020688300_534395283957672", "367089020688300_534395283957672")</f>
        <v>367089020688300_534395283957672</v>
      </c>
      <c r="E3345" s="11">
        <v>2802.0</v>
      </c>
      <c r="F3345" s="11">
        <v>18.0</v>
      </c>
      <c r="G3345" s="11">
        <v>1035.0</v>
      </c>
      <c r="H3345" s="9" t="s">
        <v>26</v>
      </c>
      <c r="I3345" s="9" t="s">
        <v>13937</v>
      </c>
      <c r="J3345" s="9" t="s">
        <v>13938</v>
      </c>
      <c r="K3345" s="9" t="s">
        <v>10230</v>
      </c>
      <c r="L3345" s="9" t="s">
        <v>30</v>
      </c>
      <c r="M3345" s="9" t="s">
        <v>31</v>
      </c>
      <c r="N3345" s="9" t="s">
        <v>32</v>
      </c>
      <c r="O3345" s="12" t="s">
        <v>33</v>
      </c>
      <c r="P3345" s="12" t="s">
        <v>34</v>
      </c>
      <c r="Q3345" s="9"/>
      <c r="R3345" s="18"/>
      <c r="S3345" s="18"/>
      <c r="T3345" s="18"/>
      <c r="U3345" s="18"/>
      <c r="V3345" s="18"/>
      <c r="W3345" s="15"/>
      <c r="X3345" s="15"/>
    </row>
    <row r="3346">
      <c r="A3346" s="7">
        <v>3345.0</v>
      </c>
      <c r="B3346" s="8" t="s">
        <v>13939</v>
      </c>
      <c r="C3346" s="9" t="s">
        <v>13940</v>
      </c>
      <c r="D3346" s="10" t="str">
        <f>HYPERLINK("https://facebook.com/367089020688300_546318866098647", "367089020688300_546318866098647")</f>
        <v>367089020688300_546318866098647</v>
      </c>
      <c r="E3346" s="11">
        <v>6.0</v>
      </c>
      <c r="F3346" s="11">
        <v>0.0</v>
      </c>
      <c r="G3346" s="11">
        <v>3.0</v>
      </c>
      <c r="H3346" s="9" t="s">
        <v>26</v>
      </c>
      <c r="I3346" s="9" t="s">
        <v>13941</v>
      </c>
      <c r="J3346" s="16" t="s">
        <v>13942</v>
      </c>
      <c r="K3346" s="9"/>
      <c r="L3346" s="9" t="s">
        <v>30</v>
      </c>
      <c r="M3346" s="9" t="s">
        <v>31</v>
      </c>
      <c r="N3346" s="9" t="s">
        <v>32</v>
      </c>
      <c r="O3346" s="12" t="s">
        <v>33</v>
      </c>
      <c r="P3346" s="12" t="s">
        <v>34</v>
      </c>
      <c r="Q3346" s="9"/>
      <c r="R3346" s="18"/>
      <c r="S3346" s="18"/>
      <c r="T3346" s="18"/>
      <c r="U3346" s="18"/>
      <c r="V3346" s="18"/>
      <c r="W3346" s="15"/>
      <c r="X3346" s="15"/>
    </row>
    <row r="3347">
      <c r="A3347" s="7">
        <v>3346.0</v>
      </c>
      <c r="B3347" s="8" t="s">
        <v>13943</v>
      </c>
      <c r="C3347" s="9" t="s">
        <v>13944</v>
      </c>
      <c r="D3347" s="10" t="str">
        <f>HYPERLINK("https://facebook.com/367089020688300_536497433747457", "367089020688300_536497433747457")</f>
        <v>367089020688300_536497433747457</v>
      </c>
      <c r="E3347" s="11">
        <v>23.0</v>
      </c>
      <c r="F3347" s="11">
        <v>0.0</v>
      </c>
      <c r="G3347" s="11">
        <v>8.0</v>
      </c>
      <c r="H3347" s="9" t="s">
        <v>26</v>
      </c>
      <c r="I3347" s="9" t="s">
        <v>13945</v>
      </c>
      <c r="J3347" s="16" t="s">
        <v>13946</v>
      </c>
      <c r="K3347" s="9"/>
      <c r="L3347" s="9" t="s">
        <v>30</v>
      </c>
      <c r="M3347" s="9" t="s">
        <v>31</v>
      </c>
      <c r="N3347" s="9" t="s">
        <v>32</v>
      </c>
      <c r="O3347" s="12" t="s">
        <v>33</v>
      </c>
      <c r="P3347" s="12" t="s">
        <v>34</v>
      </c>
      <c r="Q3347" s="9"/>
      <c r="R3347" s="18"/>
      <c r="S3347" s="18"/>
      <c r="T3347" s="18"/>
      <c r="U3347" s="18"/>
      <c r="V3347" s="18"/>
      <c r="W3347" s="15"/>
      <c r="X3347" s="15"/>
    </row>
    <row r="3348">
      <c r="A3348" s="7">
        <v>3347.0</v>
      </c>
      <c r="B3348" s="8" t="s">
        <v>13947</v>
      </c>
      <c r="C3348" s="9" t="s">
        <v>13948</v>
      </c>
      <c r="D3348" s="10" t="str">
        <f>HYPERLINK("https://facebook.com/367089020688300_543703449693522", "367089020688300_543703449693522")</f>
        <v>367089020688300_543703449693522</v>
      </c>
      <c r="E3348" s="11">
        <v>155.0</v>
      </c>
      <c r="F3348" s="11">
        <v>3.0</v>
      </c>
      <c r="G3348" s="11">
        <v>68.0</v>
      </c>
      <c r="H3348" s="9" t="s">
        <v>26</v>
      </c>
      <c r="I3348" s="9" t="s">
        <v>12079</v>
      </c>
      <c r="J3348" s="16" t="s">
        <v>13949</v>
      </c>
      <c r="K3348" s="9"/>
      <c r="L3348" s="9" t="s">
        <v>30</v>
      </c>
      <c r="M3348" s="9" t="s">
        <v>31</v>
      </c>
      <c r="N3348" s="9" t="s">
        <v>32</v>
      </c>
      <c r="O3348" s="12" t="s">
        <v>33</v>
      </c>
      <c r="P3348" s="12" t="s">
        <v>34</v>
      </c>
      <c r="Q3348" s="9"/>
      <c r="R3348" s="18"/>
      <c r="S3348" s="18"/>
      <c r="T3348" s="18"/>
      <c r="U3348" s="18"/>
      <c r="V3348" s="18"/>
      <c r="W3348" s="15"/>
      <c r="X3348" s="15"/>
    </row>
    <row r="3349">
      <c r="A3349" s="7">
        <v>3348.0</v>
      </c>
      <c r="B3349" s="8" t="s">
        <v>13950</v>
      </c>
      <c r="C3349" s="9" t="s">
        <v>13951</v>
      </c>
      <c r="D3349" s="10" t="str">
        <f>HYPERLINK("https://facebook.com/367089020688300_563366727727194", "367089020688300_563366727727194")</f>
        <v>367089020688300_563366727727194</v>
      </c>
      <c r="E3349" s="11">
        <v>2.0</v>
      </c>
      <c r="F3349" s="11">
        <v>0.0</v>
      </c>
      <c r="G3349" s="11">
        <v>16.0</v>
      </c>
      <c r="H3349" s="9" t="s">
        <v>26</v>
      </c>
      <c r="I3349" s="9" t="s">
        <v>3892</v>
      </c>
      <c r="J3349" s="9" t="s">
        <v>3893</v>
      </c>
      <c r="K3349" s="9" t="s">
        <v>789</v>
      </c>
      <c r="L3349" s="9" t="s">
        <v>30</v>
      </c>
      <c r="M3349" s="9" t="s">
        <v>31</v>
      </c>
      <c r="N3349" s="9" t="s">
        <v>32</v>
      </c>
      <c r="O3349" s="12" t="s">
        <v>33</v>
      </c>
      <c r="P3349" s="12" t="s">
        <v>34</v>
      </c>
      <c r="Q3349" s="9"/>
      <c r="R3349" s="18"/>
      <c r="S3349" s="18"/>
      <c r="T3349" s="18"/>
      <c r="U3349" s="18"/>
      <c r="V3349" s="18"/>
      <c r="W3349" s="15"/>
      <c r="X3349" s="15"/>
    </row>
    <row r="3350">
      <c r="A3350" s="7">
        <v>3349.0</v>
      </c>
      <c r="B3350" s="8" t="s">
        <v>13952</v>
      </c>
      <c r="C3350" s="9" t="s">
        <v>13953</v>
      </c>
      <c r="D3350" s="10" t="str">
        <f>HYPERLINK("https://facebook.com/367089020688300_538634596867074", "367089020688300_538634596867074")</f>
        <v>367089020688300_538634596867074</v>
      </c>
      <c r="E3350" s="11">
        <v>179.0</v>
      </c>
      <c r="F3350" s="11">
        <v>0.0</v>
      </c>
      <c r="G3350" s="11">
        <v>162.0</v>
      </c>
      <c r="H3350" s="9" t="s">
        <v>26</v>
      </c>
      <c r="I3350" s="9" t="s">
        <v>13106</v>
      </c>
      <c r="J3350" s="9" t="s">
        <v>13107</v>
      </c>
      <c r="K3350" s="9" t="s">
        <v>11705</v>
      </c>
      <c r="L3350" s="9" t="s">
        <v>30</v>
      </c>
      <c r="M3350" s="9" t="s">
        <v>31</v>
      </c>
      <c r="N3350" s="9" t="s">
        <v>32</v>
      </c>
      <c r="O3350" s="12" t="s">
        <v>33</v>
      </c>
      <c r="P3350" s="12" t="s">
        <v>34</v>
      </c>
      <c r="Q3350" s="9"/>
      <c r="R3350" s="18"/>
      <c r="S3350" s="18"/>
      <c r="T3350" s="18"/>
      <c r="U3350" s="18"/>
      <c r="V3350" s="18"/>
      <c r="W3350" s="15"/>
      <c r="X3350" s="15"/>
    </row>
    <row r="3351">
      <c r="A3351" s="7">
        <v>3350.0</v>
      </c>
      <c r="B3351" s="8" t="s">
        <v>13954</v>
      </c>
      <c r="C3351" s="9" t="s">
        <v>13955</v>
      </c>
      <c r="D3351" s="10" t="str">
        <f>HYPERLINK("https://facebook.com/367089020688300_556807051716495", "367089020688300_556807051716495")</f>
        <v>367089020688300_556807051716495</v>
      </c>
      <c r="E3351" s="11">
        <v>21.0</v>
      </c>
      <c r="F3351" s="11">
        <v>0.0</v>
      </c>
      <c r="G3351" s="11">
        <v>3.0</v>
      </c>
      <c r="H3351" s="9" t="s">
        <v>26</v>
      </c>
      <c r="I3351" s="9" t="s">
        <v>13956</v>
      </c>
      <c r="J3351" s="9" t="s">
        <v>13957</v>
      </c>
      <c r="K3351" s="9" t="s">
        <v>13958</v>
      </c>
      <c r="L3351" s="9" t="s">
        <v>30</v>
      </c>
      <c r="M3351" s="9" t="s">
        <v>31</v>
      </c>
      <c r="N3351" s="9" t="s">
        <v>32</v>
      </c>
      <c r="O3351" s="12" t="s">
        <v>33</v>
      </c>
      <c r="P3351" s="12" t="s">
        <v>34</v>
      </c>
      <c r="Q3351" s="9"/>
      <c r="R3351" s="18"/>
      <c r="S3351" s="18"/>
      <c r="T3351" s="18"/>
      <c r="U3351" s="18"/>
      <c r="V3351" s="18"/>
      <c r="W3351" s="15"/>
      <c r="X3351" s="15"/>
    </row>
    <row r="3352">
      <c r="A3352" s="7">
        <v>3351.0</v>
      </c>
      <c r="B3352" s="8" t="s">
        <v>13959</v>
      </c>
      <c r="C3352" s="9" t="s">
        <v>13960</v>
      </c>
      <c r="D3352" s="10" t="str">
        <f>HYPERLINK("https://facebook.com/367089020688300_461295057934362", "367089020688300_461295057934362")</f>
        <v>367089020688300_461295057934362</v>
      </c>
      <c r="E3352" s="11">
        <v>53.0</v>
      </c>
      <c r="F3352" s="11">
        <v>1.0</v>
      </c>
      <c r="G3352" s="11">
        <v>108.0</v>
      </c>
      <c r="H3352" s="9" t="s">
        <v>26</v>
      </c>
      <c r="I3352" s="9" t="s">
        <v>13961</v>
      </c>
      <c r="J3352" s="9" t="s">
        <v>13962</v>
      </c>
      <c r="K3352" s="9" t="s">
        <v>13963</v>
      </c>
      <c r="L3352" s="9" t="s">
        <v>30</v>
      </c>
      <c r="M3352" s="9" t="s">
        <v>31</v>
      </c>
      <c r="N3352" s="9" t="s">
        <v>32</v>
      </c>
      <c r="O3352" s="12" t="s">
        <v>33</v>
      </c>
      <c r="P3352" s="12" t="s">
        <v>34</v>
      </c>
      <c r="Q3352" s="9"/>
      <c r="R3352" s="18"/>
      <c r="S3352" s="18"/>
      <c r="T3352" s="18"/>
      <c r="U3352" s="18"/>
      <c r="V3352" s="18"/>
      <c r="W3352" s="15"/>
      <c r="X3352" s="15"/>
    </row>
    <row r="3353">
      <c r="A3353" s="7">
        <v>3352.0</v>
      </c>
      <c r="B3353" s="8" t="s">
        <v>13964</v>
      </c>
      <c r="C3353" s="9" t="s">
        <v>13965</v>
      </c>
      <c r="D3353" s="10" t="str">
        <f>HYPERLINK("https://facebook.com/367089020688300_538027570261110", "367089020688300_538027570261110")</f>
        <v>367089020688300_538027570261110</v>
      </c>
      <c r="E3353" s="11">
        <v>9.0</v>
      </c>
      <c r="F3353" s="11">
        <v>0.0</v>
      </c>
      <c r="G3353" s="11">
        <v>6.0</v>
      </c>
      <c r="H3353" s="9" t="s">
        <v>26</v>
      </c>
      <c r="I3353" s="9" t="s">
        <v>1917</v>
      </c>
      <c r="J3353" s="16" t="s">
        <v>13966</v>
      </c>
      <c r="K3353" s="9"/>
      <c r="L3353" s="9" t="s">
        <v>30</v>
      </c>
      <c r="M3353" s="9" t="s">
        <v>31</v>
      </c>
      <c r="N3353" s="9" t="s">
        <v>32</v>
      </c>
      <c r="O3353" s="12" t="s">
        <v>33</v>
      </c>
      <c r="P3353" s="12" t="s">
        <v>34</v>
      </c>
      <c r="Q3353" s="9"/>
      <c r="R3353" s="18"/>
      <c r="S3353" s="18"/>
      <c r="T3353" s="18"/>
      <c r="U3353" s="18"/>
      <c r="V3353" s="18"/>
      <c r="W3353" s="15"/>
      <c r="X3353" s="15"/>
    </row>
    <row r="3354">
      <c r="A3354" s="7">
        <v>3353.0</v>
      </c>
      <c r="B3354" s="8" t="s">
        <v>13967</v>
      </c>
      <c r="C3354" s="9" t="s">
        <v>13968</v>
      </c>
      <c r="D3354" s="10" t="str">
        <f>HYPERLINK("https://facebook.com/367089020688300_558676388196228", "367089020688300_558676388196228")</f>
        <v>367089020688300_558676388196228</v>
      </c>
      <c r="E3354" s="11">
        <v>5408.0</v>
      </c>
      <c r="F3354" s="11">
        <v>106.0</v>
      </c>
      <c r="G3354" s="11">
        <v>1348.0</v>
      </c>
      <c r="H3354" s="9" t="s">
        <v>26</v>
      </c>
      <c r="I3354" s="9" t="s">
        <v>1057</v>
      </c>
      <c r="J3354" s="16" t="s">
        <v>13969</v>
      </c>
      <c r="K3354" s="9"/>
      <c r="L3354" s="9" t="s">
        <v>30</v>
      </c>
      <c r="M3354" s="9" t="s">
        <v>31</v>
      </c>
      <c r="N3354" s="9" t="s">
        <v>32</v>
      </c>
      <c r="O3354" s="12" t="s">
        <v>33</v>
      </c>
      <c r="P3354" s="12" t="s">
        <v>34</v>
      </c>
      <c r="Q3354" s="9"/>
      <c r="R3354" s="18"/>
      <c r="S3354" s="18"/>
      <c r="T3354" s="18"/>
      <c r="U3354" s="18"/>
      <c r="V3354" s="18"/>
      <c r="W3354" s="15"/>
      <c r="X3354" s="15"/>
    </row>
    <row r="3355">
      <c r="A3355" s="7">
        <v>3354.0</v>
      </c>
      <c r="B3355" s="8" t="s">
        <v>13970</v>
      </c>
      <c r="C3355" s="9" t="s">
        <v>13971</v>
      </c>
      <c r="D3355" s="10" t="str">
        <f>HYPERLINK("https://facebook.com/367089020688300_526498761413991", "367089020688300_526498761413991")</f>
        <v>367089020688300_526498761413991</v>
      </c>
      <c r="E3355" s="11">
        <v>252.0</v>
      </c>
      <c r="F3355" s="11">
        <v>3.0</v>
      </c>
      <c r="G3355" s="11">
        <v>141.0</v>
      </c>
      <c r="H3355" s="9" t="s">
        <v>26</v>
      </c>
      <c r="I3355" s="9" t="s">
        <v>5209</v>
      </c>
      <c r="J3355" s="16" t="s">
        <v>13972</v>
      </c>
      <c r="K3355" s="9"/>
      <c r="L3355" s="9" t="s">
        <v>30</v>
      </c>
      <c r="M3355" s="9" t="s">
        <v>31</v>
      </c>
      <c r="N3355" s="9" t="s">
        <v>32</v>
      </c>
      <c r="O3355" s="12" t="s">
        <v>33</v>
      </c>
      <c r="P3355" s="12" t="s">
        <v>34</v>
      </c>
      <c r="Q3355" s="9"/>
      <c r="R3355" s="18"/>
      <c r="S3355" s="18"/>
      <c r="T3355" s="18"/>
      <c r="U3355" s="18"/>
      <c r="V3355" s="18"/>
      <c r="W3355" s="15"/>
      <c r="X3355" s="15"/>
    </row>
    <row r="3356">
      <c r="A3356" s="7">
        <v>3355.0</v>
      </c>
      <c r="B3356" s="8" t="s">
        <v>13973</v>
      </c>
      <c r="C3356" s="9" t="s">
        <v>13974</v>
      </c>
      <c r="D3356" s="10" t="str">
        <f>HYPERLINK("https://facebook.com/367089020688300_548081595922374", "367089020688300_548081595922374")</f>
        <v>367089020688300_548081595922374</v>
      </c>
      <c r="E3356" s="11">
        <v>23.0</v>
      </c>
      <c r="F3356" s="11">
        <v>0.0</v>
      </c>
      <c r="G3356" s="11">
        <v>13.0</v>
      </c>
      <c r="H3356" s="9" t="s">
        <v>26</v>
      </c>
      <c r="I3356" s="9" t="s">
        <v>13975</v>
      </c>
      <c r="J3356" s="9" t="s">
        <v>13976</v>
      </c>
      <c r="K3356" s="9" t="s">
        <v>649</v>
      </c>
      <c r="L3356" s="9" t="s">
        <v>30</v>
      </c>
      <c r="M3356" s="9" t="s">
        <v>31</v>
      </c>
      <c r="N3356" s="9" t="s">
        <v>32</v>
      </c>
      <c r="O3356" s="12" t="s">
        <v>33</v>
      </c>
      <c r="P3356" s="12" t="s">
        <v>34</v>
      </c>
      <c r="Q3356" s="9"/>
      <c r="R3356" s="18"/>
      <c r="S3356" s="18"/>
      <c r="T3356" s="18"/>
      <c r="U3356" s="18"/>
      <c r="V3356" s="18"/>
      <c r="W3356" s="15"/>
      <c r="X3356" s="15"/>
    </row>
    <row r="3357">
      <c r="A3357" s="7">
        <v>3356.0</v>
      </c>
      <c r="B3357" s="8" t="s">
        <v>13977</v>
      </c>
      <c r="C3357" s="9" t="s">
        <v>13978</v>
      </c>
      <c r="D3357" s="10" t="str">
        <f>HYPERLINK("https://facebook.com/367089020688300_540773293319871", "367089020688300_540773293319871")</f>
        <v>367089020688300_540773293319871</v>
      </c>
      <c r="E3357" s="11">
        <v>4242.0</v>
      </c>
      <c r="F3357" s="11">
        <v>144.0</v>
      </c>
      <c r="G3357" s="11">
        <v>1848.0</v>
      </c>
      <c r="H3357" s="9" t="s">
        <v>26</v>
      </c>
      <c r="I3357" s="9" t="s">
        <v>2009</v>
      </c>
      <c r="J3357" s="9" t="s">
        <v>2010</v>
      </c>
      <c r="K3357" s="9" t="s">
        <v>249</v>
      </c>
      <c r="L3357" s="9" t="s">
        <v>30</v>
      </c>
      <c r="M3357" s="9" t="s">
        <v>31</v>
      </c>
      <c r="N3357" s="9" t="s">
        <v>32</v>
      </c>
      <c r="O3357" s="12" t="s">
        <v>33</v>
      </c>
      <c r="P3357" s="12" t="s">
        <v>34</v>
      </c>
      <c r="Q3357" s="9"/>
      <c r="R3357" s="18"/>
      <c r="S3357" s="18"/>
      <c r="T3357" s="18"/>
      <c r="U3357" s="18"/>
      <c r="V3357" s="18"/>
      <c r="W3357" s="15"/>
      <c r="X3357" s="15"/>
    </row>
    <row r="3358">
      <c r="A3358" s="7">
        <v>3357.0</v>
      </c>
      <c r="B3358" s="8" t="s">
        <v>13979</v>
      </c>
      <c r="C3358" s="9" t="s">
        <v>13980</v>
      </c>
      <c r="D3358" s="10" t="str">
        <f>HYPERLINK("https://facebook.com/367089020688300_384245142306021", "367089020688300_384245142306021")</f>
        <v>367089020688300_384245142306021</v>
      </c>
      <c r="E3358" s="11">
        <v>501.0</v>
      </c>
      <c r="F3358" s="11">
        <v>13.0</v>
      </c>
      <c r="G3358" s="11">
        <v>308.0</v>
      </c>
      <c r="H3358" s="9" t="s">
        <v>26</v>
      </c>
      <c r="I3358" s="9" t="s">
        <v>13981</v>
      </c>
      <c r="J3358" s="9" t="s">
        <v>13982</v>
      </c>
      <c r="K3358" s="9" t="s">
        <v>13983</v>
      </c>
      <c r="L3358" s="9" t="s">
        <v>30</v>
      </c>
      <c r="M3358" s="9" t="s">
        <v>31</v>
      </c>
      <c r="N3358" s="9" t="s">
        <v>32</v>
      </c>
      <c r="O3358" s="12" t="s">
        <v>33</v>
      </c>
      <c r="P3358" s="12" t="s">
        <v>34</v>
      </c>
      <c r="Q3358" s="9"/>
      <c r="R3358" s="18"/>
      <c r="S3358" s="18"/>
      <c r="T3358" s="18"/>
      <c r="U3358" s="18"/>
      <c r="V3358" s="18"/>
      <c r="W3358" s="15"/>
      <c r="X3358" s="15"/>
    </row>
    <row r="3359">
      <c r="A3359" s="7">
        <v>3358.0</v>
      </c>
      <c r="B3359" s="8" t="s">
        <v>13984</v>
      </c>
      <c r="C3359" s="9" t="s">
        <v>13985</v>
      </c>
      <c r="D3359" s="10" t="str">
        <f>HYPERLINK("https://facebook.com/367089020688300_539855906744943", "367089020688300_539855906744943")</f>
        <v>367089020688300_539855906744943</v>
      </c>
      <c r="E3359" s="11">
        <v>145.0</v>
      </c>
      <c r="F3359" s="11">
        <v>12.0</v>
      </c>
      <c r="G3359" s="11">
        <v>131.0</v>
      </c>
      <c r="H3359" s="9" t="s">
        <v>26</v>
      </c>
      <c r="I3359" s="9" t="s">
        <v>13986</v>
      </c>
      <c r="J3359" s="9" t="s">
        <v>13987</v>
      </c>
      <c r="K3359" s="9" t="s">
        <v>13988</v>
      </c>
      <c r="L3359" s="9" t="s">
        <v>30</v>
      </c>
      <c r="M3359" s="9" t="s">
        <v>31</v>
      </c>
      <c r="N3359" s="9" t="s">
        <v>32</v>
      </c>
      <c r="O3359" s="12" t="s">
        <v>33</v>
      </c>
      <c r="P3359" s="12" t="s">
        <v>34</v>
      </c>
      <c r="Q3359" s="9"/>
      <c r="R3359" s="18"/>
      <c r="S3359" s="18"/>
      <c r="T3359" s="18"/>
      <c r="U3359" s="18"/>
      <c r="V3359" s="18"/>
      <c r="W3359" s="15"/>
      <c r="X3359" s="15"/>
    </row>
    <row r="3360">
      <c r="A3360" s="7">
        <v>3359.0</v>
      </c>
      <c r="B3360" s="8" t="s">
        <v>13989</v>
      </c>
      <c r="C3360" s="9" t="s">
        <v>13990</v>
      </c>
      <c r="D3360" s="10" t="str">
        <f>HYPERLINK("https://facebook.com/367089020688300_556189961778204", "367089020688300_556189961778204")</f>
        <v>367089020688300_556189961778204</v>
      </c>
      <c r="E3360" s="11">
        <v>13.0</v>
      </c>
      <c r="F3360" s="11">
        <v>0.0</v>
      </c>
      <c r="G3360" s="11">
        <v>1.0</v>
      </c>
      <c r="H3360" s="9" t="s">
        <v>26</v>
      </c>
      <c r="I3360" s="9" t="s">
        <v>11239</v>
      </c>
      <c r="J3360" s="9" t="s">
        <v>11240</v>
      </c>
      <c r="K3360" s="9" t="s">
        <v>13991</v>
      </c>
      <c r="L3360" s="9" t="s">
        <v>30</v>
      </c>
      <c r="M3360" s="9" t="s">
        <v>31</v>
      </c>
      <c r="N3360" s="9" t="s">
        <v>32</v>
      </c>
      <c r="O3360" s="12" t="s">
        <v>33</v>
      </c>
      <c r="P3360" s="12" t="s">
        <v>34</v>
      </c>
      <c r="Q3360" s="9"/>
      <c r="R3360" s="18"/>
      <c r="S3360" s="18"/>
      <c r="T3360" s="18"/>
      <c r="U3360" s="18"/>
      <c r="V3360" s="18"/>
      <c r="W3360" s="15"/>
      <c r="X3360" s="15"/>
    </row>
    <row r="3361">
      <c r="A3361" s="7">
        <v>3360.0</v>
      </c>
      <c r="B3361" s="8" t="s">
        <v>13992</v>
      </c>
      <c r="C3361" s="9" t="s">
        <v>13993</v>
      </c>
      <c r="D3361" s="10" t="str">
        <f>HYPERLINK("https://facebook.com/367089020688300_538356016894932", "367089020688300_538356016894932")</f>
        <v>367089020688300_538356016894932</v>
      </c>
      <c r="E3361" s="11">
        <v>4.0</v>
      </c>
      <c r="F3361" s="11">
        <v>0.0</v>
      </c>
      <c r="G3361" s="11">
        <v>4.0</v>
      </c>
      <c r="H3361" s="9" t="s">
        <v>26</v>
      </c>
      <c r="I3361" s="9" t="s">
        <v>13994</v>
      </c>
      <c r="J3361" s="16" t="s">
        <v>13995</v>
      </c>
      <c r="K3361" s="9"/>
      <c r="L3361" s="9" t="s">
        <v>30</v>
      </c>
      <c r="M3361" s="9" t="s">
        <v>31</v>
      </c>
      <c r="N3361" s="9" t="s">
        <v>32</v>
      </c>
      <c r="O3361" s="12" t="s">
        <v>33</v>
      </c>
      <c r="P3361" s="12" t="s">
        <v>34</v>
      </c>
      <c r="Q3361" s="9"/>
      <c r="R3361" s="18"/>
      <c r="S3361" s="18"/>
      <c r="T3361" s="18"/>
      <c r="U3361" s="18"/>
      <c r="V3361" s="18"/>
      <c r="W3361" s="15"/>
      <c r="X3361" s="15"/>
    </row>
    <row r="3362">
      <c r="A3362" s="7">
        <v>3361.0</v>
      </c>
      <c r="B3362" s="8" t="s">
        <v>13996</v>
      </c>
      <c r="C3362" s="9" t="s">
        <v>13997</v>
      </c>
      <c r="D3362" s="10" t="str">
        <f>HYPERLINK("https://facebook.com/367089020688300_535278727202661", "367089020688300_535278727202661")</f>
        <v>367089020688300_535278727202661</v>
      </c>
      <c r="E3362" s="11">
        <v>29.0</v>
      </c>
      <c r="F3362" s="11">
        <v>0.0</v>
      </c>
      <c r="G3362" s="11">
        <v>32.0</v>
      </c>
      <c r="H3362" s="9" t="s">
        <v>26</v>
      </c>
      <c r="I3362" s="9" t="s">
        <v>12154</v>
      </c>
      <c r="J3362" s="9" t="s">
        <v>13998</v>
      </c>
      <c r="K3362" s="9" t="s">
        <v>214</v>
      </c>
      <c r="L3362" s="9" t="s">
        <v>30</v>
      </c>
      <c r="M3362" s="9" t="s">
        <v>31</v>
      </c>
      <c r="N3362" s="9" t="s">
        <v>32</v>
      </c>
      <c r="O3362" s="12" t="s">
        <v>33</v>
      </c>
      <c r="P3362" s="12" t="s">
        <v>34</v>
      </c>
      <c r="Q3362" s="9"/>
      <c r="R3362" s="18"/>
      <c r="S3362" s="18"/>
      <c r="T3362" s="18"/>
      <c r="U3362" s="18"/>
      <c r="V3362" s="18"/>
      <c r="W3362" s="15"/>
      <c r="X3362" s="15"/>
    </row>
    <row r="3363">
      <c r="A3363" s="7">
        <v>3362.0</v>
      </c>
      <c r="B3363" s="8" t="s">
        <v>13999</v>
      </c>
      <c r="C3363" s="9" t="s">
        <v>14000</v>
      </c>
      <c r="D3363" s="10" t="str">
        <f>HYPERLINK("https://facebook.com/367089020688300_552652545465279", "367089020688300_552652545465279")</f>
        <v>367089020688300_552652545465279</v>
      </c>
      <c r="E3363" s="11">
        <v>30.0</v>
      </c>
      <c r="F3363" s="11">
        <v>0.0</v>
      </c>
      <c r="G3363" s="11">
        <v>38.0</v>
      </c>
      <c r="H3363" s="9" t="s">
        <v>26</v>
      </c>
      <c r="I3363" s="9" t="s">
        <v>14001</v>
      </c>
      <c r="J3363" s="9" t="s">
        <v>14002</v>
      </c>
      <c r="K3363" s="9" t="s">
        <v>14003</v>
      </c>
      <c r="L3363" s="9" t="s">
        <v>30</v>
      </c>
      <c r="M3363" s="9" t="s">
        <v>31</v>
      </c>
      <c r="N3363" s="9" t="s">
        <v>32</v>
      </c>
      <c r="O3363" s="12" t="s">
        <v>33</v>
      </c>
      <c r="P3363" s="12" t="s">
        <v>34</v>
      </c>
      <c r="Q3363" s="9"/>
      <c r="R3363" s="18"/>
      <c r="S3363" s="18"/>
      <c r="T3363" s="18"/>
      <c r="U3363" s="18"/>
      <c r="V3363" s="18"/>
      <c r="W3363" s="15"/>
      <c r="X3363" s="15"/>
    </row>
    <row r="3364">
      <c r="A3364" s="7">
        <v>3363.0</v>
      </c>
      <c r="B3364" s="8" t="s">
        <v>14004</v>
      </c>
      <c r="C3364" s="9" t="s">
        <v>14005</v>
      </c>
      <c r="D3364" s="10" t="str">
        <f>HYPERLINK("https://facebook.com/367089020688300_556944211702779", "367089020688300_556944211702779")</f>
        <v>367089020688300_556944211702779</v>
      </c>
      <c r="E3364" s="11">
        <v>748.0</v>
      </c>
      <c r="F3364" s="11">
        <v>22.0</v>
      </c>
      <c r="G3364" s="11">
        <v>990.0</v>
      </c>
      <c r="H3364" s="9" t="s">
        <v>26</v>
      </c>
      <c r="I3364" s="9" t="s">
        <v>14006</v>
      </c>
      <c r="J3364" s="16" t="s">
        <v>14007</v>
      </c>
      <c r="K3364" s="9"/>
      <c r="L3364" s="9" t="s">
        <v>30</v>
      </c>
      <c r="M3364" s="9" t="s">
        <v>31</v>
      </c>
      <c r="N3364" s="9" t="s">
        <v>32</v>
      </c>
      <c r="O3364" s="12" t="s">
        <v>33</v>
      </c>
      <c r="P3364" s="12" t="s">
        <v>34</v>
      </c>
      <c r="Q3364" s="9"/>
      <c r="R3364" s="18"/>
      <c r="S3364" s="18"/>
      <c r="T3364" s="18"/>
      <c r="U3364" s="18"/>
      <c r="V3364" s="18"/>
      <c r="W3364" s="15"/>
      <c r="X3364" s="15"/>
    </row>
    <row r="3365">
      <c r="A3365" s="7">
        <v>3364.0</v>
      </c>
      <c r="B3365" s="8" t="s">
        <v>14008</v>
      </c>
      <c r="C3365" s="9" t="s">
        <v>14009</v>
      </c>
      <c r="D3365" s="10" t="str">
        <f>HYPERLINK("https://facebook.com/367089020688300_542319756498558", "367089020688300_542319756498558")</f>
        <v>367089020688300_542319756498558</v>
      </c>
      <c r="E3365" s="11">
        <v>437.0</v>
      </c>
      <c r="F3365" s="11">
        <v>6.0</v>
      </c>
      <c r="G3365" s="11">
        <v>370.0</v>
      </c>
      <c r="H3365" s="9" t="s">
        <v>26</v>
      </c>
      <c r="I3365" s="9" t="s">
        <v>9996</v>
      </c>
      <c r="J3365" s="16" t="s">
        <v>9997</v>
      </c>
      <c r="K3365" s="9"/>
      <c r="L3365" s="9" t="s">
        <v>30</v>
      </c>
      <c r="M3365" s="9" t="s">
        <v>31</v>
      </c>
      <c r="N3365" s="9" t="s">
        <v>32</v>
      </c>
      <c r="O3365" s="12" t="s">
        <v>33</v>
      </c>
      <c r="P3365" s="12" t="s">
        <v>34</v>
      </c>
      <c r="Q3365" s="9"/>
      <c r="R3365" s="18"/>
      <c r="S3365" s="18"/>
      <c r="T3365" s="18"/>
      <c r="U3365" s="18"/>
      <c r="V3365" s="18"/>
      <c r="W3365" s="15"/>
      <c r="X3365" s="15"/>
    </row>
    <row r="3366">
      <c r="A3366" s="7">
        <v>3365.0</v>
      </c>
      <c r="B3366" s="8" t="s">
        <v>14010</v>
      </c>
      <c r="C3366" s="9" t="s">
        <v>14011</v>
      </c>
      <c r="D3366" s="10" t="str">
        <f>HYPERLINK("https://facebook.com/367089020688300_522610531802814", "367089020688300_522610531802814")</f>
        <v>367089020688300_522610531802814</v>
      </c>
      <c r="E3366" s="11">
        <v>324.0</v>
      </c>
      <c r="F3366" s="11">
        <v>4.0</v>
      </c>
      <c r="G3366" s="11">
        <v>87.0</v>
      </c>
      <c r="H3366" s="9" t="s">
        <v>26</v>
      </c>
      <c r="I3366" s="9" t="s">
        <v>14012</v>
      </c>
      <c r="J3366" s="9" t="s">
        <v>14013</v>
      </c>
      <c r="K3366" s="9" t="s">
        <v>14014</v>
      </c>
      <c r="L3366" s="9" t="s">
        <v>30</v>
      </c>
      <c r="M3366" s="9" t="s">
        <v>31</v>
      </c>
      <c r="N3366" s="9" t="s">
        <v>32</v>
      </c>
      <c r="O3366" s="12" t="s">
        <v>33</v>
      </c>
      <c r="P3366" s="12" t="s">
        <v>34</v>
      </c>
      <c r="Q3366" s="9"/>
      <c r="R3366" s="18"/>
      <c r="S3366" s="18"/>
      <c r="T3366" s="18"/>
      <c r="U3366" s="18"/>
      <c r="V3366" s="18"/>
      <c r="W3366" s="15"/>
      <c r="X3366" s="15"/>
    </row>
    <row r="3367">
      <c r="A3367" s="7">
        <v>3366.0</v>
      </c>
      <c r="B3367" s="8" t="s">
        <v>14015</v>
      </c>
      <c r="C3367" s="9" t="s">
        <v>14016</v>
      </c>
      <c r="D3367" s="10" t="str">
        <f>HYPERLINK("https://facebook.com/367089020688300_427507544646447", "367089020688300_427507544646447")</f>
        <v>367089020688300_427507544646447</v>
      </c>
      <c r="E3367" s="11">
        <v>612.0</v>
      </c>
      <c r="F3367" s="11">
        <v>21.0</v>
      </c>
      <c r="G3367" s="11">
        <v>565.0</v>
      </c>
      <c r="H3367" s="9" t="s">
        <v>26</v>
      </c>
      <c r="I3367" s="9" t="s">
        <v>7305</v>
      </c>
      <c r="J3367" s="9" t="s">
        <v>14017</v>
      </c>
      <c r="K3367" s="9" t="s">
        <v>1355</v>
      </c>
      <c r="L3367" s="9" t="s">
        <v>30</v>
      </c>
      <c r="M3367" s="9" t="s">
        <v>31</v>
      </c>
      <c r="N3367" s="9" t="s">
        <v>32</v>
      </c>
      <c r="O3367" s="12" t="s">
        <v>33</v>
      </c>
      <c r="P3367" s="12" t="s">
        <v>34</v>
      </c>
      <c r="Q3367" s="9"/>
      <c r="R3367" s="18"/>
      <c r="S3367" s="18"/>
      <c r="T3367" s="18"/>
      <c r="U3367" s="18"/>
      <c r="V3367" s="18"/>
      <c r="W3367" s="15"/>
      <c r="X3367" s="15"/>
    </row>
    <row r="3368">
      <c r="A3368" s="7">
        <v>3367.0</v>
      </c>
      <c r="B3368" s="8" t="s">
        <v>14018</v>
      </c>
      <c r="C3368" s="9" t="s">
        <v>14019</v>
      </c>
      <c r="D3368" s="10" t="str">
        <f>HYPERLINK("https://facebook.com/367089020688300_527608574636343", "367089020688300_527608574636343")</f>
        <v>367089020688300_527608574636343</v>
      </c>
      <c r="E3368" s="11">
        <v>333.0</v>
      </c>
      <c r="F3368" s="11">
        <v>14.0</v>
      </c>
      <c r="G3368" s="11">
        <v>281.0</v>
      </c>
      <c r="H3368" s="9" t="s">
        <v>26</v>
      </c>
      <c r="I3368" s="9" t="s">
        <v>4410</v>
      </c>
      <c r="J3368" s="16" t="s">
        <v>14020</v>
      </c>
      <c r="K3368" s="9"/>
      <c r="L3368" s="9" t="s">
        <v>30</v>
      </c>
      <c r="M3368" s="9" t="s">
        <v>31</v>
      </c>
      <c r="N3368" s="9" t="s">
        <v>32</v>
      </c>
      <c r="O3368" s="12" t="s">
        <v>33</v>
      </c>
      <c r="P3368" s="12" t="s">
        <v>34</v>
      </c>
      <c r="Q3368" s="9"/>
      <c r="R3368" s="18"/>
      <c r="S3368" s="18"/>
      <c r="T3368" s="18"/>
      <c r="U3368" s="18"/>
      <c r="V3368" s="18"/>
      <c r="W3368" s="15"/>
      <c r="X3368" s="15"/>
    </row>
    <row r="3369">
      <c r="A3369" s="7">
        <v>3368.0</v>
      </c>
      <c r="B3369" s="8" t="s">
        <v>14021</v>
      </c>
      <c r="C3369" s="9" t="s">
        <v>14022</v>
      </c>
      <c r="D3369" s="10" t="str">
        <f>HYPERLINK("https://facebook.com/367089020688300_548578655872668", "367089020688300_548578655872668")</f>
        <v>367089020688300_548578655872668</v>
      </c>
      <c r="E3369" s="11">
        <v>17.0</v>
      </c>
      <c r="F3369" s="11">
        <v>0.0</v>
      </c>
      <c r="G3369" s="11">
        <v>4.0</v>
      </c>
      <c r="H3369" s="9" t="s">
        <v>26</v>
      </c>
      <c r="I3369" s="9" t="s">
        <v>14023</v>
      </c>
      <c r="J3369" s="9" t="s">
        <v>14024</v>
      </c>
      <c r="K3369" s="9" t="s">
        <v>249</v>
      </c>
      <c r="L3369" s="9" t="s">
        <v>30</v>
      </c>
      <c r="M3369" s="9" t="s">
        <v>31</v>
      </c>
      <c r="N3369" s="9" t="s">
        <v>32</v>
      </c>
      <c r="O3369" s="12" t="s">
        <v>33</v>
      </c>
      <c r="P3369" s="12" t="s">
        <v>34</v>
      </c>
      <c r="Q3369" s="9"/>
      <c r="R3369" s="18"/>
      <c r="S3369" s="18"/>
      <c r="T3369" s="18"/>
      <c r="U3369" s="18"/>
      <c r="V3369" s="18"/>
      <c r="W3369" s="15"/>
      <c r="X3369" s="15"/>
    </row>
    <row r="3370">
      <c r="A3370" s="7">
        <v>3369.0</v>
      </c>
      <c r="B3370" s="8" t="s">
        <v>14025</v>
      </c>
      <c r="C3370" s="9" t="s">
        <v>14026</v>
      </c>
      <c r="D3370" s="10" t="str">
        <f>HYPERLINK("https://facebook.com/367089020688300_528486941215173", "367089020688300_528486941215173")</f>
        <v>367089020688300_528486941215173</v>
      </c>
      <c r="E3370" s="11">
        <v>155.0</v>
      </c>
      <c r="F3370" s="11">
        <v>13.0</v>
      </c>
      <c r="G3370" s="11">
        <v>213.0</v>
      </c>
      <c r="H3370" s="9" t="s">
        <v>26</v>
      </c>
      <c r="I3370" s="9" t="s">
        <v>14027</v>
      </c>
      <c r="J3370" s="16" t="s">
        <v>14028</v>
      </c>
      <c r="K3370" s="9"/>
      <c r="L3370" s="9" t="s">
        <v>30</v>
      </c>
      <c r="M3370" s="9" t="s">
        <v>31</v>
      </c>
      <c r="N3370" s="9" t="s">
        <v>32</v>
      </c>
      <c r="O3370" s="12" t="s">
        <v>33</v>
      </c>
      <c r="P3370" s="12" t="s">
        <v>34</v>
      </c>
      <c r="Q3370" s="9"/>
      <c r="R3370" s="18"/>
      <c r="S3370" s="18"/>
      <c r="T3370" s="18"/>
      <c r="U3370" s="18"/>
      <c r="V3370" s="18"/>
      <c r="W3370" s="15"/>
      <c r="X3370" s="15"/>
    </row>
    <row r="3371">
      <c r="A3371" s="7">
        <v>3370.0</v>
      </c>
      <c r="B3371" s="8" t="s">
        <v>14029</v>
      </c>
      <c r="C3371" s="9" t="s">
        <v>14030</v>
      </c>
      <c r="D3371" s="10" t="str">
        <f>HYPERLINK("https://facebook.com/367089020688300_546555432741657", "367089020688300_546555432741657")</f>
        <v>367089020688300_546555432741657</v>
      </c>
      <c r="E3371" s="11">
        <v>655.0</v>
      </c>
      <c r="F3371" s="11">
        <v>32.0</v>
      </c>
      <c r="G3371" s="11">
        <v>186.0</v>
      </c>
      <c r="H3371" s="9" t="s">
        <v>26</v>
      </c>
      <c r="I3371" s="9" t="s">
        <v>13251</v>
      </c>
      <c r="J3371" s="16" t="s">
        <v>14031</v>
      </c>
      <c r="K3371" s="9"/>
      <c r="L3371" s="9" t="s">
        <v>30</v>
      </c>
      <c r="M3371" s="9" t="s">
        <v>31</v>
      </c>
      <c r="N3371" s="9" t="s">
        <v>32</v>
      </c>
      <c r="O3371" s="12" t="s">
        <v>33</v>
      </c>
      <c r="P3371" s="12" t="s">
        <v>34</v>
      </c>
      <c r="Q3371" s="9"/>
      <c r="R3371" s="18"/>
      <c r="S3371" s="18"/>
      <c r="T3371" s="18"/>
      <c r="U3371" s="18"/>
      <c r="V3371" s="18"/>
      <c r="W3371" s="15"/>
      <c r="X3371" s="15"/>
    </row>
    <row r="3372">
      <c r="A3372" s="7">
        <v>3371.0</v>
      </c>
      <c r="B3372" s="8" t="s">
        <v>14032</v>
      </c>
      <c r="C3372" s="9" t="s">
        <v>14033</v>
      </c>
      <c r="D3372" s="10" t="str">
        <f>HYPERLINK("https://facebook.com/367089020688300_454481611949040", "367089020688300_454481611949040")</f>
        <v>367089020688300_454481611949040</v>
      </c>
      <c r="E3372" s="11">
        <v>967.0</v>
      </c>
      <c r="F3372" s="11">
        <v>35.0</v>
      </c>
      <c r="G3372" s="11">
        <v>1220.0</v>
      </c>
      <c r="H3372" s="9" t="s">
        <v>26</v>
      </c>
      <c r="I3372" s="9" t="s">
        <v>14034</v>
      </c>
      <c r="J3372" s="9" t="s">
        <v>14035</v>
      </c>
      <c r="K3372" s="9" t="s">
        <v>14036</v>
      </c>
      <c r="L3372" s="9" t="s">
        <v>30</v>
      </c>
      <c r="M3372" s="9" t="s">
        <v>31</v>
      </c>
      <c r="N3372" s="9" t="s">
        <v>32</v>
      </c>
      <c r="O3372" s="12" t="s">
        <v>33</v>
      </c>
      <c r="P3372" s="12" t="s">
        <v>34</v>
      </c>
      <c r="Q3372" s="9"/>
      <c r="R3372" s="18"/>
      <c r="S3372" s="18"/>
      <c r="T3372" s="18"/>
      <c r="U3372" s="18"/>
      <c r="V3372" s="18"/>
      <c r="W3372" s="15"/>
      <c r="X3372" s="15"/>
    </row>
    <row r="3373">
      <c r="A3373" s="7">
        <v>3372.0</v>
      </c>
      <c r="B3373" s="8" t="s">
        <v>14037</v>
      </c>
      <c r="C3373" s="9" t="s">
        <v>14038</v>
      </c>
      <c r="D3373" s="10" t="str">
        <f>HYPERLINK("https://facebook.com/367089020688300_501904797206721", "367089020688300_501904797206721")</f>
        <v>367089020688300_501904797206721</v>
      </c>
      <c r="E3373" s="11">
        <v>147.0</v>
      </c>
      <c r="F3373" s="11">
        <v>2.0</v>
      </c>
      <c r="G3373" s="11">
        <v>61.0</v>
      </c>
      <c r="H3373" s="9" t="s">
        <v>26</v>
      </c>
      <c r="I3373" s="9" t="s">
        <v>14039</v>
      </c>
      <c r="J3373" s="9" t="s">
        <v>14040</v>
      </c>
      <c r="K3373" s="9" t="s">
        <v>14041</v>
      </c>
      <c r="L3373" s="9" t="s">
        <v>30</v>
      </c>
      <c r="M3373" s="9" t="s">
        <v>31</v>
      </c>
      <c r="N3373" s="9" t="s">
        <v>32</v>
      </c>
      <c r="O3373" s="12" t="s">
        <v>33</v>
      </c>
      <c r="P3373" s="12" t="s">
        <v>34</v>
      </c>
      <c r="Q3373" s="9"/>
      <c r="R3373" s="18"/>
      <c r="S3373" s="18"/>
      <c r="T3373" s="18"/>
      <c r="U3373" s="18"/>
      <c r="V3373" s="18"/>
      <c r="W3373" s="15"/>
      <c r="X3373" s="15"/>
    </row>
    <row r="3374">
      <c r="A3374" s="7">
        <v>3373.0</v>
      </c>
      <c r="B3374" s="8" t="s">
        <v>14042</v>
      </c>
      <c r="C3374" s="9" t="s">
        <v>14043</v>
      </c>
      <c r="D3374" s="10" t="str">
        <f>HYPERLINK("https://facebook.com/367089020688300_541880586542475", "367089020688300_541880586542475")</f>
        <v>367089020688300_541880586542475</v>
      </c>
      <c r="E3374" s="11">
        <v>103.0</v>
      </c>
      <c r="F3374" s="11">
        <v>0.0</v>
      </c>
      <c r="G3374" s="11">
        <v>41.0</v>
      </c>
      <c r="H3374" s="9" t="s">
        <v>26</v>
      </c>
      <c r="I3374" s="9" t="s">
        <v>1244</v>
      </c>
      <c r="J3374" s="9" t="s">
        <v>1245</v>
      </c>
      <c r="K3374" s="9" t="s">
        <v>14044</v>
      </c>
      <c r="L3374" s="9" t="s">
        <v>30</v>
      </c>
      <c r="M3374" s="9" t="s">
        <v>31</v>
      </c>
      <c r="N3374" s="9" t="s">
        <v>32</v>
      </c>
      <c r="O3374" s="12" t="s">
        <v>33</v>
      </c>
      <c r="P3374" s="12" t="s">
        <v>34</v>
      </c>
      <c r="Q3374" s="9"/>
      <c r="R3374" s="18"/>
      <c r="S3374" s="18"/>
      <c r="T3374" s="18"/>
      <c r="U3374" s="18"/>
      <c r="V3374" s="18"/>
      <c r="W3374" s="15"/>
      <c r="X3374" s="15"/>
    </row>
    <row r="3375">
      <c r="A3375" s="7">
        <v>3374.0</v>
      </c>
      <c r="B3375" s="8" t="s">
        <v>14045</v>
      </c>
      <c r="C3375" s="9" t="s">
        <v>14046</v>
      </c>
      <c r="D3375" s="10" t="str">
        <f>HYPERLINK("https://facebook.com/367089020688300_531020460961821", "367089020688300_531020460961821")</f>
        <v>367089020688300_531020460961821</v>
      </c>
      <c r="E3375" s="11">
        <v>82.0</v>
      </c>
      <c r="F3375" s="11">
        <v>1.0</v>
      </c>
      <c r="G3375" s="11">
        <v>191.0</v>
      </c>
      <c r="H3375" s="9" t="s">
        <v>26</v>
      </c>
      <c r="I3375" s="9" t="s">
        <v>14047</v>
      </c>
      <c r="J3375" s="16" t="s">
        <v>14048</v>
      </c>
      <c r="K3375" s="9"/>
      <c r="L3375" s="9" t="s">
        <v>30</v>
      </c>
      <c r="M3375" s="9" t="s">
        <v>31</v>
      </c>
      <c r="N3375" s="9" t="s">
        <v>32</v>
      </c>
      <c r="O3375" s="12" t="s">
        <v>33</v>
      </c>
      <c r="P3375" s="12" t="s">
        <v>34</v>
      </c>
      <c r="Q3375" s="9"/>
      <c r="R3375" s="18"/>
      <c r="S3375" s="18"/>
      <c r="T3375" s="18"/>
      <c r="U3375" s="18"/>
      <c r="V3375" s="18"/>
      <c r="W3375" s="15"/>
      <c r="X3375" s="15"/>
    </row>
    <row r="3376">
      <c r="A3376" s="7">
        <v>3375.0</v>
      </c>
      <c r="B3376" s="8" t="s">
        <v>14049</v>
      </c>
      <c r="C3376" s="9" t="s">
        <v>14050</v>
      </c>
      <c r="D3376" s="10" t="str">
        <f>HYPERLINK("https://facebook.com/367089020688300_448959539167914", "367089020688300_448959539167914")</f>
        <v>367089020688300_448959539167914</v>
      </c>
      <c r="E3376" s="11">
        <v>199.0</v>
      </c>
      <c r="F3376" s="11">
        <v>3.0</v>
      </c>
      <c r="G3376" s="11">
        <v>344.0</v>
      </c>
      <c r="H3376" s="9" t="s">
        <v>26</v>
      </c>
      <c r="I3376" s="9" t="s">
        <v>14051</v>
      </c>
      <c r="J3376" s="9" t="s">
        <v>14052</v>
      </c>
      <c r="K3376" s="9" t="s">
        <v>14053</v>
      </c>
      <c r="L3376" s="9" t="s">
        <v>30</v>
      </c>
      <c r="M3376" s="9" t="s">
        <v>31</v>
      </c>
      <c r="N3376" s="9" t="s">
        <v>32</v>
      </c>
      <c r="O3376" s="12" t="s">
        <v>33</v>
      </c>
      <c r="P3376" s="12" t="s">
        <v>34</v>
      </c>
      <c r="Q3376" s="9"/>
      <c r="R3376" s="18"/>
      <c r="S3376" s="18"/>
      <c r="T3376" s="18"/>
      <c r="U3376" s="18"/>
      <c r="V3376" s="18"/>
      <c r="W3376" s="15"/>
      <c r="X3376" s="15"/>
    </row>
    <row r="3377">
      <c r="A3377" s="7">
        <v>3376.0</v>
      </c>
      <c r="B3377" s="8" t="s">
        <v>14054</v>
      </c>
      <c r="C3377" s="9" t="s">
        <v>14055</v>
      </c>
      <c r="D3377" s="10" t="str">
        <f>HYPERLINK("https://facebook.com/367089020688300_451820008881867", "367089020688300_451820008881867")</f>
        <v>367089020688300_451820008881867</v>
      </c>
      <c r="E3377" s="11">
        <v>118.0</v>
      </c>
      <c r="F3377" s="11">
        <v>8.0</v>
      </c>
      <c r="G3377" s="11">
        <v>171.0</v>
      </c>
      <c r="H3377" s="9" t="s">
        <v>26</v>
      </c>
      <c r="I3377" s="9" t="s">
        <v>14056</v>
      </c>
      <c r="J3377" s="9" t="s">
        <v>14057</v>
      </c>
      <c r="K3377" s="9" t="s">
        <v>14058</v>
      </c>
      <c r="L3377" s="9" t="s">
        <v>30</v>
      </c>
      <c r="M3377" s="9" t="s">
        <v>31</v>
      </c>
      <c r="N3377" s="9" t="s">
        <v>32</v>
      </c>
      <c r="O3377" s="12" t="s">
        <v>33</v>
      </c>
      <c r="P3377" s="12" t="s">
        <v>34</v>
      </c>
      <c r="Q3377" s="9"/>
      <c r="R3377" s="18"/>
      <c r="S3377" s="18"/>
      <c r="T3377" s="18"/>
      <c r="U3377" s="18"/>
      <c r="V3377" s="18"/>
      <c r="W3377" s="15"/>
      <c r="X3377" s="15"/>
    </row>
    <row r="3378">
      <c r="A3378" s="7">
        <v>3377.0</v>
      </c>
      <c r="B3378" s="8" t="s">
        <v>14059</v>
      </c>
      <c r="C3378" s="9" t="s">
        <v>14060</v>
      </c>
      <c r="D3378" s="10" t="str">
        <f>HYPERLINK("https://facebook.com/367089020688300_552255358838331", "367089020688300_552255358838331")</f>
        <v>367089020688300_552255358838331</v>
      </c>
      <c r="E3378" s="11">
        <v>87.0</v>
      </c>
      <c r="F3378" s="11">
        <v>0.0</v>
      </c>
      <c r="G3378" s="11">
        <v>26.0</v>
      </c>
      <c r="H3378" s="9" t="s">
        <v>26</v>
      </c>
      <c r="I3378" s="9" t="s">
        <v>4058</v>
      </c>
      <c r="J3378" s="16" t="s">
        <v>4059</v>
      </c>
      <c r="K3378" s="9"/>
      <c r="L3378" s="9" t="s">
        <v>30</v>
      </c>
      <c r="M3378" s="9" t="s">
        <v>31</v>
      </c>
      <c r="N3378" s="9" t="s">
        <v>32</v>
      </c>
      <c r="O3378" s="12" t="s">
        <v>33</v>
      </c>
      <c r="P3378" s="12" t="s">
        <v>34</v>
      </c>
      <c r="Q3378" s="9"/>
      <c r="R3378" s="18"/>
      <c r="S3378" s="18"/>
      <c r="T3378" s="18"/>
      <c r="U3378" s="18"/>
      <c r="V3378" s="18"/>
      <c r="W3378" s="15"/>
      <c r="X3378" s="15"/>
    </row>
    <row r="3379">
      <c r="A3379" s="7">
        <v>3378.0</v>
      </c>
      <c r="B3379" s="8" t="s">
        <v>14061</v>
      </c>
      <c r="C3379" s="9" t="s">
        <v>14062</v>
      </c>
      <c r="D3379" s="10" t="str">
        <f>HYPERLINK("https://facebook.com/367089020688300_552499935480540", "367089020688300_552499935480540")</f>
        <v>367089020688300_552499935480540</v>
      </c>
      <c r="E3379" s="11">
        <v>11.0</v>
      </c>
      <c r="F3379" s="11">
        <v>0.0</v>
      </c>
      <c r="G3379" s="11">
        <v>12.0</v>
      </c>
      <c r="H3379" s="9" t="s">
        <v>26</v>
      </c>
      <c r="I3379" s="9" t="s">
        <v>10214</v>
      </c>
      <c r="J3379" s="9" t="s">
        <v>10215</v>
      </c>
      <c r="K3379" s="9" t="s">
        <v>1286</v>
      </c>
      <c r="L3379" s="9" t="s">
        <v>30</v>
      </c>
      <c r="M3379" s="9" t="s">
        <v>31</v>
      </c>
      <c r="N3379" s="9" t="s">
        <v>32</v>
      </c>
      <c r="O3379" s="12" t="s">
        <v>33</v>
      </c>
      <c r="P3379" s="12" t="s">
        <v>34</v>
      </c>
      <c r="Q3379" s="9"/>
      <c r="R3379" s="18"/>
      <c r="S3379" s="18"/>
      <c r="T3379" s="18"/>
      <c r="U3379" s="18"/>
      <c r="V3379" s="18"/>
      <c r="W3379" s="15"/>
      <c r="X3379" s="15"/>
    </row>
    <row r="3380">
      <c r="A3380" s="7">
        <v>3379.0</v>
      </c>
      <c r="B3380" s="8" t="s">
        <v>14063</v>
      </c>
      <c r="C3380" s="9" t="s">
        <v>14064</v>
      </c>
      <c r="D3380" s="10" t="str">
        <f>HYPERLINK("https://facebook.com/367089020688300_503988566998344", "367089020688300_503988566998344")</f>
        <v>367089020688300_503988566998344</v>
      </c>
      <c r="E3380" s="11">
        <v>623.0</v>
      </c>
      <c r="F3380" s="11">
        <v>33.0</v>
      </c>
      <c r="G3380" s="11">
        <v>567.0</v>
      </c>
      <c r="H3380" s="9" t="s">
        <v>26</v>
      </c>
      <c r="I3380" s="9" t="s">
        <v>159</v>
      </c>
      <c r="J3380" s="9" t="s">
        <v>160</v>
      </c>
      <c r="K3380" s="9" t="s">
        <v>14065</v>
      </c>
      <c r="L3380" s="9" t="s">
        <v>30</v>
      </c>
      <c r="M3380" s="9" t="s">
        <v>31</v>
      </c>
      <c r="N3380" s="9" t="s">
        <v>32</v>
      </c>
      <c r="O3380" s="12" t="s">
        <v>33</v>
      </c>
      <c r="P3380" s="12" t="s">
        <v>34</v>
      </c>
      <c r="Q3380" s="9"/>
      <c r="R3380" s="18"/>
      <c r="S3380" s="18"/>
      <c r="T3380" s="18"/>
      <c r="U3380" s="18"/>
      <c r="V3380" s="18"/>
      <c r="W3380" s="15"/>
      <c r="X3380" s="15"/>
    </row>
    <row r="3381">
      <c r="A3381" s="7">
        <v>3380.0</v>
      </c>
      <c r="B3381" s="8" t="s">
        <v>14066</v>
      </c>
      <c r="C3381" s="9" t="s">
        <v>14067</v>
      </c>
      <c r="D3381" s="10" t="str">
        <f>HYPERLINK("https://facebook.com/367089020688300_563054154425118", "367089020688300_563054154425118")</f>
        <v>367089020688300_563054154425118</v>
      </c>
      <c r="E3381" s="11">
        <v>393.0</v>
      </c>
      <c r="F3381" s="11">
        <v>24.0</v>
      </c>
      <c r="G3381" s="11">
        <v>145.0</v>
      </c>
      <c r="H3381" s="9" t="s">
        <v>26</v>
      </c>
      <c r="I3381" s="9" t="s">
        <v>1764</v>
      </c>
      <c r="J3381" s="16" t="s">
        <v>1765</v>
      </c>
      <c r="K3381" s="9"/>
      <c r="L3381" s="9" t="s">
        <v>30</v>
      </c>
      <c r="M3381" s="9" t="s">
        <v>31</v>
      </c>
      <c r="N3381" s="9" t="s">
        <v>32</v>
      </c>
      <c r="O3381" s="12" t="s">
        <v>33</v>
      </c>
      <c r="P3381" s="12" t="s">
        <v>34</v>
      </c>
      <c r="Q3381" s="9"/>
      <c r="R3381" s="18"/>
      <c r="S3381" s="18"/>
      <c r="T3381" s="18"/>
      <c r="U3381" s="18"/>
      <c r="V3381" s="18"/>
      <c r="W3381" s="15"/>
      <c r="X3381" s="15"/>
    </row>
    <row r="3382">
      <c r="A3382" s="7">
        <v>3381.0</v>
      </c>
      <c r="B3382" s="8" t="s">
        <v>14068</v>
      </c>
      <c r="C3382" s="9" t="s">
        <v>14069</v>
      </c>
      <c r="D3382" s="10" t="str">
        <f>HYPERLINK("https://facebook.com/367089020688300_541849403212260", "367089020688300_541849403212260")</f>
        <v>367089020688300_541849403212260</v>
      </c>
      <c r="E3382" s="11">
        <v>385.0</v>
      </c>
      <c r="F3382" s="11">
        <v>2.0</v>
      </c>
      <c r="G3382" s="11">
        <v>274.0</v>
      </c>
      <c r="H3382" s="9" t="s">
        <v>26</v>
      </c>
      <c r="I3382" s="9" t="s">
        <v>14070</v>
      </c>
      <c r="J3382" s="9" t="s">
        <v>14071</v>
      </c>
      <c r="K3382" s="9" t="s">
        <v>14072</v>
      </c>
      <c r="L3382" s="9" t="s">
        <v>30</v>
      </c>
      <c r="M3382" s="9" t="s">
        <v>31</v>
      </c>
      <c r="N3382" s="9" t="s">
        <v>32</v>
      </c>
      <c r="O3382" s="12" t="s">
        <v>33</v>
      </c>
      <c r="P3382" s="12" t="s">
        <v>34</v>
      </c>
      <c r="Q3382" s="9"/>
      <c r="R3382" s="18"/>
      <c r="S3382" s="18"/>
      <c r="T3382" s="18"/>
      <c r="U3382" s="18"/>
      <c r="V3382" s="18"/>
      <c r="W3382" s="15"/>
      <c r="X3382" s="15"/>
    </row>
    <row r="3383">
      <c r="A3383" s="7">
        <v>3382.0</v>
      </c>
      <c r="B3383" s="8" t="s">
        <v>14073</v>
      </c>
      <c r="C3383" s="9" t="s">
        <v>14074</v>
      </c>
      <c r="D3383" s="10" t="str">
        <f>HYPERLINK("https://facebook.com/367089020688300_525475278183006", "367089020688300_525475278183006")</f>
        <v>367089020688300_525475278183006</v>
      </c>
      <c r="E3383" s="11">
        <v>1857.0</v>
      </c>
      <c r="F3383" s="11">
        <v>101.0</v>
      </c>
      <c r="G3383" s="11">
        <v>688.0</v>
      </c>
      <c r="H3383" s="9" t="s">
        <v>26</v>
      </c>
      <c r="I3383" s="9" t="s">
        <v>10365</v>
      </c>
      <c r="J3383" s="9" t="s">
        <v>10366</v>
      </c>
      <c r="K3383" s="9" t="s">
        <v>14075</v>
      </c>
      <c r="L3383" s="9" t="s">
        <v>30</v>
      </c>
      <c r="M3383" s="9" t="s">
        <v>31</v>
      </c>
      <c r="N3383" s="9" t="s">
        <v>32</v>
      </c>
      <c r="O3383" s="12" t="s">
        <v>33</v>
      </c>
      <c r="P3383" s="12" t="s">
        <v>34</v>
      </c>
      <c r="Q3383" s="9"/>
      <c r="R3383" s="18"/>
      <c r="S3383" s="18"/>
      <c r="T3383" s="18"/>
      <c r="U3383" s="18"/>
      <c r="V3383" s="18"/>
      <c r="W3383" s="15"/>
      <c r="X3383" s="15"/>
    </row>
    <row r="3384">
      <c r="A3384" s="7">
        <v>3383.0</v>
      </c>
      <c r="B3384" s="8" t="s">
        <v>14076</v>
      </c>
      <c r="C3384" s="9" t="s">
        <v>14077</v>
      </c>
      <c r="D3384" s="10" t="str">
        <f>HYPERLINK("https://facebook.com/367089020688300_545966512800549", "367089020688300_545966512800549")</f>
        <v>367089020688300_545966512800549</v>
      </c>
      <c r="E3384" s="11">
        <v>316.0</v>
      </c>
      <c r="F3384" s="11">
        <v>0.0</v>
      </c>
      <c r="G3384" s="11">
        <v>248.0</v>
      </c>
      <c r="H3384" s="9" t="s">
        <v>26</v>
      </c>
      <c r="I3384" s="9" t="s">
        <v>979</v>
      </c>
      <c r="J3384" s="9" t="s">
        <v>14078</v>
      </c>
      <c r="K3384" s="9" t="s">
        <v>649</v>
      </c>
      <c r="L3384" s="9" t="s">
        <v>30</v>
      </c>
      <c r="M3384" s="9" t="s">
        <v>31</v>
      </c>
      <c r="N3384" s="9" t="s">
        <v>32</v>
      </c>
      <c r="O3384" s="12" t="s">
        <v>33</v>
      </c>
      <c r="P3384" s="12" t="s">
        <v>34</v>
      </c>
      <c r="Q3384" s="9"/>
      <c r="R3384" s="18"/>
      <c r="S3384" s="18"/>
      <c r="T3384" s="18"/>
      <c r="U3384" s="18"/>
      <c r="V3384" s="18"/>
      <c r="W3384" s="15"/>
      <c r="X3384" s="15"/>
    </row>
    <row r="3385">
      <c r="A3385" s="7">
        <v>3384.0</v>
      </c>
      <c r="B3385" s="8" t="s">
        <v>14079</v>
      </c>
      <c r="C3385" s="9" t="s">
        <v>14080</v>
      </c>
      <c r="D3385" s="10" t="str">
        <f>HYPERLINK("https://facebook.com/367089020688300_557847731612427", "367089020688300_557847731612427")</f>
        <v>367089020688300_557847731612427</v>
      </c>
      <c r="E3385" s="11">
        <v>404.0</v>
      </c>
      <c r="F3385" s="11">
        <v>11.0</v>
      </c>
      <c r="G3385" s="11">
        <v>543.0</v>
      </c>
      <c r="H3385" s="9" t="s">
        <v>26</v>
      </c>
      <c r="I3385" s="9" t="s">
        <v>1449</v>
      </c>
      <c r="J3385" s="16" t="s">
        <v>14081</v>
      </c>
      <c r="K3385" s="9"/>
      <c r="L3385" s="9" t="s">
        <v>30</v>
      </c>
      <c r="M3385" s="9" t="s">
        <v>31</v>
      </c>
      <c r="N3385" s="9" t="s">
        <v>32</v>
      </c>
      <c r="O3385" s="12" t="s">
        <v>33</v>
      </c>
      <c r="P3385" s="12" t="s">
        <v>34</v>
      </c>
      <c r="Q3385" s="9"/>
      <c r="R3385" s="18"/>
      <c r="S3385" s="18"/>
      <c r="T3385" s="18"/>
      <c r="U3385" s="18"/>
      <c r="V3385" s="18"/>
      <c r="W3385" s="15"/>
      <c r="X3385" s="15"/>
    </row>
    <row r="3386">
      <c r="A3386" s="7">
        <v>3385.0</v>
      </c>
      <c r="B3386" s="8" t="s">
        <v>14082</v>
      </c>
      <c r="C3386" s="9" t="s">
        <v>14083</v>
      </c>
      <c r="D3386" s="10" t="str">
        <f>HYPERLINK("https://facebook.com/367089020688300_507886733275194", "367089020688300_507886733275194")</f>
        <v>367089020688300_507886733275194</v>
      </c>
      <c r="E3386" s="11">
        <v>929.0</v>
      </c>
      <c r="F3386" s="11">
        <v>9.0</v>
      </c>
      <c r="G3386" s="11">
        <v>460.0</v>
      </c>
      <c r="H3386" s="9" t="s">
        <v>26</v>
      </c>
      <c r="I3386" s="9" t="s">
        <v>14084</v>
      </c>
      <c r="J3386" s="16" t="s">
        <v>14085</v>
      </c>
      <c r="K3386" s="9"/>
      <c r="L3386" s="9" t="s">
        <v>30</v>
      </c>
      <c r="M3386" s="9" t="s">
        <v>31</v>
      </c>
      <c r="N3386" s="9" t="s">
        <v>32</v>
      </c>
      <c r="O3386" s="12" t="s">
        <v>33</v>
      </c>
      <c r="P3386" s="12" t="s">
        <v>34</v>
      </c>
      <c r="Q3386" s="9"/>
      <c r="R3386" s="18"/>
      <c r="S3386" s="18"/>
      <c r="T3386" s="18"/>
      <c r="U3386" s="18"/>
      <c r="V3386" s="18"/>
      <c r="W3386" s="15"/>
      <c r="X3386" s="15"/>
    </row>
    <row r="3387">
      <c r="A3387" s="7">
        <v>3386.0</v>
      </c>
      <c r="B3387" s="8" t="s">
        <v>14086</v>
      </c>
      <c r="C3387" s="9" t="s">
        <v>14087</v>
      </c>
      <c r="D3387" s="10" t="str">
        <f>HYPERLINK("https://facebook.com/367089020688300_536079057122628", "367089020688300_536079057122628")</f>
        <v>367089020688300_536079057122628</v>
      </c>
      <c r="E3387" s="11">
        <v>115.0</v>
      </c>
      <c r="F3387" s="11">
        <v>3.0</v>
      </c>
      <c r="G3387" s="11">
        <v>108.0</v>
      </c>
      <c r="H3387" s="9" t="s">
        <v>26</v>
      </c>
      <c r="I3387" s="9" t="s">
        <v>5759</v>
      </c>
      <c r="J3387" s="16" t="s">
        <v>14088</v>
      </c>
      <c r="K3387" s="9"/>
      <c r="L3387" s="9" t="s">
        <v>30</v>
      </c>
      <c r="M3387" s="9" t="s">
        <v>31</v>
      </c>
      <c r="N3387" s="9" t="s">
        <v>32</v>
      </c>
      <c r="O3387" s="12" t="s">
        <v>33</v>
      </c>
      <c r="P3387" s="12" t="s">
        <v>34</v>
      </c>
      <c r="Q3387" s="9"/>
      <c r="R3387" s="18"/>
      <c r="S3387" s="18"/>
      <c r="T3387" s="18"/>
      <c r="U3387" s="18"/>
      <c r="V3387" s="18"/>
      <c r="W3387" s="15"/>
      <c r="X3387" s="15"/>
    </row>
    <row r="3388">
      <c r="A3388" s="7">
        <v>3387.0</v>
      </c>
      <c r="B3388" s="8" t="s">
        <v>14089</v>
      </c>
      <c r="C3388" s="9" t="s">
        <v>14090</v>
      </c>
      <c r="D3388" s="10" t="str">
        <f>HYPERLINK("https://facebook.com/367089020688300_550026325727901", "367089020688300_550026325727901")</f>
        <v>367089020688300_550026325727901</v>
      </c>
      <c r="E3388" s="11">
        <v>98.0</v>
      </c>
      <c r="F3388" s="11">
        <v>0.0</v>
      </c>
      <c r="G3388" s="11">
        <v>172.0</v>
      </c>
      <c r="H3388" s="9" t="s">
        <v>26</v>
      </c>
      <c r="I3388" s="9" t="s">
        <v>6861</v>
      </c>
      <c r="J3388" s="9" t="s">
        <v>6862</v>
      </c>
      <c r="K3388" s="9" t="s">
        <v>214</v>
      </c>
      <c r="L3388" s="9" t="s">
        <v>30</v>
      </c>
      <c r="M3388" s="9" t="s">
        <v>31</v>
      </c>
      <c r="N3388" s="9" t="s">
        <v>32</v>
      </c>
      <c r="O3388" s="12" t="s">
        <v>33</v>
      </c>
      <c r="P3388" s="12" t="s">
        <v>34</v>
      </c>
      <c r="Q3388" s="9"/>
      <c r="R3388" s="18"/>
      <c r="S3388" s="18"/>
      <c r="T3388" s="18"/>
      <c r="U3388" s="18"/>
      <c r="V3388" s="18"/>
      <c r="W3388" s="15"/>
      <c r="X3388" s="15"/>
    </row>
    <row r="3389">
      <c r="A3389" s="7">
        <v>3388.0</v>
      </c>
      <c r="B3389" s="8" t="s">
        <v>14091</v>
      </c>
      <c r="C3389" s="9" t="s">
        <v>14092</v>
      </c>
      <c r="D3389" s="10" t="str">
        <f>HYPERLINK("https://facebook.com/367089020688300_541111143286086", "367089020688300_541111143286086")</f>
        <v>367089020688300_541111143286086</v>
      </c>
      <c r="E3389" s="11">
        <v>36.0</v>
      </c>
      <c r="F3389" s="11">
        <v>2.0</v>
      </c>
      <c r="G3389" s="11">
        <v>69.0</v>
      </c>
      <c r="H3389" s="9" t="s">
        <v>26</v>
      </c>
      <c r="I3389" s="9" t="s">
        <v>14093</v>
      </c>
      <c r="J3389" s="9" t="s">
        <v>14094</v>
      </c>
      <c r="K3389" s="9" t="s">
        <v>14095</v>
      </c>
      <c r="L3389" s="9" t="s">
        <v>30</v>
      </c>
      <c r="M3389" s="9" t="s">
        <v>31</v>
      </c>
      <c r="N3389" s="9" t="s">
        <v>32</v>
      </c>
      <c r="O3389" s="12" t="s">
        <v>33</v>
      </c>
      <c r="P3389" s="12" t="s">
        <v>34</v>
      </c>
      <c r="Q3389" s="9"/>
      <c r="R3389" s="18"/>
      <c r="S3389" s="18"/>
      <c r="T3389" s="18"/>
      <c r="U3389" s="18"/>
      <c r="V3389" s="18"/>
      <c r="W3389" s="15"/>
      <c r="X3389" s="15"/>
    </row>
    <row r="3390">
      <c r="A3390" s="7">
        <v>3389.0</v>
      </c>
      <c r="B3390" s="8" t="s">
        <v>14096</v>
      </c>
      <c r="C3390" s="9" t="s">
        <v>14097</v>
      </c>
      <c r="D3390" s="10" t="str">
        <f>HYPERLINK("https://facebook.com/367089020688300_554300458633821", "367089020688300_554300458633821")</f>
        <v>367089020688300_554300458633821</v>
      </c>
      <c r="E3390" s="11">
        <v>1470.0</v>
      </c>
      <c r="F3390" s="11">
        <v>4.0</v>
      </c>
      <c r="G3390" s="11">
        <v>724.0</v>
      </c>
      <c r="H3390" s="9" t="s">
        <v>26</v>
      </c>
      <c r="I3390" s="9" t="s">
        <v>14098</v>
      </c>
      <c r="J3390" s="16" t="s">
        <v>14099</v>
      </c>
      <c r="K3390" s="9"/>
      <c r="L3390" s="9" t="s">
        <v>30</v>
      </c>
      <c r="M3390" s="9" t="s">
        <v>31</v>
      </c>
      <c r="N3390" s="9" t="s">
        <v>32</v>
      </c>
      <c r="O3390" s="12" t="s">
        <v>33</v>
      </c>
      <c r="P3390" s="12" t="s">
        <v>34</v>
      </c>
      <c r="Q3390" s="9"/>
      <c r="R3390" s="18"/>
      <c r="S3390" s="18"/>
      <c r="T3390" s="18"/>
      <c r="U3390" s="18"/>
      <c r="V3390" s="18"/>
      <c r="W3390" s="15"/>
      <c r="X3390" s="15"/>
    </row>
    <row r="3391">
      <c r="A3391" s="7">
        <v>3390.0</v>
      </c>
      <c r="B3391" s="8" t="s">
        <v>14100</v>
      </c>
      <c r="C3391" s="9" t="s">
        <v>14101</v>
      </c>
      <c r="D3391" s="10" t="str">
        <f>HYPERLINK("https://facebook.com/367089020688300_542370169826850", "367089020688300_542370169826850")</f>
        <v>367089020688300_542370169826850</v>
      </c>
      <c r="E3391" s="11">
        <v>55.0</v>
      </c>
      <c r="F3391" s="11">
        <v>0.0</v>
      </c>
      <c r="G3391" s="11">
        <v>1.0</v>
      </c>
      <c r="H3391" s="9" t="s">
        <v>26</v>
      </c>
      <c r="I3391" s="9" t="s">
        <v>993</v>
      </c>
      <c r="J3391" s="16" t="s">
        <v>994</v>
      </c>
      <c r="K3391" s="9"/>
      <c r="L3391" s="9" t="s">
        <v>30</v>
      </c>
      <c r="M3391" s="9" t="s">
        <v>31</v>
      </c>
      <c r="N3391" s="9" t="s">
        <v>32</v>
      </c>
      <c r="O3391" s="12" t="s">
        <v>33</v>
      </c>
      <c r="P3391" s="12" t="s">
        <v>34</v>
      </c>
      <c r="Q3391" s="9"/>
      <c r="R3391" s="18"/>
      <c r="S3391" s="18"/>
      <c r="T3391" s="18"/>
      <c r="U3391" s="18"/>
      <c r="V3391" s="18"/>
      <c r="W3391" s="15"/>
      <c r="X3391" s="15"/>
    </row>
    <row r="3392">
      <c r="A3392" s="7">
        <v>3391.0</v>
      </c>
      <c r="B3392" s="8" t="s">
        <v>14102</v>
      </c>
      <c r="C3392" s="9" t="s">
        <v>14103</v>
      </c>
      <c r="D3392" s="10" t="str">
        <f>HYPERLINK("https://facebook.com/367089020688300_541662229897644", "367089020688300_541662229897644")</f>
        <v>367089020688300_541662229897644</v>
      </c>
      <c r="E3392" s="11">
        <v>17.0</v>
      </c>
      <c r="F3392" s="11">
        <v>0.0</v>
      </c>
      <c r="G3392" s="11">
        <v>5.0</v>
      </c>
      <c r="H3392" s="9" t="s">
        <v>26</v>
      </c>
      <c r="I3392" s="9" t="s">
        <v>1799</v>
      </c>
      <c r="J3392" s="16" t="s">
        <v>14104</v>
      </c>
      <c r="K3392" s="9"/>
      <c r="L3392" s="9" t="s">
        <v>30</v>
      </c>
      <c r="M3392" s="9" t="s">
        <v>31</v>
      </c>
      <c r="N3392" s="9" t="s">
        <v>32</v>
      </c>
      <c r="O3392" s="12" t="s">
        <v>33</v>
      </c>
      <c r="P3392" s="12" t="s">
        <v>34</v>
      </c>
      <c r="Q3392" s="9"/>
      <c r="R3392" s="18"/>
      <c r="S3392" s="18"/>
      <c r="T3392" s="18"/>
      <c r="U3392" s="18"/>
      <c r="V3392" s="18"/>
      <c r="W3392" s="15"/>
      <c r="X3392" s="15"/>
    </row>
    <row r="3393">
      <c r="A3393" s="7">
        <v>3392.0</v>
      </c>
      <c r="B3393" s="8" t="s">
        <v>14105</v>
      </c>
      <c r="C3393" s="9" t="s">
        <v>14106</v>
      </c>
      <c r="D3393" s="10" t="str">
        <f>HYPERLINK("https://facebook.com/367089020688300_506389340091600", "367089020688300_506389340091600")</f>
        <v>367089020688300_506389340091600</v>
      </c>
      <c r="E3393" s="11">
        <v>81.0</v>
      </c>
      <c r="F3393" s="11">
        <v>0.0</v>
      </c>
      <c r="G3393" s="11">
        <v>45.0</v>
      </c>
      <c r="H3393" s="9" t="s">
        <v>26</v>
      </c>
      <c r="I3393" s="9" t="s">
        <v>7611</v>
      </c>
      <c r="J3393" s="9" t="s">
        <v>14107</v>
      </c>
      <c r="K3393" s="9" t="s">
        <v>789</v>
      </c>
      <c r="L3393" s="9" t="s">
        <v>30</v>
      </c>
      <c r="M3393" s="9" t="s">
        <v>31</v>
      </c>
      <c r="N3393" s="9" t="s">
        <v>32</v>
      </c>
      <c r="O3393" s="12" t="s">
        <v>33</v>
      </c>
      <c r="P3393" s="12" t="s">
        <v>34</v>
      </c>
      <c r="Q3393" s="9"/>
      <c r="R3393" s="18"/>
      <c r="S3393" s="18"/>
      <c r="T3393" s="18"/>
      <c r="U3393" s="18"/>
      <c r="V3393" s="18"/>
      <c r="W3393" s="15"/>
      <c r="X3393" s="15"/>
    </row>
    <row r="3394">
      <c r="A3394" s="7">
        <v>3393.0</v>
      </c>
      <c r="B3394" s="8" t="s">
        <v>14108</v>
      </c>
      <c r="C3394" s="9" t="s">
        <v>14109</v>
      </c>
      <c r="D3394" s="10" t="str">
        <f>HYPERLINK("https://facebook.com/367089020688300_562427807821086", "367089020688300_562427807821086")</f>
        <v>367089020688300_562427807821086</v>
      </c>
      <c r="E3394" s="11">
        <v>71.0</v>
      </c>
      <c r="F3394" s="11">
        <v>3.0</v>
      </c>
      <c r="G3394" s="11">
        <v>61.0</v>
      </c>
      <c r="H3394" s="9" t="s">
        <v>26</v>
      </c>
      <c r="I3394" s="9" t="s">
        <v>14110</v>
      </c>
      <c r="J3394" s="9" t="s">
        <v>14111</v>
      </c>
      <c r="K3394" s="9" t="s">
        <v>14112</v>
      </c>
      <c r="L3394" s="9" t="s">
        <v>30</v>
      </c>
      <c r="M3394" s="9" t="s">
        <v>31</v>
      </c>
      <c r="N3394" s="9" t="s">
        <v>32</v>
      </c>
      <c r="O3394" s="12" t="s">
        <v>33</v>
      </c>
      <c r="P3394" s="12" t="s">
        <v>34</v>
      </c>
      <c r="Q3394" s="9"/>
      <c r="R3394" s="18"/>
      <c r="S3394" s="18"/>
      <c r="T3394" s="18"/>
      <c r="U3394" s="18"/>
      <c r="V3394" s="18"/>
      <c r="W3394" s="15"/>
      <c r="X3394" s="15"/>
    </row>
    <row r="3395">
      <c r="A3395" s="7">
        <v>3394.0</v>
      </c>
      <c r="B3395" s="8" t="s">
        <v>14113</v>
      </c>
      <c r="C3395" s="9" t="s">
        <v>14114</v>
      </c>
      <c r="D3395" s="10" t="str">
        <f>HYPERLINK("https://facebook.com/367089020688300_485139702216564", "367089020688300_485139702216564")</f>
        <v>367089020688300_485139702216564</v>
      </c>
      <c r="E3395" s="11">
        <v>475.0</v>
      </c>
      <c r="F3395" s="11">
        <v>38.0</v>
      </c>
      <c r="G3395" s="11">
        <v>544.0</v>
      </c>
      <c r="H3395" s="9" t="s">
        <v>26</v>
      </c>
      <c r="I3395" s="9" t="s">
        <v>14115</v>
      </c>
      <c r="J3395" s="9" t="s">
        <v>14116</v>
      </c>
      <c r="K3395" s="9" t="s">
        <v>14117</v>
      </c>
      <c r="L3395" s="9" t="s">
        <v>30</v>
      </c>
      <c r="M3395" s="9" t="s">
        <v>31</v>
      </c>
      <c r="N3395" s="9" t="s">
        <v>32</v>
      </c>
      <c r="O3395" s="12" t="s">
        <v>33</v>
      </c>
      <c r="P3395" s="12" t="s">
        <v>34</v>
      </c>
      <c r="Q3395" s="9"/>
      <c r="R3395" s="18"/>
      <c r="S3395" s="18"/>
      <c r="T3395" s="18"/>
      <c r="U3395" s="18"/>
      <c r="V3395" s="18"/>
      <c r="W3395" s="15"/>
      <c r="X3395" s="15"/>
    </row>
    <row r="3396">
      <c r="A3396" s="7">
        <v>3395.0</v>
      </c>
      <c r="B3396" s="8" t="s">
        <v>14118</v>
      </c>
      <c r="C3396" s="9" t="s">
        <v>14119</v>
      </c>
      <c r="D3396" s="10" t="str">
        <f>HYPERLINK("https://facebook.com/367089020688300_532548534142347", "367089020688300_532548534142347")</f>
        <v>367089020688300_532548534142347</v>
      </c>
      <c r="E3396" s="11">
        <v>65.0</v>
      </c>
      <c r="F3396" s="11">
        <v>0.0</v>
      </c>
      <c r="G3396" s="11">
        <v>135.0</v>
      </c>
      <c r="H3396" s="9" t="s">
        <v>26</v>
      </c>
      <c r="I3396" s="9" t="s">
        <v>11967</v>
      </c>
      <c r="J3396" s="9" t="s">
        <v>14120</v>
      </c>
      <c r="K3396" s="9" t="s">
        <v>14121</v>
      </c>
      <c r="L3396" s="9" t="s">
        <v>30</v>
      </c>
      <c r="M3396" s="9" t="s">
        <v>31</v>
      </c>
      <c r="N3396" s="9" t="s">
        <v>32</v>
      </c>
      <c r="O3396" s="12" t="s">
        <v>33</v>
      </c>
      <c r="P3396" s="12" t="s">
        <v>34</v>
      </c>
      <c r="Q3396" s="9"/>
      <c r="R3396" s="18"/>
      <c r="S3396" s="18"/>
      <c r="T3396" s="18"/>
      <c r="U3396" s="18"/>
      <c r="V3396" s="18"/>
      <c r="W3396" s="15"/>
      <c r="X3396" s="15"/>
    </row>
    <row r="3397">
      <c r="A3397" s="7">
        <v>3396.0</v>
      </c>
      <c r="B3397" s="8" t="s">
        <v>14122</v>
      </c>
      <c r="C3397" s="9" t="s">
        <v>14123</v>
      </c>
      <c r="D3397" s="10" t="str">
        <f>HYPERLINK("https://facebook.com/367089020688300_526718974725303", "367089020688300_526718974725303")</f>
        <v>367089020688300_526718974725303</v>
      </c>
      <c r="E3397" s="11">
        <v>318.0</v>
      </c>
      <c r="F3397" s="11">
        <v>6.0</v>
      </c>
      <c r="G3397" s="11">
        <v>328.0</v>
      </c>
      <c r="H3397" s="9" t="s">
        <v>26</v>
      </c>
      <c r="I3397" s="9" t="s">
        <v>9286</v>
      </c>
      <c r="J3397" s="9" t="s">
        <v>14124</v>
      </c>
      <c r="K3397" s="9" t="s">
        <v>892</v>
      </c>
      <c r="L3397" s="9" t="s">
        <v>30</v>
      </c>
      <c r="M3397" s="9" t="s">
        <v>31</v>
      </c>
      <c r="N3397" s="9" t="s">
        <v>32</v>
      </c>
      <c r="O3397" s="12" t="s">
        <v>33</v>
      </c>
      <c r="P3397" s="12" t="s">
        <v>34</v>
      </c>
      <c r="Q3397" s="9"/>
      <c r="R3397" s="18"/>
      <c r="S3397" s="18"/>
      <c r="T3397" s="18"/>
      <c r="U3397" s="18"/>
      <c r="V3397" s="18"/>
      <c r="W3397" s="15"/>
      <c r="X3397" s="15"/>
    </row>
    <row r="3398">
      <c r="A3398" s="7">
        <v>3397.0</v>
      </c>
      <c r="B3398" s="8" t="s">
        <v>14125</v>
      </c>
      <c r="C3398" s="9" t="s">
        <v>14126</v>
      </c>
      <c r="D3398" s="10" t="str">
        <f>HYPERLINK("https://facebook.com/367089020688300_540997193297481", "367089020688300_540997193297481")</f>
        <v>367089020688300_540997193297481</v>
      </c>
      <c r="E3398" s="11">
        <v>212.0</v>
      </c>
      <c r="F3398" s="11">
        <v>1.0</v>
      </c>
      <c r="G3398" s="11">
        <v>125.0</v>
      </c>
      <c r="H3398" s="9" t="s">
        <v>26</v>
      </c>
      <c r="I3398" s="9" t="s">
        <v>4445</v>
      </c>
      <c r="J3398" s="16" t="s">
        <v>4446</v>
      </c>
      <c r="K3398" s="9"/>
      <c r="L3398" s="9" t="s">
        <v>30</v>
      </c>
      <c r="M3398" s="9" t="s">
        <v>31</v>
      </c>
      <c r="N3398" s="9" t="s">
        <v>32</v>
      </c>
      <c r="O3398" s="12" t="s">
        <v>33</v>
      </c>
      <c r="P3398" s="12" t="s">
        <v>34</v>
      </c>
      <c r="Q3398" s="9"/>
      <c r="R3398" s="18"/>
      <c r="S3398" s="18"/>
      <c r="T3398" s="18"/>
      <c r="U3398" s="18"/>
      <c r="V3398" s="18"/>
      <c r="W3398" s="15"/>
      <c r="X3398" s="15"/>
    </row>
    <row r="3399">
      <c r="A3399" s="7">
        <v>3398.0</v>
      </c>
      <c r="B3399" s="8" t="s">
        <v>14127</v>
      </c>
      <c r="C3399" s="9" t="s">
        <v>14128</v>
      </c>
      <c r="D3399" s="10" t="str">
        <f>HYPERLINK("https://facebook.com/367089020688300_563079234422610", "367089020688300_563079234422610")</f>
        <v>367089020688300_563079234422610</v>
      </c>
      <c r="E3399" s="11">
        <v>398.0</v>
      </c>
      <c r="F3399" s="11">
        <v>2.0</v>
      </c>
      <c r="G3399" s="11">
        <v>13.0</v>
      </c>
      <c r="H3399" s="9" t="s">
        <v>26</v>
      </c>
      <c r="I3399" s="9" t="s">
        <v>4593</v>
      </c>
      <c r="J3399" s="9" t="s">
        <v>4594</v>
      </c>
      <c r="K3399" s="9" t="s">
        <v>3147</v>
      </c>
      <c r="L3399" s="9" t="s">
        <v>30</v>
      </c>
      <c r="M3399" s="9" t="s">
        <v>31</v>
      </c>
      <c r="N3399" s="9" t="s">
        <v>32</v>
      </c>
      <c r="O3399" s="12" t="s">
        <v>33</v>
      </c>
      <c r="P3399" s="12" t="s">
        <v>34</v>
      </c>
      <c r="Q3399" s="9"/>
      <c r="R3399" s="18"/>
      <c r="S3399" s="18"/>
      <c r="T3399" s="18"/>
      <c r="U3399" s="18"/>
      <c r="V3399" s="18"/>
      <c r="W3399" s="15"/>
      <c r="X3399" s="15"/>
    </row>
    <row r="3400">
      <c r="A3400" s="7">
        <v>3399.0</v>
      </c>
      <c r="B3400" s="8" t="s">
        <v>14129</v>
      </c>
      <c r="C3400" s="9" t="s">
        <v>14130</v>
      </c>
      <c r="D3400" s="10" t="str">
        <f>HYPERLINK("https://facebook.com/367089020688300_561033697960497", "367089020688300_561033697960497")</f>
        <v>367089020688300_561033697960497</v>
      </c>
      <c r="E3400" s="11">
        <v>10.0</v>
      </c>
      <c r="F3400" s="11">
        <v>0.0</v>
      </c>
      <c r="G3400" s="11">
        <v>0.0</v>
      </c>
      <c r="H3400" s="9" t="s">
        <v>26</v>
      </c>
      <c r="I3400" s="9" t="s">
        <v>1303</v>
      </c>
      <c r="J3400" s="9" t="s">
        <v>1304</v>
      </c>
      <c r="K3400" s="9" t="s">
        <v>14131</v>
      </c>
      <c r="L3400" s="9" t="s">
        <v>30</v>
      </c>
      <c r="M3400" s="9" t="s">
        <v>31</v>
      </c>
      <c r="N3400" s="9" t="s">
        <v>32</v>
      </c>
      <c r="O3400" s="12" t="s">
        <v>33</v>
      </c>
      <c r="P3400" s="12" t="s">
        <v>34</v>
      </c>
      <c r="Q3400" s="9"/>
      <c r="R3400" s="18"/>
      <c r="S3400" s="18"/>
      <c r="T3400" s="18"/>
      <c r="U3400" s="18"/>
      <c r="V3400" s="18"/>
      <c r="W3400" s="15"/>
      <c r="X3400" s="15"/>
    </row>
    <row r="3401">
      <c r="A3401" s="7">
        <v>3400.0</v>
      </c>
      <c r="B3401" s="8" t="s">
        <v>14132</v>
      </c>
      <c r="C3401" s="9" t="s">
        <v>14133</v>
      </c>
      <c r="D3401" s="10" t="str">
        <f>HYPERLINK("https://facebook.com/367089020688300_511433142920553", "367089020688300_511433142920553")</f>
        <v>367089020688300_511433142920553</v>
      </c>
      <c r="E3401" s="11">
        <v>25.0</v>
      </c>
      <c r="F3401" s="11">
        <v>0.0</v>
      </c>
      <c r="G3401" s="11">
        <v>26.0</v>
      </c>
      <c r="H3401" s="9" t="s">
        <v>26</v>
      </c>
      <c r="I3401" s="9" t="s">
        <v>14134</v>
      </c>
      <c r="J3401" s="16" t="s">
        <v>14135</v>
      </c>
      <c r="K3401" s="9"/>
      <c r="L3401" s="9" t="s">
        <v>30</v>
      </c>
      <c r="M3401" s="9" t="s">
        <v>31</v>
      </c>
      <c r="N3401" s="9" t="s">
        <v>32</v>
      </c>
      <c r="O3401" s="12" t="s">
        <v>33</v>
      </c>
      <c r="P3401" s="12" t="s">
        <v>34</v>
      </c>
      <c r="Q3401" s="9"/>
      <c r="R3401" s="18"/>
      <c r="S3401" s="18"/>
      <c r="T3401" s="18"/>
      <c r="U3401" s="18"/>
      <c r="V3401" s="18"/>
      <c r="W3401" s="15"/>
      <c r="X3401" s="15"/>
    </row>
    <row r="3402">
      <c r="A3402" s="7">
        <v>3401.0</v>
      </c>
      <c r="B3402" s="8" t="s">
        <v>14136</v>
      </c>
      <c r="C3402" s="9" t="s">
        <v>14137</v>
      </c>
      <c r="D3402" s="10" t="str">
        <f>HYPERLINK("https://facebook.com/367089020688300_453213632075838", "367089020688300_453213632075838")</f>
        <v>367089020688300_453213632075838</v>
      </c>
      <c r="E3402" s="11">
        <v>294.0</v>
      </c>
      <c r="F3402" s="11">
        <v>20.0</v>
      </c>
      <c r="G3402" s="11">
        <v>337.0</v>
      </c>
      <c r="H3402" s="9" t="s">
        <v>26</v>
      </c>
      <c r="I3402" s="9" t="s">
        <v>14138</v>
      </c>
      <c r="J3402" s="9" t="s">
        <v>14139</v>
      </c>
      <c r="K3402" s="9" t="s">
        <v>14140</v>
      </c>
      <c r="L3402" s="9" t="s">
        <v>30</v>
      </c>
      <c r="M3402" s="9" t="s">
        <v>31</v>
      </c>
      <c r="N3402" s="9" t="s">
        <v>32</v>
      </c>
      <c r="O3402" s="12" t="s">
        <v>33</v>
      </c>
      <c r="P3402" s="12" t="s">
        <v>34</v>
      </c>
      <c r="Q3402" s="9"/>
      <c r="R3402" s="18"/>
      <c r="S3402" s="18"/>
      <c r="T3402" s="18"/>
      <c r="U3402" s="18"/>
      <c r="V3402" s="18"/>
      <c r="W3402" s="15"/>
      <c r="X3402" s="15"/>
    </row>
    <row r="3403">
      <c r="A3403" s="7">
        <v>3402.0</v>
      </c>
      <c r="B3403" s="8" t="s">
        <v>14141</v>
      </c>
      <c r="C3403" s="9" t="s">
        <v>14142</v>
      </c>
      <c r="D3403" s="10" t="str">
        <f>HYPERLINK("https://facebook.com/367089020688300_543368123060388", "367089020688300_543368123060388")</f>
        <v>367089020688300_543368123060388</v>
      </c>
      <c r="E3403" s="11">
        <v>53.0</v>
      </c>
      <c r="F3403" s="11">
        <v>0.0</v>
      </c>
      <c r="G3403" s="11">
        <v>26.0</v>
      </c>
      <c r="H3403" s="9" t="s">
        <v>26</v>
      </c>
      <c r="I3403" s="9" t="s">
        <v>14143</v>
      </c>
      <c r="J3403" s="9" t="s">
        <v>14144</v>
      </c>
      <c r="K3403" s="9" t="s">
        <v>14145</v>
      </c>
      <c r="L3403" s="9" t="s">
        <v>30</v>
      </c>
      <c r="M3403" s="9" t="s">
        <v>31</v>
      </c>
      <c r="N3403" s="9" t="s">
        <v>32</v>
      </c>
      <c r="O3403" s="12" t="s">
        <v>33</v>
      </c>
      <c r="P3403" s="12" t="s">
        <v>34</v>
      </c>
      <c r="Q3403" s="9"/>
      <c r="R3403" s="18"/>
      <c r="S3403" s="18"/>
      <c r="T3403" s="18"/>
      <c r="U3403" s="18"/>
      <c r="V3403" s="18"/>
      <c r="W3403" s="15"/>
      <c r="X3403" s="15"/>
    </row>
    <row r="3404">
      <c r="A3404" s="7">
        <v>3403.0</v>
      </c>
      <c r="B3404" s="8" t="s">
        <v>14146</v>
      </c>
      <c r="C3404" s="9" t="s">
        <v>14147</v>
      </c>
      <c r="D3404" s="10" t="str">
        <f>HYPERLINK("https://facebook.com/367089020688300_552538562143344", "367089020688300_552538562143344")</f>
        <v>367089020688300_552538562143344</v>
      </c>
      <c r="E3404" s="11">
        <v>9.0</v>
      </c>
      <c r="F3404" s="11">
        <v>0.0</v>
      </c>
      <c r="G3404" s="11">
        <v>22.0</v>
      </c>
      <c r="H3404" s="9" t="s">
        <v>26</v>
      </c>
      <c r="I3404" s="9" t="s">
        <v>14148</v>
      </c>
      <c r="J3404" s="9" t="s">
        <v>14149</v>
      </c>
      <c r="K3404" s="9" t="s">
        <v>14150</v>
      </c>
      <c r="L3404" s="9" t="s">
        <v>30</v>
      </c>
      <c r="M3404" s="9" t="s">
        <v>31</v>
      </c>
      <c r="N3404" s="9" t="s">
        <v>32</v>
      </c>
      <c r="O3404" s="12" t="s">
        <v>33</v>
      </c>
      <c r="P3404" s="12" t="s">
        <v>34</v>
      </c>
      <c r="Q3404" s="9"/>
      <c r="R3404" s="18"/>
      <c r="S3404" s="18"/>
      <c r="T3404" s="18"/>
      <c r="U3404" s="18"/>
      <c r="V3404" s="18"/>
      <c r="W3404" s="15"/>
      <c r="X3404" s="15"/>
    </row>
    <row r="3405">
      <c r="A3405" s="7">
        <v>3404.0</v>
      </c>
      <c r="B3405" s="8" t="s">
        <v>14151</v>
      </c>
      <c r="C3405" s="9" t="s">
        <v>14152</v>
      </c>
      <c r="D3405" s="10" t="str">
        <f>HYPERLINK("https://facebook.com/367089020688300_410473476349854", "367089020688300_410473476349854")</f>
        <v>367089020688300_410473476349854</v>
      </c>
      <c r="E3405" s="11">
        <v>285.0</v>
      </c>
      <c r="F3405" s="11">
        <v>11.0</v>
      </c>
      <c r="G3405" s="11">
        <v>138.0</v>
      </c>
      <c r="H3405" s="9" t="s">
        <v>26</v>
      </c>
      <c r="I3405" s="9" t="s">
        <v>14153</v>
      </c>
      <c r="J3405" s="9" t="s">
        <v>14154</v>
      </c>
      <c r="K3405" s="9" t="s">
        <v>14155</v>
      </c>
      <c r="L3405" s="9" t="s">
        <v>30</v>
      </c>
      <c r="M3405" s="9" t="s">
        <v>31</v>
      </c>
      <c r="N3405" s="9" t="s">
        <v>32</v>
      </c>
      <c r="O3405" s="12" t="s">
        <v>33</v>
      </c>
      <c r="P3405" s="12" t="s">
        <v>34</v>
      </c>
      <c r="Q3405" s="9"/>
      <c r="R3405" s="18"/>
      <c r="S3405" s="18"/>
      <c r="T3405" s="18"/>
      <c r="U3405" s="18"/>
      <c r="V3405" s="18"/>
      <c r="W3405" s="15"/>
      <c r="X3405" s="15"/>
    </row>
    <row r="3406">
      <c r="A3406" s="7">
        <v>3405.0</v>
      </c>
      <c r="B3406" s="8" t="s">
        <v>14156</v>
      </c>
      <c r="C3406" s="9" t="s">
        <v>14157</v>
      </c>
      <c r="D3406" s="10" t="str">
        <f>HYPERLINK("https://facebook.com/367089020688300_425123824884819", "367089020688300_425123824884819")</f>
        <v>367089020688300_425123824884819</v>
      </c>
      <c r="E3406" s="11">
        <v>314.0</v>
      </c>
      <c r="F3406" s="11">
        <v>6.0</v>
      </c>
      <c r="G3406" s="11">
        <v>177.0</v>
      </c>
      <c r="H3406" s="9" t="s">
        <v>26</v>
      </c>
      <c r="I3406" s="9" t="s">
        <v>14158</v>
      </c>
      <c r="J3406" s="9" t="s">
        <v>14159</v>
      </c>
      <c r="K3406" s="9" t="s">
        <v>14160</v>
      </c>
      <c r="L3406" s="9" t="s">
        <v>30</v>
      </c>
      <c r="M3406" s="9" t="s">
        <v>31</v>
      </c>
      <c r="N3406" s="9" t="s">
        <v>32</v>
      </c>
      <c r="O3406" s="12" t="s">
        <v>33</v>
      </c>
      <c r="P3406" s="12" t="s">
        <v>34</v>
      </c>
      <c r="Q3406" s="9"/>
      <c r="R3406" s="18"/>
      <c r="S3406" s="18"/>
      <c r="T3406" s="18"/>
      <c r="U3406" s="18"/>
      <c r="V3406" s="18"/>
      <c r="W3406" s="15"/>
      <c r="X3406" s="15"/>
    </row>
    <row r="3407">
      <c r="A3407" s="7">
        <v>3406.0</v>
      </c>
      <c r="B3407" s="8" t="s">
        <v>14161</v>
      </c>
      <c r="C3407" s="9" t="s">
        <v>14162</v>
      </c>
      <c r="D3407" s="10" t="str">
        <f>HYPERLINK("https://facebook.com/367089020688300_453111565419378", "367089020688300_453111565419378")</f>
        <v>367089020688300_453111565419378</v>
      </c>
      <c r="E3407" s="11">
        <v>3569.0</v>
      </c>
      <c r="F3407" s="11">
        <v>390.0</v>
      </c>
      <c r="G3407" s="11">
        <v>1766.0</v>
      </c>
      <c r="H3407" s="9" t="s">
        <v>26</v>
      </c>
      <c r="I3407" s="9" t="s">
        <v>14163</v>
      </c>
      <c r="J3407" s="16" t="s">
        <v>14164</v>
      </c>
      <c r="K3407" s="9"/>
      <c r="L3407" s="9" t="s">
        <v>30</v>
      </c>
      <c r="M3407" s="9" t="s">
        <v>31</v>
      </c>
      <c r="N3407" s="9" t="s">
        <v>32</v>
      </c>
      <c r="O3407" s="12" t="s">
        <v>33</v>
      </c>
      <c r="P3407" s="12" t="s">
        <v>34</v>
      </c>
      <c r="Q3407" s="9"/>
      <c r="R3407" s="18"/>
      <c r="S3407" s="18"/>
      <c r="T3407" s="18"/>
      <c r="U3407" s="18"/>
      <c r="V3407" s="18"/>
      <c r="W3407" s="15"/>
      <c r="X3407" s="15"/>
    </row>
    <row r="3408">
      <c r="A3408" s="7">
        <v>3407.0</v>
      </c>
      <c r="B3408" s="8" t="s">
        <v>14165</v>
      </c>
      <c r="C3408" s="9" t="s">
        <v>14166</v>
      </c>
      <c r="D3408" s="10" t="str">
        <f>HYPERLINK("https://facebook.com/367089020688300_561470004583533", "367089020688300_561470004583533")</f>
        <v>367089020688300_561470004583533</v>
      </c>
      <c r="E3408" s="11">
        <v>208.0</v>
      </c>
      <c r="F3408" s="11">
        <v>9.0</v>
      </c>
      <c r="G3408" s="11">
        <v>137.0</v>
      </c>
      <c r="H3408" s="9" t="s">
        <v>26</v>
      </c>
      <c r="I3408" s="9" t="s">
        <v>14167</v>
      </c>
      <c r="J3408" s="9" t="s">
        <v>14168</v>
      </c>
      <c r="K3408" s="9" t="s">
        <v>14169</v>
      </c>
      <c r="L3408" s="9" t="s">
        <v>30</v>
      </c>
      <c r="M3408" s="9" t="s">
        <v>31</v>
      </c>
      <c r="N3408" s="9" t="s">
        <v>32</v>
      </c>
      <c r="O3408" s="12" t="s">
        <v>33</v>
      </c>
      <c r="P3408" s="12" t="s">
        <v>34</v>
      </c>
      <c r="Q3408" s="9"/>
      <c r="R3408" s="18"/>
      <c r="S3408" s="18"/>
      <c r="T3408" s="18"/>
      <c r="U3408" s="18"/>
      <c r="V3408" s="18"/>
      <c r="W3408" s="15"/>
      <c r="X3408" s="15"/>
    </row>
    <row r="3409">
      <c r="A3409" s="7">
        <v>3408.0</v>
      </c>
      <c r="B3409" s="8" t="s">
        <v>14170</v>
      </c>
      <c r="C3409" s="9" t="s">
        <v>14171</v>
      </c>
      <c r="D3409" s="10" t="str">
        <f>HYPERLINK("https://facebook.com/367089020688300_498260064237861", "367089020688300_498260064237861")</f>
        <v>367089020688300_498260064237861</v>
      </c>
      <c r="E3409" s="11">
        <v>369.0</v>
      </c>
      <c r="F3409" s="11">
        <v>20.0</v>
      </c>
      <c r="G3409" s="11">
        <v>291.0</v>
      </c>
      <c r="H3409" s="9" t="s">
        <v>26</v>
      </c>
      <c r="I3409" s="9" t="s">
        <v>14172</v>
      </c>
      <c r="J3409" s="9" t="s">
        <v>14173</v>
      </c>
      <c r="K3409" s="9" t="s">
        <v>485</v>
      </c>
      <c r="L3409" s="9" t="s">
        <v>30</v>
      </c>
      <c r="M3409" s="9" t="s">
        <v>31</v>
      </c>
      <c r="N3409" s="9" t="s">
        <v>32</v>
      </c>
      <c r="O3409" s="12" t="s">
        <v>33</v>
      </c>
      <c r="P3409" s="12" t="s">
        <v>34</v>
      </c>
      <c r="Q3409" s="9"/>
      <c r="R3409" s="18"/>
      <c r="S3409" s="18"/>
      <c r="T3409" s="18"/>
      <c r="U3409" s="18"/>
      <c r="V3409" s="18"/>
      <c r="W3409" s="15"/>
      <c r="X3409" s="15"/>
    </row>
    <row r="3410">
      <c r="A3410" s="7">
        <v>3409.0</v>
      </c>
      <c r="B3410" s="8" t="s">
        <v>14174</v>
      </c>
      <c r="C3410" s="9" t="s">
        <v>14175</v>
      </c>
      <c r="D3410" s="10" t="str">
        <f>HYPERLINK("https://facebook.com/367089020688300_537242797006254", "367089020688300_537242797006254")</f>
        <v>367089020688300_537242797006254</v>
      </c>
      <c r="E3410" s="11">
        <v>128.0</v>
      </c>
      <c r="F3410" s="11">
        <v>1.0</v>
      </c>
      <c r="G3410" s="11">
        <v>89.0</v>
      </c>
      <c r="H3410" s="9" t="s">
        <v>26</v>
      </c>
      <c r="I3410" s="9" t="s">
        <v>14176</v>
      </c>
      <c r="J3410" s="9" t="s">
        <v>14177</v>
      </c>
      <c r="K3410" s="9"/>
      <c r="L3410" s="9" t="s">
        <v>30</v>
      </c>
      <c r="M3410" s="9" t="s">
        <v>31</v>
      </c>
      <c r="N3410" s="9" t="s">
        <v>32</v>
      </c>
      <c r="O3410" s="12" t="s">
        <v>33</v>
      </c>
      <c r="P3410" s="12" t="s">
        <v>34</v>
      </c>
      <c r="Q3410" s="9"/>
      <c r="R3410" s="18"/>
      <c r="S3410" s="18"/>
      <c r="T3410" s="18"/>
      <c r="U3410" s="18"/>
      <c r="V3410" s="18"/>
      <c r="W3410" s="15"/>
      <c r="X3410" s="15"/>
    </row>
    <row r="3411">
      <c r="A3411" s="7">
        <v>3410.0</v>
      </c>
      <c r="B3411" s="8" t="s">
        <v>14178</v>
      </c>
      <c r="C3411" s="9" t="s">
        <v>14179</v>
      </c>
      <c r="D3411" s="10" t="str">
        <f>HYPERLINK("https://facebook.com/367089020688300_554702885260245", "367089020688300_554702885260245")</f>
        <v>367089020688300_554702885260245</v>
      </c>
      <c r="E3411" s="11">
        <v>8.0</v>
      </c>
      <c r="F3411" s="11">
        <v>0.0</v>
      </c>
      <c r="G3411" s="11">
        <v>14.0</v>
      </c>
      <c r="H3411" s="9" t="s">
        <v>26</v>
      </c>
      <c r="I3411" s="9" t="s">
        <v>14180</v>
      </c>
      <c r="J3411" s="9" t="s">
        <v>14181</v>
      </c>
      <c r="K3411" s="9" t="s">
        <v>214</v>
      </c>
      <c r="L3411" s="9" t="s">
        <v>30</v>
      </c>
      <c r="M3411" s="9" t="s">
        <v>31</v>
      </c>
      <c r="N3411" s="9" t="s">
        <v>32</v>
      </c>
      <c r="O3411" s="12" t="s">
        <v>33</v>
      </c>
      <c r="P3411" s="12" t="s">
        <v>34</v>
      </c>
      <c r="Q3411" s="9"/>
      <c r="R3411" s="18"/>
      <c r="S3411" s="18"/>
      <c r="T3411" s="18"/>
      <c r="U3411" s="18"/>
      <c r="V3411" s="18"/>
      <c r="W3411" s="15"/>
      <c r="X3411" s="15"/>
    </row>
    <row r="3412">
      <c r="A3412" s="7">
        <v>3411.0</v>
      </c>
      <c r="B3412" s="8" t="s">
        <v>14182</v>
      </c>
      <c r="C3412" s="9" t="s">
        <v>14183</v>
      </c>
      <c r="D3412" s="10" t="str">
        <f>HYPERLINK("https://facebook.com/367089020688300_556192061777994", "367089020688300_556192061777994")</f>
        <v>367089020688300_556192061777994</v>
      </c>
      <c r="E3412" s="11">
        <v>14.0</v>
      </c>
      <c r="F3412" s="11">
        <v>1.0</v>
      </c>
      <c r="G3412" s="11">
        <v>16.0</v>
      </c>
      <c r="H3412" s="9" t="s">
        <v>26</v>
      </c>
      <c r="I3412" s="9" t="s">
        <v>14184</v>
      </c>
      <c r="J3412" s="16" t="s">
        <v>14185</v>
      </c>
      <c r="K3412" s="9"/>
      <c r="L3412" s="9" t="s">
        <v>30</v>
      </c>
      <c r="M3412" s="9" t="s">
        <v>31</v>
      </c>
      <c r="N3412" s="9" t="s">
        <v>32</v>
      </c>
      <c r="O3412" s="12" t="s">
        <v>33</v>
      </c>
      <c r="P3412" s="12" t="s">
        <v>34</v>
      </c>
      <c r="Q3412" s="9"/>
      <c r="R3412" s="18"/>
      <c r="S3412" s="18"/>
      <c r="T3412" s="18"/>
      <c r="U3412" s="18"/>
      <c r="V3412" s="18"/>
      <c r="W3412" s="15"/>
      <c r="X3412" s="15"/>
    </row>
    <row r="3413">
      <c r="A3413" s="7">
        <v>3412.0</v>
      </c>
      <c r="B3413" s="8" t="s">
        <v>14186</v>
      </c>
      <c r="C3413" s="9" t="s">
        <v>14187</v>
      </c>
      <c r="D3413" s="10" t="str">
        <f>HYPERLINK("https://facebook.com/367089020688300_555889298474937", "367089020688300_555889298474937")</f>
        <v>367089020688300_555889298474937</v>
      </c>
      <c r="E3413" s="11">
        <v>27.0</v>
      </c>
      <c r="F3413" s="11">
        <v>2.0</v>
      </c>
      <c r="G3413" s="11">
        <v>19.0</v>
      </c>
      <c r="H3413" s="9" t="s">
        <v>26</v>
      </c>
      <c r="I3413" s="9" t="s">
        <v>14188</v>
      </c>
      <c r="J3413" s="9" t="s">
        <v>14189</v>
      </c>
      <c r="K3413" s="9" t="s">
        <v>14190</v>
      </c>
      <c r="L3413" s="9" t="s">
        <v>30</v>
      </c>
      <c r="M3413" s="9" t="s">
        <v>31</v>
      </c>
      <c r="N3413" s="9" t="s">
        <v>32</v>
      </c>
      <c r="O3413" s="12" t="s">
        <v>33</v>
      </c>
      <c r="P3413" s="12" t="s">
        <v>34</v>
      </c>
      <c r="Q3413" s="9"/>
      <c r="R3413" s="18"/>
      <c r="S3413" s="18"/>
      <c r="T3413" s="18"/>
      <c r="U3413" s="18"/>
      <c r="V3413" s="18"/>
      <c r="W3413" s="15"/>
      <c r="X3413" s="15"/>
    </row>
    <row r="3414">
      <c r="A3414" s="7">
        <v>3413.0</v>
      </c>
      <c r="B3414" s="8" t="s">
        <v>14191</v>
      </c>
      <c r="C3414" s="9" t="s">
        <v>14192</v>
      </c>
      <c r="D3414" s="10" t="str">
        <f>HYPERLINK("https://facebook.com/367089020688300_559555724774961", "367089020688300_559555724774961")</f>
        <v>367089020688300_559555724774961</v>
      </c>
      <c r="E3414" s="11">
        <v>172.0</v>
      </c>
      <c r="F3414" s="11">
        <v>3.0</v>
      </c>
      <c r="G3414" s="11">
        <v>364.0</v>
      </c>
      <c r="H3414" s="9" t="s">
        <v>26</v>
      </c>
      <c r="I3414" s="9" t="s">
        <v>14193</v>
      </c>
      <c r="J3414" s="16" t="s">
        <v>14194</v>
      </c>
      <c r="K3414" s="9"/>
      <c r="L3414" s="9" t="s">
        <v>30</v>
      </c>
      <c r="M3414" s="9" t="s">
        <v>31</v>
      </c>
      <c r="N3414" s="9" t="s">
        <v>32</v>
      </c>
      <c r="O3414" s="12" t="s">
        <v>33</v>
      </c>
      <c r="P3414" s="12" t="s">
        <v>34</v>
      </c>
      <c r="Q3414" s="9"/>
      <c r="R3414" s="18"/>
      <c r="S3414" s="18"/>
      <c r="T3414" s="18"/>
      <c r="U3414" s="18"/>
      <c r="V3414" s="18"/>
      <c r="W3414" s="15"/>
      <c r="X3414" s="15"/>
    </row>
    <row r="3415">
      <c r="A3415" s="7">
        <v>3414.0</v>
      </c>
      <c r="B3415" s="8" t="s">
        <v>14195</v>
      </c>
      <c r="C3415" s="9" t="s">
        <v>14196</v>
      </c>
      <c r="D3415" s="10" t="str">
        <f>HYPERLINK("https://facebook.com/367089020688300_546766196053914", "367089020688300_546766196053914")</f>
        <v>367089020688300_546766196053914</v>
      </c>
      <c r="E3415" s="11">
        <v>85.0</v>
      </c>
      <c r="F3415" s="11">
        <v>1.0</v>
      </c>
      <c r="G3415" s="11">
        <v>57.0</v>
      </c>
      <c r="H3415" s="9" t="s">
        <v>26</v>
      </c>
      <c r="I3415" s="9" t="s">
        <v>14197</v>
      </c>
      <c r="J3415" s="9" t="s">
        <v>14198</v>
      </c>
      <c r="K3415" s="9" t="s">
        <v>14199</v>
      </c>
      <c r="L3415" s="9" t="s">
        <v>30</v>
      </c>
      <c r="M3415" s="9" t="s">
        <v>31</v>
      </c>
      <c r="N3415" s="9" t="s">
        <v>32</v>
      </c>
      <c r="O3415" s="12" t="s">
        <v>33</v>
      </c>
      <c r="P3415" s="12" t="s">
        <v>34</v>
      </c>
      <c r="Q3415" s="9"/>
      <c r="R3415" s="18"/>
      <c r="S3415" s="18"/>
      <c r="T3415" s="18"/>
      <c r="U3415" s="18"/>
      <c r="V3415" s="18"/>
      <c r="W3415" s="15"/>
      <c r="X3415" s="15"/>
    </row>
    <row r="3416">
      <c r="A3416" s="7">
        <v>3415.0</v>
      </c>
      <c r="B3416" s="8" t="s">
        <v>14200</v>
      </c>
      <c r="C3416" s="9" t="s">
        <v>14201</v>
      </c>
      <c r="D3416" s="10" t="str">
        <f>HYPERLINK("https://facebook.com/367089020688300_551291728934694", "367089020688300_551291728934694")</f>
        <v>367089020688300_551291728934694</v>
      </c>
      <c r="E3416" s="11">
        <v>75.0</v>
      </c>
      <c r="F3416" s="11">
        <v>0.0</v>
      </c>
      <c r="G3416" s="11">
        <v>26.0</v>
      </c>
      <c r="H3416" s="9" t="s">
        <v>26</v>
      </c>
      <c r="I3416" s="9" t="s">
        <v>14202</v>
      </c>
      <c r="J3416" s="9" t="s">
        <v>14203</v>
      </c>
      <c r="K3416" s="9" t="s">
        <v>14204</v>
      </c>
      <c r="L3416" s="9" t="s">
        <v>30</v>
      </c>
      <c r="M3416" s="9" t="s">
        <v>31</v>
      </c>
      <c r="N3416" s="9" t="s">
        <v>32</v>
      </c>
      <c r="O3416" s="12" t="s">
        <v>33</v>
      </c>
      <c r="P3416" s="12" t="s">
        <v>34</v>
      </c>
      <c r="Q3416" s="9"/>
      <c r="R3416" s="18"/>
      <c r="S3416" s="18"/>
      <c r="T3416" s="18"/>
      <c r="U3416" s="18"/>
      <c r="V3416" s="18"/>
      <c r="W3416" s="15"/>
      <c r="X3416" s="15"/>
    </row>
    <row r="3417">
      <c r="A3417" s="7">
        <v>3416.0</v>
      </c>
      <c r="B3417" s="8" t="s">
        <v>14205</v>
      </c>
      <c r="C3417" s="9" t="s">
        <v>14206</v>
      </c>
      <c r="D3417" s="10" t="str">
        <f>HYPERLINK("https://facebook.com/367089020688300_528053964591804", "367089020688300_528053964591804")</f>
        <v>367089020688300_528053964591804</v>
      </c>
      <c r="E3417" s="11">
        <v>22.0</v>
      </c>
      <c r="F3417" s="11">
        <v>0.0</v>
      </c>
      <c r="G3417" s="11">
        <v>29.0</v>
      </c>
      <c r="H3417" s="9" t="s">
        <v>26</v>
      </c>
      <c r="I3417" s="9" t="s">
        <v>14207</v>
      </c>
      <c r="J3417" s="16" t="s">
        <v>14208</v>
      </c>
      <c r="K3417" s="9"/>
      <c r="L3417" s="9" t="s">
        <v>30</v>
      </c>
      <c r="M3417" s="9" t="s">
        <v>31</v>
      </c>
      <c r="N3417" s="9" t="s">
        <v>32</v>
      </c>
      <c r="O3417" s="12" t="s">
        <v>33</v>
      </c>
      <c r="P3417" s="12" t="s">
        <v>34</v>
      </c>
      <c r="Q3417" s="9"/>
      <c r="R3417" s="18"/>
      <c r="S3417" s="18"/>
      <c r="T3417" s="18"/>
      <c r="U3417" s="18"/>
      <c r="V3417" s="18"/>
      <c r="W3417" s="15"/>
      <c r="X3417" s="15"/>
    </row>
    <row r="3418">
      <c r="A3418" s="7">
        <v>3417.0</v>
      </c>
      <c r="B3418" s="8" t="s">
        <v>14209</v>
      </c>
      <c r="C3418" s="9" t="s">
        <v>14210</v>
      </c>
      <c r="D3418" s="10" t="str">
        <f>HYPERLINK("https://facebook.com/367089020688300_537222700341597", "367089020688300_537222700341597")</f>
        <v>367089020688300_537222700341597</v>
      </c>
      <c r="E3418" s="11">
        <v>50.0</v>
      </c>
      <c r="F3418" s="11">
        <v>1.0</v>
      </c>
      <c r="G3418" s="11">
        <v>112.0</v>
      </c>
      <c r="H3418" s="9" t="s">
        <v>26</v>
      </c>
      <c r="I3418" s="9" t="s">
        <v>14211</v>
      </c>
      <c r="J3418" s="9" t="s">
        <v>14212</v>
      </c>
      <c r="K3418" s="9" t="s">
        <v>14213</v>
      </c>
      <c r="L3418" s="9" t="s">
        <v>30</v>
      </c>
      <c r="M3418" s="9" t="s">
        <v>31</v>
      </c>
      <c r="N3418" s="9" t="s">
        <v>32</v>
      </c>
      <c r="O3418" s="12" t="s">
        <v>33</v>
      </c>
      <c r="P3418" s="12" t="s">
        <v>34</v>
      </c>
      <c r="Q3418" s="9"/>
      <c r="R3418" s="18"/>
      <c r="S3418" s="18"/>
      <c r="T3418" s="18"/>
      <c r="U3418" s="18"/>
      <c r="V3418" s="18"/>
      <c r="W3418" s="15"/>
      <c r="X3418" s="15"/>
    </row>
    <row r="3419">
      <c r="A3419" s="7">
        <v>3418.0</v>
      </c>
      <c r="B3419" s="8" t="s">
        <v>14214</v>
      </c>
      <c r="C3419" s="9" t="s">
        <v>14215</v>
      </c>
      <c r="D3419" s="10" t="str">
        <f>HYPERLINK("https://facebook.com/367089020688300_537318070332060", "367089020688300_537318070332060")</f>
        <v>367089020688300_537318070332060</v>
      </c>
      <c r="E3419" s="11">
        <v>4.0</v>
      </c>
      <c r="F3419" s="11">
        <v>0.0</v>
      </c>
      <c r="G3419" s="11">
        <v>15.0</v>
      </c>
      <c r="H3419" s="9" t="s">
        <v>26</v>
      </c>
      <c r="I3419" s="9" t="s">
        <v>5787</v>
      </c>
      <c r="J3419" s="16" t="s">
        <v>5788</v>
      </c>
      <c r="K3419" s="9"/>
      <c r="L3419" s="9" t="s">
        <v>30</v>
      </c>
      <c r="M3419" s="9" t="s">
        <v>31</v>
      </c>
      <c r="N3419" s="9" t="s">
        <v>32</v>
      </c>
      <c r="O3419" s="12" t="s">
        <v>33</v>
      </c>
      <c r="P3419" s="12" t="s">
        <v>34</v>
      </c>
      <c r="Q3419" s="9"/>
      <c r="R3419" s="18"/>
      <c r="S3419" s="18"/>
      <c r="T3419" s="18"/>
      <c r="U3419" s="18"/>
      <c r="V3419" s="18"/>
      <c r="W3419" s="15"/>
      <c r="X3419" s="15"/>
    </row>
    <row r="3420">
      <c r="A3420" s="7">
        <v>3419.0</v>
      </c>
      <c r="B3420" s="8" t="s">
        <v>14216</v>
      </c>
      <c r="C3420" s="9" t="s">
        <v>14217</v>
      </c>
      <c r="D3420" s="10" t="str">
        <f>HYPERLINK("https://facebook.com/367089020688300_540668389997028", "367089020688300_540668389997028")</f>
        <v>367089020688300_540668389997028</v>
      </c>
      <c r="E3420" s="11">
        <v>33.0</v>
      </c>
      <c r="F3420" s="11">
        <v>1.0</v>
      </c>
      <c r="G3420" s="11">
        <v>61.0</v>
      </c>
      <c r="H3420" s="9" t="s">
        <v>26</v>
      </c>
      <c r="I3420" s="9" t="s">
        <v>7365</v>
      </c>
      <c r="J3420" s="9" t="s">
        <v>7366</v>
      </c>
      <c r="K3420" s="9" t="s">
        <v>14218</v>
      </c>
      <c r="L3420" s="9" t="s">
        <v>30</v>
      </c>
      <c r="M3420" s="9" t="s">
        <v>31</v>
      </c>
      <c r="N3420" s="9" t="s">
        <v>32</v>
      </c>
      <c r="O3420" s="12" t="s">
        <v>33</v>
      </c>
      <c r="P3420" s="12" t="s">
        <v>34</v>
      </c>
      <c r="Q3420" s="9"/>
      <c r="R3420" s="18"/>
      <c r="S3420" s="18"/>
      <c r="T3420" s="18"/>
      <c r="U3420" s="18"/>
      <c r="V3420" s="18"/>
      <c r="W3420" s="15"/>
      <c r="X3420" s="15"/>
    </row>
    <row r="3421">
      <c r="A3421" s="7">
        <v>3420.0</v>
      </c>
      <c r="B3421" s="8" t="s">
        <v>14219</v>
      </c>
      <c r="C3421" s="9" t="s">
        <v>14220</v>
      </c>
      <c r="D3421" s="10" t="str">
        <f>HYPERLINK("https://facebook.com/367089020688300_519490085448192", "367089020688300_519490085448192")</f>
        <v>367089020688300_519490085448192</v>
      </c>
      <c r="E3421" s="11">
        <v>111.0</v>
      </c>
      <c r="F3421" s="11">
        <v>0.0</v>
      </c>
      <c r="G3421" s="11">
        <v>58.0</v>
      </c>
      <c r="H3421" s="9" t="s">
        <v>26</v>
      </c>
      <c r="I3421" s="9" t="s">
        <v>14221</v>
      </c>
      <c r="J3421" s="16" t="s">
        <v>14222</v>
      </c>
      <c r="K3421" s="9"/>
      <c r="L3421" s="9" t="s">
        <v>30</v>
      </c>
      <c r="M3421" s="9" t="s">
        <v>31</v>
      </c>
      <c r="N3421" s="9" t="s">
        <v>32</v>
      </c>
      <c r="O3421" s="12" t="s">
        <v>33</v>
      </c>
      <c r="P3421" s="12" t="s">
        <v>34</v>
      </c>
      <c r="Q3421" s="9"/>
      <c r="R3421" s="18"/>
      <c r="S3421" s="18"/>
      <c r="T3421" s="18"/>
      <c r="U3421" s="18"/>
      <c r="V3421" s="18"/>
      <c r="W3421" s="15"/>
      <c r="X3421" s="15"/>
    </row>
    <row r="3422">
      <c r="A3422" s="7">
        <v>3421.0</v>
      </c>
      <c r="B3422" s="8" t="s">
        <v>14223</v>
      </c>
      <c r="C3422" s="9" t="s">
        <v>14224</v>
      </c>
      <c r="D3422" s="10" t="str">
        <f>HYPERLINK("https://facebook.com/367089020688300_529956724401528", "367089020688300_529956724401528")</f>
        <v>367089020688300_529956724401528</v>
      </c>
      <c r="E3422" s="11">
        <v>57.0</v>
      </c>
      <c r="F3422" s="11">
        <v>0.0</v>
      </c>
      <c r="G3422" s="11">
        <v>126.0</v>
      </c>
      <c r="H3422" s="9" t="s">
        <v>26</v>
      </c>
      <c r="I3422" s="9" t="s">
        <v>14225</v>
      </c>
      <c r="J3422" s="9" t="s">
        <v>14226</v>
      </c>
      <c r="K3422" s="9" t="s">
        <v>195</v>
      </c>
      <c r="L3422" s="9" t="s">
        <v>30</v>
      </c>
      <c r="M3422" s="9" t="s">
        <v>31</v>
      </c>
      <c r="N3422" s="9" t="s">
        <v>32</v>
      </c>
      <c r="O3422" s="12" t="s">
        <v>33</v>
      </c>
      <c r="P3422" s="12" t="s">
        <v>34</v>
      </c>
      <c r="Q3422" s="9"/>
      <c r="R3422" s="18"/>
      <c r="S3422" s="18"/>
      <c r="T3422" s="18"/>
      <c r="U3422" s="18"/>
      <c r="V3422" s="18"/>
      <c r="W3422" s="15"/>
      <c r="X3422" s="15"/>
    </row>
    <row r="3423">
      <c r="A3423" s="7">
        <v>3422.0</v>
      </c>
      <c r="B3423" s="8" t="s">
        <v>14227</v>
      </c>
      <c r="C3423" s="9" t="s">
        <v>14228</v>
      </c>
      <c r="D3423" s="10" t="str">
        <f>HYPERLINK("https://facebook.com/367089020688300_557938258270041", "367089020688300_557938258270041")</f>
        <v>367089020688300_557938258270041</v>
      </c>
      <c r="E3423" s="11">
        <v>14.0</v>
      </c>
      <c r="F3423" s="11">
        <v>0.0</v>
      </c>
      <c r="G3423" s="11">
        <v>10.0</v>
      </c>
      <c r="H3423" s="9" t="s">
        <v>26</v>
      </c>
      <c r="I3423" s="9" t="s">
        <v>14229</v>
      </c>
      <c r="J3423" s="9" t="s">
        <v>14230</v>
      </c>
      <c r="K3423" s="9" t="s">
        <v>249</v>
      </c>
      <c r="L3423" s="9" t="s">
        <v>30</v>
      </c>
      <c r="M3423" s="9" t="s">
        <v>31</v>
      </c>
      <c r="N3423" s="9" t="s">
        <v>32</v>
      </c>
      <c r="O3423" s="12" t="s">
        <v>33</v>
      </c>
      <c r="P3423" s="12" t="s">
        <v>34</v>
      </c>
      <c r="Q3423" s="9"/>
      <c r="R3423" s="18"/>
      <c r="S3423" s="18"/>
      <c r="T3423" s="18"/>
      <c r="U3423" s="18"/>
      <c r="V3423" s="18"/>
      <c r="W3423" s="15"/>
      <c r="X3423" s="15"/>
    </row>
    <row r="3424">
      <c r="A3424" s="7">
        <v>3423.0</v>
      </c>
      <c r="B3424" s="8" t="s">
        <v>14231</v>
      </c>
      <c r="C3424" s="9" t="s">
        <v>14232</v>
      </c>
      <c r="D3424" s="10" t="str">
        <f>HYPERLINK("https://facebook.com/367089020688300_557192515011282", "367089020688300_557192515011282")</f>
        <v>367089020688300_557192515011282</v>
      </c>
      <c r="E3424" s="11">
        <v>84.0</v>
      </c>
      <c r="F3424" s="11">
        <v>2.0</v>
      </c>
      <c r="G3424" s="11">
        <v>57.0</v>
      </c>
      <c r="H3424" s="9" t="s">
        <v>26</v>
      </c>
      <c r="I3424" s="9" t="s">
        <v>5113</v>
      </c>
      <c r="J3424" s="16" t="s">
        <v>14233</v>
      </c>
      <c r="K3424" s="9"/>
      <c r="L3424" s="9" t="s">
        <v>30</v>
      </c>
      <c r="M3424" s="9" t="s">
        <v>31</v>
      </c>
      <c r="N3424" s="9" t="s">
        <v>32</v>
      </c>
      <c r="O3424" s="12" t="s">
        <v>33</v>
      </c>
      <c r="P3424" s="12" t="s">
        <v>34</v>
      </c>
      <c r="Q3424" s="9"/>
      <c r="R3424" s="18"/>
      <c r="S3424" s="18"/>
      <c r="T3424" s="18"/>
      <c r="U3424" s="18"/>
      <c r="V3424" s="18"/>
      <c r="W3424" s="15"/>
      <c r="X3424" s="15"/>
    </row>
    <row r="3425">
      <c r="A3425" s="7">
        <v>3424.0</v>
      </c>
      <c r="B3425" s="8" t="s">
        <v>14234</v>
      </c>
      <c r="C3425" s="9" t="s">
        <v>14235</v>
      </c>
      <c r="D3425" s="10" t="str">
        <f>HYPERLINK("https://facebook.com/367089020688300_540614963335704", "367089020688300_540614963335704")</f>
        <v>367089020688300_540614963335704</v>
      </c>
      <c r="E3425" s="11">
        <v>87.0</v>
      </c>
      <c r="F3425" s="11">
        <v>0.0</v>
      </c>
      <c r="G3425" s="11">
        <v>60.0</v>
      </c>
      <c r="H3425" s="9" t="s">
        <v>26</v>
      </c>
      <c r="I3425" s="9" t="s">
        <v>14236</v>
      </c>
      <c r="J3425" s="9" t="s">
        <v>14237</v>
      </c>
      <c r="K3425" s="9" t="s">
        <v>10248</v>
      </c>
      <c r="L3425" s="9" t="s">
        <v>30</v>
      </c>
      <c r="M3425" s="9" t="s">
        <v>31</v>
      </c>
      <c r="N3425" s="9" t="s">
        <v>32</v>
      </c>
      <c r="O3425" s="12" t="s">
        <v>33</v>
      </c>
      <c r="P3425" s="12" t="s">
        <v>34</v>
      </c>
      <c r="Q3425" s="9"/>
      <c r="R3425" s="18"/>
      <c r="S3425" s="18"/>
      <c r="T3425" s="18"/>
      <c r="U3425" s="18"/>
      <c r="V3425" s="18"/>
      <c r="W3425" s="15"/>
      <c r="X3425" s="15"/>
    </row>
    <row r="3426">
      <c r="A3426" s="7">
        <v>3425.0</v>
      </c>
      <c r="B3426" s="8" t="s">
        <v>14238</v>
      </c>
      <c r="C3426" s="9" t="s">
        <v>14239</v>
      </c>
      <c r="D3426" s="10" t="str">
        <f>HYPERLINK("https://facebook.com/367089020688300_547987752598425", "367089020688300_547987752598425")</f>
        <v>367089020688300_547987752598425</v>
      </c>
      <c r="E3426" s="11">
        <v>78.0</v>
      </c>
      <c r="F3426" s="11">
        <v>4.0</v>
      </c>
      <c r="G3426" s="11">
        <v>49.0</v>
      </c>
      <c r="H3426" s="9" t="s">
        <v>26</v>
      </c>
      <c r="I3426" s="9" t="s">
        <v>14240</v>
      </c>
      <c r="J3426" s="16" t="s">
        <v>14241</v>
      </c>
      <c r="K3426" s="9"/>
      <c r="L3426" s="9" t="s">
        <v>30</v>
      </c>
      <c r="M3426" s="9" t="s">
        <v>31</v>
      </c>
      <c r="N3426" s="9" t="s">
        <v>32</v>
      </c>
      <c r="O3426" s="12" t="s">
        <v>33</v>
      </c>
      <c r="P3426" s="12" t="s">
        <v>34</v>
      </c>
      <c r="Q3426" s="9"/>
      <c r="R3426" s="18"/>
      <c r="S3426" s="18"/>
      <c r="T3426" s="18"/>
      <c r="U3426" s="18"/>
      <c r="V3426" s="18"/>
      <c r="W3426" s="15"/>
      <c r="X3426" s="15"/>
    </row>
    <row r="3427">
      <c r="A3427" s="7">
        <v>3426.0</v>
      </c>
      <c r="B3427" s="8" t="s">
        <v>14242</v>
      </c>
      <c r="C3427" s="9" t="s">
        <v>14243</v>
      </c>
      <c r="D3427" s="10" t="str">
        <f>HYPERLINK("https://facebook.com/367089020688300_526446654752535", "367089020688300_526446654752535")</f>
        <v>367089020688300_526446654752535</v>
      </c>
      <c r="E3427" s="11">
        <v>186.0</v>
      </c>
      <c r="F3427" s="11">
        <v>4.0</v>
      </c>
      <c r="G3427" s="11">
        <v>99.0</v>
      </c>
      <c r="H3427" s="9" t="s">
        <v>26</v>
      </c>
      <c r="I3427" s="9" t="s">
        <v>14244</v>
      </c>
      <c r="J3427" s="9" t="s">
        <v>14245</v>
      </c>
      <c r="K3427" s="9" t="s">
        <v>11773</v>
      </c>
      <c r="L3427" s="9" t="s">
        <v>30</v>
      </c>
      <c r="M3427" s="9" t="s">
        <v>31</v>
      </c>
      <c r="N3427" s="9" t="s">
        <v>32</v>
      </c>
      <c r="O3427" s="12" t="s">
        <v>33</v>
      </c>
      <c r="P3427" s="12" t="s">
        <v>34</v>
      </c>
      <c r="Q3427" s="9"/>
      <c r="R3427" s="18"/>
      <c r="S3427" s="18"/>
      <c r="T3427" s="18"/>
      <c r="U3427" s="18"/>
      <c r="V3427" s="18"/>
      <c r="W3427" s="15"/>
      <c r="X3427" s="15"/>
    </row>
    <row r="3428">
      <c r="A3428" s="7">
        <v>3427.0</v>
      </c>
      <c r="B3428" s="8" t="s">
        <v>14246</v>
      </c>
      <c r="C3428" s="9" t="s">
        <v>14247</v>
      </c>
      <c r="D3428" s="10" t="str">
        <f>HYPERLINK("https://facebook.com/367089020688300_530490551014812", "367089020688300_530490551014812")</f>
        <v>367089020688300_530490551014812</v>
      </c>
      <c r="E3428" s="11">
        <v>232.0</v>
      </c>
      <c r="F3428" s="11">
        <v>1.0</v>
      </c>
      <c r="G3428" s="11">
        <v>144.0</v>
      </c>
      <c r="H3428" s="9" t="s">
        <v>26</v>
      </c>
      <c r="I3428" s="9" t="s">
        <v>624</v>
      </c>
      <c r="J3428" s="16" t="s">
        <v>625</v>
      </c>
      <c r="K3428" s="9"/>
      <c r="L3428" s="9" t="s">
        <v>30</v>
      </c>
      <c r="M3428" s="9" t="s">
        <v>31</v>
      </c>
      <c r="N3428" s="9" t="s">
        <v>32</v>
      </c>
      <c r="O3428" s="12" t="s">
        <v>33</v>
      </c>
      <c r="P3428" s="12" t="s">
        <v>34</v>
      </c>
      <c r="Q3428" s="9"/>
      <c r="R3428" s="18"/>
      <c r="S3428" s="18"/>
      <c r="T3428" s="18"/>
      <c r="U3428" s="18"/>
      <c r="V3428" s="18"/>
      <c r="W3428" s="15"/>
      <c r="X3428" s="15"/>
    </row>
    <row r="3429">
      <c r="A3429" s="7">
        <v>3428.0</v>
      </c>
      <c r="B3429" s="8" t="s">
        <v>14248</v>
      </c>
      <c r="C3429" s="9" t="s">
        <v>14249</v>
      </c>
      <c r="D3429" s="10" t="str">
        <f>HYPERLINK("https://facebook.com/367089020688300_547080502689150", "367089020688300_547080502689150")</f>
        <v>367089020688300_547080502689150</v>
      </c>
      <c r="E3429" s="11">
        <v>149.0</v>
      </c>
      <c r="F3429" s="11">
        <v>0.0</v>
      </c>
      <c r="G3429" s="11">
        <v>176.0</v>
      </c>
      <c r="H3429" s="9" t="s">
        <v>26</v>
      </c>
      <c r="I3429" s="9" t="s">
        <v>7890</v>
      </c>
      <c r="J3429" s="16" t="s">
        <v>14250</v>
      </c>
      <c r="K3429" s="9"/>
      <c r="L3429" s="9" t="s">
        <v>30</v>
      </c>
      <c r="M3429" s="9" t="s">
        <v>31</v>
      </c>
      <c r="N3429" s="9" t="s">
        <v>32</v>
      </c>
      <c r="O3429" s="12" t="s">
        <v>33</v>
      </c>
      <c r="P3429" s="12" t="s">
        <v>34</v>
      </c>
      <c r="Q3429" s="9"/>
      <c r="R3429" s="18"/>
      <c r="S3429" s="18"/>
      <c r="T3429" s="18"/>
      <c r="U3429" s="18"/>
      <c r="V3429" s="18"/>
      <c r="W3429" s="15"/>
      <c r="X3429" s="15"/>
    </row>
    <row r="3430">
      <c r="A3430" s="7">
        <v>3429.0</v>
      </c>
      <c r="B3430" s="8" t="s">
        <v>14251</v>
      </c>
      <c r="C3430" s="9" t="s">
        <v>14252</v>
      </c>
      <c r="D3430" s="10" t="str">
        <f>HYPERLINK("https://facebook.com/367089020688300_537341923663008", "367089020688300_537341923663008")</f>
        <v>367089020688300_537341923663008</v>
      </c>
      <c r="E3430" s="11">
        <v>19.0</v>
      </c>
      <c r="F3430" s="11">
        <v>1.0</v>
      </c>
      <c r="G3430" s="11">
        <v>37.0</v>
      </c>
      <c r="H3430" s="9" t="s">
        <v>26</v>
      </c>
      <c r="I3430" s="9" t="s">
        <v>14253</v>
      </c>
      <c r="J3430" s="9" t="s">
        <v>14254</v>
      </c>
      <c r="K3430" s="9" t="s">
        <v>14255</v>
      </c>
      <c r="L3430" s="9" t="s">
        <v>30</v>
      </c>
      <c r="M3430" s="9" t="s">
        <v>31</v>
      </c>
      <c r="N3430" s="9" t="s">
        <v>32</v>
      </c>
      <c r="O3430" s="12" t="s">
        <v>33</v>
      </c>
      <c r="P3430" s="12" t="s">
        <v>34</v>
      </c>
      <c r="Q3430" s="9"/>
      <c r="R3430" s="18"/>
      <c r="S3430" s="18"/>
      <c r="T3430" s="18"/>
      <c r="U3430" s="18"/>
      <c r="V3430" s="18"/>
      <c r="W3430" s="15"/>
      <c r="X3430" s="15"/>
    </row>
    <row r="3431">
      <c r="A3431" s="7">
        <v>3430.0</v>
      </c>
      <c r="B3431" s="8" t="s">
        <v>14256</v>
      </c>
      <c r="C3431" s="9" t="s">
        <v>14257</v>
      </c>
      <c r="D3431" s="10" t="str">
        <f>HYPERLINK("https://facebook.com/367089020688300_451365915593943", "367089020688300_451365915593943")</f>
        <v>367089020688300_451365915593943</v>
      </c>
      <c r="E3431" s="11">
        <v>764.0</v>
      </c>
      <c r="F3431" s="11">
        <v>34.0</v>
      </c>
      <c r="G3431" s="11">
        <v>561.0</v>
      </c>
      <c r="H3431" s="9" t="s">
        <v>26</v>
      </c>
      <c r="I3431" s="9" t="s">
        <v>14258</v>
      </c>
      <c r="J3431" s="9" t="s">
        <v>14259</v>
      </c>
      <c r="K3431" s="9" t="s">
        <v>14260</v>
      </c>
      <c r="L3431" s="9" t="s">
        <v>30</v>
      </c>
      <c r="M3431" s="9" t="s">
        <v>31</v>
      </c>
      <c r="N3431" s="9" t="s">
        <v>32</v>
      </c>
      <c r="O3431" s="12" t="s">
        <v>33</v>
      </c>
      <c r="P3431" s="12" t="s">
        <v>34</v>
      </c>
      <c r="Q3431" s="9"/>
      <c r="R3431" s="18"/>
      <c r="S3431" s="18"/>
      <c r="T3431" s="18"/>
      <c r="U3431" s="18"/>
      <c r="V3431" s="18"/>
      <c r="W3431" s="15"/>
      <c r="X3431" s="15"/>
    </row>
    <row r="3432">
      <c r="A3432" s="7">
        <v>3431.0</v>
      </c>
      <c r="B3432" s="8" t="s">
        <v>14261</v>
      </c>
      <c r="C3432" s="9" t="s">
        <v>14262</v>
      </c>
      <c r="D3432" s="10" t="str">
        <f>HYPERLINK("https://facebook.com/367089020688300_510932559637278", "367089020688300_510932559637278")</f>
        <v>367089020688300_510932559637278</v>
      </c>
      <c r="E3432" s="11">
        <v>1833.0</v>
      </c>
      <c r="F3432" s="11">
        <v>49.0</v>
      </c>
      <c r="G3432" s="11">
        <v>1057.0</v>
      </c>
      <c r="H3432" s="9" t="s">
        <v>26</v>
      </c>
      <c r="I3432" s="9" t="s">
        <v>4863</v>
      </c>
      <c r="J3432" s="16" t="s">
        <v>14263</v>
      </c>
      <c r="K3432" s="9"/>
      <c r="L3432" s="9" t="s">
        <v>30</v>
      </c>
      <c r="M3432" s="9" t="s">
        <v>31</v>
      </c>
      <c r="N3432" s="9" t="s">
        <v>32</v>
      </c>
      <c r="O3432" s="12" t="s">
        <v>33</v>
      </c>
      <c r="P3432" s="12" t="s">
        <v>34</v>
      </c>
      <c r="Q3432" s="9"/>
      <c r="R3432" s="18"/>
      <c r="S3432" s="18"/>
      <c r="T3432" s="18"/>
      <c r="U3432" s="18"/>
      <c r="V3432" s="18"/>
      <c r="W3432" s="15"/>
      <c r="X3432" s="15"/>
    </row>
    <row r="3433">
      <c r="A3433" s="7">
        <v>3432.0</v>
      </c>
      <c r="B3433" s="8" t="s">
        <v>14264</v>
      </c>
      <c r="C3433" s="9" t="s">
        <v>14265</v>
      </c>
      <c r="D3433" s="10" t="str">
        <f>HYPERLINK("https://facebook.com/367089020688300_551552088908658", "367089020688300_551552088908658")</f>
        <v>367089020688300_551552088908658</v>
      </c>
      <c r="E3433" s="11">
        <v>24.0</v>
      </c>
      <c r="F3433" s="11">
        <v>0.0</v>
      </c>
      <c r="G3433" s="11">
        <v>14.0</v>
      </c>
      <c r="H3433" s="9" t="s">
        <v>26</v>
      </c>
      <c r="I3433" s="9" t="s">
        <v>14266</v>
      </c>
      <c r="J3433" s="16" t="s">
        <v>14267</v>
      </c>
      <c r="K3433" s="9"/>
      <c r="L3433" s="9" t="s">
        <v>30</v>
      </c>
      <c r="M3433" s="9" t="s">
        <v>31</v>
      </c>
      <c r="N3433" s="9" t="s">
        <v>32</v>
      </c>
      <c r="O3433" s="12" t="s">
        <v>33</v>
      </c>
      <c r="P3433" s="12" t="s">
        <v>34</v>
      </c>
      <c r="Q3433" s="9"/>
      <c r="R3433" s="18"/>
      <c r="S3433" s="18"/>
      <c r="T3433" s="18"/>
      <c r="U3433" s="18"/>
      <c r="V3433" s="18"/>
      <c r="W3433" s="15"/>
      <c r="X3433" s="15"/>
    </row>
    <row r="3434">
      <c r="A3434" s="7">
        <v>3433.0</v>
      </c>
      <c r="B3434" s="8" t="s">
        <v>14268</v>
      </c>
      <c r="C3434" s="9" t="s">
        <v>14269</v>
      </c>
      <c r="D3434" s="10" t="str">
        <f>HYPERLINK("https://facebook.com/367089020688300_458099384920596", "367089020688300_458099384920596")</f>
        <v>367089020688300_458099384920596</v>
      </c>
      <c r="E3434" s="11">
        <v>1229.0</v>
      </c>
      <c r="F3434" s="11">
        <v>23.0</v>
      </c>
      <c r="G3434" s="11">
        <v>619.0</v>
      </c>
      <c r="H3434" s="9" t="s">
        <v>26</v>
      </c>
      <c r="I3434" s="9" t="s">
        <v>14270</v>
      </c>
      <c r="J3434" s="9" t="s">
        <v>14271</v>
      </c>
      <c r="K3434" s="9" t="s">
        <v>14272</v>
      </c>
      <c r="L3434" s="9" t="s">
        <v>30</v>
      </c>
      <c r="M3434" s="9" t="s">
        <v>31</v>
      </c>
      <c r="N3434" s="9" t="s">
        <v>32</v>
      </c>
      <c r="O3434" s="12" t="s">
        <v>33</v>
      </c>
      <c r="P3434" s="12" t="s">
        <v>34</v>
      </c>
      <c r="Q3434" s="9"/>
      <c r="R3434" s="18"/>
      <c r="S3434" s="18"/>
      <c r="T3434" s="18"/>
      <c r="U3434" s="18"/>
      <c r="V3434" s="18"/>
      <c r="W3434" s="15"/>
      <c r="X3434" s="15"/>
    </row>
    <row r="3435">
      <c r="A3435" s="7">
        <v>3434.0</v>
      </c>
      <c r="B3435" s="8" t="s">
        <v>14273</v>
      </c>
      <c r="C3435" s="9" t="s">
        <v>14274</v>
      </c>
      <c r="D3435" s="10" t="str">
        <f>HYPERLINK("https://facebook.com/367089020688300_509459366451264", "367089020688300_509459366451264")</f>
        <v>367089020688300_509459366451264</v>
      </c>
      <c r="E3435" s="11">
        <v>2645.0</v>
      </c>
      <c r="F3435" s="11">
        <v>110.0</v>
      </c>
      <c r="G3435" s="11">
        <v>637.0</v>
      </c>
      <c r="H3435" s="9" t="s">
        <v>26</v>
      </c>
      <c r="I3435" s="9" t="s">
        <v>14275</v>
      </c>
      <c r="J3435" s="9" t="s">
        <v>14276</v>
      </c>
      <c r="K3435" s="9" t="s">
        <v>14277</v>
      </c>
      <c r="L3435" s="9" t="s">
        <v>30</v>
      </c>
      <c r="M3435" s="9" t="s">
        <v>31</v>
      </c>
      <c r="N3435" s="9" t="s">
        <v>32</v>
      </c>
      <c r="O3435" s="12" t="s">
        <v>33</v>
      </c>
      <c r="P3435" s="12" t="s">
        <v>34</v>
      </c>
      <c r="Q3435" s="9"/>
      <c r="R3435" s="18"/>
      <c r="S3435" s="18"/>
      <c r="T3435" s="18"/>
      <c r="U3435" s="18"/>
      <c r="V3435" s="18"/>
      <c r="W3435" s="15"/>
      <c r="X3435" s="15"/>
    </row>
    <row r="3436">
      <c r="A3436" s="7">
        <v>3435.0</v>
      </c>
      <c r="B3436" s="8" t="s">
        <v>14278</v>
      </c>
      <c r="C3436" s="9" t="s">
        <v>14279</v>
      </c>
      <c r="D3436" s="10" t="str">
        <f>HYPERLINK("https://facebook.com/367089020688300_543708806359653", "367089020688300_543708806359653")</f>
        <v>367089020688300_543708806359653</v>
      </c>
      <c r="E3436" s="11">
        <v>144.0</v>
      </c>
      <c r="F3436" s="11">
        <v>0.0</v>
      </c>
      <c r="G3436" s="11">
        <v>82.0</v>
      </c>
      <c r="H3436" s="9" t="s">
        <v>26</v>
      </c>
      <c r="I3436" s="9" t="s">
        <v>14280</v>
      </c>
      <c r="J3436" s="16" t="s">
        <v>14281</v>
      </c>
      <c r="K3436" s="9"/>
      <c r="L3436" s="9" t="s">
        <v>30</v>
      </c>
      <c r="M3436" s="9" t="s">
        <v>31</v>
      </c>
      <c r="N3436" s="9" t="s">
        <v>32</v>
      </c>
      <c r="O3436" s="12" t="s">
        <v>33</v>
      </c>
      <c r="P3436" s="12" t="s">
        <v>34</v>
      </c>
      <c r="Q3436" s="9"/>
      <c r="R3436" s="18"/>
      <c r="S3436" s="18"/>
      <c r="T3436" s="18"/>
      <c r="U3436" s="18"/>
      <c r="V3436" s="18"/>
      <c r="W3436" s="15"/>
      <c r="X3436" s="15"/>
    </row>
    <row r="3437">
      <c r="A3437" s="7">
        <v>3436.0</v>
      </c>
      <c r="B3437" s="8" t="s">
        <v>14282</v>
      </c>
      <c r="C3437" s="9" t="s">
        <v>14283</v>
      </c>
      <c r="D3437" s="10" t="str">
        <f>HYPERLINK("https://facebook.com/367089020688300_529211541142713", "367089020688300_529211541142713")</f>
        <v>367089020688300_529211541142713</v>
      </c>
      <c r="E3437" s="11">
        <v>25.0</v>
      </c>
      <c r="F3437" s="11">
        <v>1.0</v>
      </c>
      <c r="G3437" s="11">
        <v>39.0</v>
      </c>
      <c r="H3437" s="9" t="s">
        <v>26</v>
      </c>
      <c r="I3437" s="9" t="s">
        <v>14284</v>
      </c>
      <c r="J3437" s="16" t="s">
        <v>14285</v>
      </c>
      <c r="K3437" s="9"/>
      <c r="L3437" s="9" t="s">
        <v>30</v>
      </c>
      <c r="M3437" s="9" t="s">
        <v>31</v>
      </c>
      <c r="N3437" s="9" t="s">
        <v>32</v>
      </c>
      <c r="O3437" s="12" t="s">
        <v>33</v>
      </c>
      <c r="P3437" s="12" t="s">
        <v>34</v>
      </c>
      <c r="Q3437" s="9"/>
      <c r="R3437" s="18"/>
      <c r="S3437" s="18"/>
      <c r="T3437" s="18"/>
      <c r="U3437" s="18"/>
      <c r="V3437" s="18"/>
      <c r="W3437" s="15"/>
      <c r="X3437" s="15"/>
    </row>
    <row r="3438">
      <c r="A3438" s="7">
        <v>3437.0</v>
      </c>
      <c r="B3438" s="8" t="s">
        <v>14286</v>
      </c>
      <c r="C3438" s="9" t="s">
        <v>14287</v>
      </c>
      <c r="D3438" s="10" t="str">
        <f>HYPERLINK("https://facebook.com/367089020688300_484854648911736", "367089020688300_484854648911736")</f>
        <v>367089020688300_484854648911736</v>
      </c>
      <c r="E3438" s="11">
        <v>177.0</v>
      </c>
      <c r="F3438" s="11">
        <v>7.0</v>
      </c>
      <c r="G3438" s="11">
        <v>222.0</v>
      </c>
      <c r="H3438" s="9" t="s">
        <v>26</v>
      </c>
      <c r="I3438" s="9" t="s">
        <v>14288</v>
      </c>
      <c r="J3438" s="9" t="s">
        <v>14289</v>
      </c>
      <c r="K3438" s="9" t="s">
        <v>249</v>
      </c>
      <c r="L3438" s="9" t="s">
        <v>30</v>
      </c>
      <c r="M3438" s="9" t="s">
        <v>31</v>
      </c>
      <c r="N3438" s="9" t="s">
        <v>32</v>
      </c>
      <c r="O3438" s="12" t="s">
        <v>33</v>
      </c>
      <c r="P3438" s="12" t="s">
        <v>34</v>
      </c>
      <c r="Q3438" s="9"/>
      <c r="R3438" s="18"/>
      <c r="S3438" s="18"/>
      <c r="T3438" s="18"/>
      <c r="U3438" s="18"/>
      <c r="V3438" s="18"/>
      <c r="W3438" s="15"/>
      <c r="X3438" s="15"/>
    </row>
    <row r="3439">
      <c r="A3439" s="7">
        <v>3438.0</v>
      </c>
      <c r="B3439" s="8" t="s">
        <v>14290</v>
      </c>
      <c r="C3439" s="9" t="s">
        <v>14291</v>
      </c>
      <c r="D3439" s="10" t="str">
        <f>HYPERLINK("https://facebook.com/367089020688300_515960545801146", "367089020688300_515960545801146")</f>
        <v>367089020688300_515960545801146</v>
      </c>
      <c r="E3439" s="11">
        <v>366.0</v>
      </c>
      <c r="F3439" s="11">
        <v>15.0</v>
      </c>
      <c r="G3439" s="11">
        <v>351.0</v>
      </c>
      <c r="H3439" s="9" t="s">
        <v>26</v>
      </c>
      <c r="I3439" s="9" t="s">
        <v>14292</v>
      </c>
      <c r="J3439" s="9" t="s">
        <v>14293</v>
      </c>
      <c r="K3439" s="9" t="s">
        <v>14294</v>
      </c>
      <c r="L3439" s="9" t="s">
        <v>30</v>
      </c>
      <c r="M3439" s="9" t="s">
        <v>31</v>
      </c>
      <c r="N3439" s="9" t="s">
        <v>32</v>
      </c>
      <c r="O3439" s="12" t="s">
        <v>33</v>
      </c>
      <c r="P3439" s="12" t="s">
        <v>34</v>
      </c>
      <c r="Q3439" s="9"/>
      <c r="R3439" s="18"/>
      <c r="S3439" s="18"/>
      <c r="T3439" s="18"/>
      <c r="U3439" s="18"/>
      <c r="V3439" s="18"/>
      <c r="W3439" s="15"/>
      <c r="X3439" s="15"/>
    </row>
    <row r="3440">
      <c r="A3440" s="7">
        <v>3439.0</v>
      </c>
      <c r="B3440" s="8" t="s">
        <v>14295</v>
      </c>
      <c r="C3440" s="9" t="s">
        <v>14296</v>
      </c>
      <c r="D3440" s="10" t="str">
        <f>HYPERLINK("https://facebook.com/367089020688300_561459121251288", "367089020688300_561459121251288")</f>
        <v>367089020688300_561459121251288</v>
      </c>
      <c r="E3440" s="11">
        <v>594.0</v>
      </c>
      <c r="F3440" s="11">
        <v>45.0</v>
      </c>
      <c r="G3440" s="11">
        <v>387.0</v>
      </c>
      <c r="H3440" s="9" t="s">
        <v>26</v>
      </c>
      <c r="I3440" s="9" t="s">
        <v>6607</v>
      </c>
      <c r="J3440" s="16" t="s">
        <v>14297</v>
      </c>
      <c r="K3440" s="9"/>
      <c r="L3440" s="9" t="s">
        <v>30</v>
      </c>
      <c r="M3440" s="9" t="s">
        <v>31</v>
      </c>
      <c r="N3440" s="9" t="s">
        <v>32</v>
      </c>
      <c r="O3440" s="12" t="s">
        <v>33</v>
      </c>
      <c r="P3440" s="12" t="s">
        <v>34</v>
      </c>
      <c r="Q3440" s="9"/>
      <c r="R3440" s="18"/>
      <c r="S3440" s="18"/>
      <c r="T3440" s="18"/>
      <c r="U3440" s="18"/>
      <c r="V3440" s="18"/>
      <c r="W3440" s="15"/>
      <c r="X3440" s="15"/>
    </row>
    <row r="3441">
      <c r="A3441" s="7">
        <v>3440.0</v>
      </c>
      <c r="B3441" s="8" t="s">
        <v>14298</v>
      </c>
      <c r="C3441" s="9" t="s">
        <v>14299</v>
      </c>
      <c r="D3441" s="10" t="str">
        <f>HYPERLINK("https://facebook.com/367089020688300_519687715428429", "367089020688300_519687715428429")</f>
        <v>367089020688300_519687715428429</v>
      </c>
      <c r="E3441" s="11">
        <v>446.0</v>
      </c>
      <c r="F3441" s="11">
        <v>2.0</v>
      </c>
      <c r="G3441" s="11">
        <v>96.0</v>
      </c>
      <c r="H3441" s="9" t="s">
        <v>26</v>
      </c>
      <c r="I3441" s="9" t="s">
        <v>469</v>
      </c>
      <c r="J3441" s="9" t="s">
        <v>14300</v>
      </c>
      <c r="K3441" s="9" t="s">
        <v>14301</v>
      </c>
      <c r="L3441" s="9" t="s">
        <v>30</v>
      </c>
      <c r="M3441" s="9" t="s">
        <v>31</v>
      </c>
      <c r="N3441" s="9" t="s">
        <v>32</v>
      </c>
      <c r="O3441" s="12" t="s">
        <v>33</v>
      </c>
      <c r="P3441" s="12" t="s">
        <v>34</v>
      </c>
      <c r="Q3441" s="9"/>
      <c r="R3441" s="18"/>
      <c r="S3441" s="18"/>
      <c r="T3441" s="18"/>
      <c r="U3441" s="18"/>
      <c r="V3441" s="18"/>
      <c r="W3441" s="15"/>
      <c r="X3441" s="15"/>
    </row>
    <row r="3442">
      <c r="A3442" s="7">
        <v>3441.0</v>
      </c>
      <c r="B3442" s="8" t="s">
        <v>14302</v>
      </c>
      <c r="C3442" s="9" t="s">
        <v>14303</v>
      </c>
      <c r="D3442" s="10" t="str">
        <f>HYPERLINK("https://facebook.com/367089020688300_548579929205874", "367089020688300_548579929205874")</f>
        <v>367089020688300_548579929205874</v>
      </c>
      <c r="E3442" s="11">
        <v>22.0</v>
      </c>
      <c r="F3442" s="11">
        <v>0.0</v>
      </c>
      <c r="G3442" s="11">
        <v>32.0</v>
      </c>
      <c r="H3442" s="9" t="s">
        <v>26</v>
      </c>
      <c r="I3442" s="9" t="s">
        <v>706</v>
      </c>
      <c r="J3442" s="9" t="s">
        <v>14304</v>
      </c>
      <c r="K3442" s="9" t="s">
        <v>14305</v>
      </c>
      <c r="L3442" s="9" t="s">
        <v>30</v>
      </c>
      <c r="M3442" s="9" t="s">
        <v>31</v>
      </c>
      <c r="N3442" s="9" t="s">
        <v>32</v>
      </c>
      <c r="O3442" s="12" t="s">
        <v>33</v>
      </c>
      <c r="P3442" s="12" t="s">
        <v>34</v>
      </c>
      <c r="Q3442" s="9"/>
      <c r="R3442" s="18"/>
      <c r="S3442" s="18"/>
      <c r="T3442" s="18"/>
      <c r="U3442" s="18"/>
      <c r="V3442" s="18"/>
      <c r="W3442" s="15"/>
      <c r="X3442" s="15"/>
    </row>
    <row r="3443">
      <c r="A3443" s="7">
        <v>3442.0</v>
      </c>
      <c r="B3443" s="8" t="s">
        <v>14306</v>
      </c>
      <c r="C3443" s="9" t="s">
        <v>14307</v>
      </c>
      <c r="D3443" s="10" t="str">
        <f>HYPERLINK("https://facebook.com/367089020688300_422839391779929", "367089020688300_422839391779929")</f>
        <v>367089020688300_422839391779929</v>
      </c>
      <c r="E3443" s="11">
        <v>1564.0</v>
      </c>
      <c r="F3443" s="11">
        <v>26.0</v>
      </c>
      <c r="G3443" s="11">
        <v>1050.0</v>
      </c>
      <c r="H3443" s="9" t="s">
        <v>26</v>
      </c>
      <c r="I3443" s="9" t="s">
        <v>14308</v>
      </c>
      <c r="J3443" s="9" t="s">
        <v>14309</v>
      </c>
      <c r="K3443" s="9" t="s">
        <v>471</v>
      </c>
      <c r="L3443" s="9" t="s">
        <v>30</v>
      </c>
      <c r="M3443" s="9" t="s">
        <v>31</v>
      </c>
      <c r="N3443" s="9" t="s">
        <v>32</v>
      </c>
      <c r="O3443" s="12" t="s">
        <v>33</v>
      </c>
      <c r="P3443" s="12" t="s">
        <v>34</v>
      </c>
      <c r="Q3443" s="9"/>
      <c r="R3443" s="18"/>
      <c r="S3443" s="18"/>
      <c r="T3443" s="18"/>
      <c r="U3443" s="18"/>
      <c r="V3443" s="18"/>
      <c r="W3443" s="15"/>
      <c r="X3443" s="15"/>
    </row>
    <row r="3444">
      <c r="A3444" s="7">
        <v>3443.0</v>
      </c>
      <c r="B3444" s="8" t="s">
        <v>14310</v>
      </c>
      <c r="C3444" s="9" t="s">
        <v>14311</v>
      </c>
      <c r="D3444" s="10" t="str">
        <f>HYPERLINK("https://facebook.com/367089020688300_558375421559658", "367089020688300_558375421559658")</f>
        <v>367089020688300_558375421559658</v>
      </c>
      <c r="E3444" s="11">
        <v>655.0</v>
      </c>
      <c r="F3444" s="11">
        <v>9.0</v>
      </c>
      <c r="G3444" s="11">
        <v>393.0</v>
      </c>
      <c r="H3444" s="9" t="s">
        <v>26</v>
      </c>
      <c r="I3444" s="9" t="s">
        <v>14312</v>
      </c>
      <c r="J3444" s="16" t="s">
        <v>14313</v>
      </c>
      <c r="K3444" s="9"/>
      <c r="L3444" s="9" t="s">
        <v>30</v>
      </c>
      <c r="M3444" s="9" t="s">
        <v>31</v>
      </c>
      <c r="N3444" s="9" t="s">
        <v>32</v>
      </c>
      <c r="O3444" s="12" t="s">
        <v>33</v>
      </c>
      <c r="P3444" s="12" t="s">
        <v>34</v>
      </c>
      <c r="Q3444" s="9"/>
      <c r="R3444" s="18"/>
      <c r="S3444" s="18"/>
      <c r="T3444" s="18"/>
      <c r="U3444" s="18"/>
      <c r="V3444" s="18"/>
      <c r="W3444" s="15"/>
      <c r="X3444" s="15"/>
    </row>
    <row r="3445">
      <c r="A3445" s="7">
        <v>3444.0</v>
      </c>
      <c r="B3445" s="8" t="s">
        <v>14314</v>
      </c>
      <c r="C3445" s="9" t="s">
        <v>14315</v>
      </c>
      <c r="D3445" s="10" t="str">
        <f>HYPERLINK("https://facebook.com/367089020688300_367879993942536", "367089020688300_367879993942536")</f>
        <v>367089020688300_367879993942536</v>
      </c>
      <c r="E3445" s="11">
        <v>259.0</v>
      </c>
      <c r="F3445" s="11">
        <v>5.0</v>
      </c>
      <c r="G3445" s="11">
        <v>406.0</v>
      </c>
      <c r="H3445" s="9" t="s">
        <v>26</v>
      </c>
      <c r="I3445" s="9" t="s">
        <v>14316</v>
      </c>
      <c r="J3445" s="9" t="s">
        <v>14317</v>
      </c>
      <c r="K3445" s="9" t="s">
        <v>14318</v>
      </c>
      <c r="L3445" s="9" t="s">
        <v>30</v>
      </c>
      <c r="M3445" s="9" t="s">
        <v>31</v>
      </c>
      <c r="N3445" s="9" t="s">
        <v>32</v>
      </c>
      <c r="O3445" s="12" t="s">
        <v>33</v>
      </c>
      <c r="P3445" s="12" t="s">
        <v>34</v>
      </c>
      <c r="Q3445" s="9"/>
      <c r="R3445" s="18"/>
      <c r="S3445" s="18"/>
      <c r="T3445" s="18"/>
      <c r="U3445" s="18"/>
      <c r="V3445" s="18"/>
      <c r="W3445" s="15"/>
      <c r="X3445" s="15"/>
    </row>
    <row r="3446">
      <c r="A3446" s="7">
        <v>3445.0</v>
      </c>
      <c r="B3446" s="8" t="s">
        <v>14319</v>
      </c>
      <c r="C3446" s="9" t="s">
        <v>14320</v>
      </c>
      <c r="D3446" s="10" t="str">
        <f>HYPERLINK("https://facebook.com/367089020688300_544545772942623", "367089020688300_544545772942623")</f>
        <v>367089020688300_544545772942623</v>
      </c>
      <c r="E3446" s="11">
        <v>7.0</v>
      </c>
      <c r="F3446" s="11">
        <v>1.0</v>
      </c>
      <c r="G3446" s="11">
        <v>5.0</v>
      </c>
      <c r="H3446" s="9" t="s">
        <v>26</v>
      </c>
      <c r="I3446" s="9" t="s">
        <v>14321</v>
      </c>
      <c r="J3446" s="9" t="s">
        <v>14322</v>
      </c>
      <c r="K3446" s="9" t="s">
        <v>363</v>
      </c>
      <c r="L3446" s="9" t="s">
        <v>30</v>
      </c>
      <c r="M3446" s="9" t="s">
        <v>31</v>
      </c>
      <c r="N3446" s="9" t="s">
        <v>32</v>
      </c>
      <c r="O3446" s="12" t="s">
        <v>33</v>
      </c>
      <c r="P3446" s="12" t="s">
        <v>34</v>
      </c>
      <c r="Q3446" s="9"/>
      <c r="R3446" s="18"/>
      <c r="S3446" s="18"/>
      <c r="T3446" s="18"/>
      <c r="U3446" s="18"/>
      <c r="V3446" s="18"/>
      <c r="W3446" s="15"/>
      <c r="X3446" s="15"/>
    </row>
    <row r="3447">
      <c r="A3447" s="7">
        <v>3446.0</v>
      </c>
      <c r="B3447" s="8" t="s">
        <v>14323</v>
      </c>
      <c r="C3447" s="9" t="s">
        <v>14324</v>
      </c>
      <c r="D3447" s="10" t="str">
        <f>HYPERLINK("https://facebook.com/367089020688300_561635307900336", "367089020688300_561635307900336")</f>
        <v>367089020688300_561635307900336</v>
      </c>
      <c r="E3447" s="11">
        <v>113.0</v>
      </c>
      <c r="F3447" s="11">
        <v>1.0</v>
      </c>
      <c r="G3447" s="11">
        <v>125.0</v>
      </c>
      <c r="H3447" s="9" t="s">
        <v>26</v>
      </c>
      <c r="I3447" s="9" t="s">
        <v>14325</v>
      </c>
      <c r="J3447" s="9" t="s">
        <v>14326</v>
      </c>
      <c r="K3447" s="9" t="s">
        <v>14327</v>
      </c>
      <c r="L3447" s="9" t="s">
        <v>30</v>
      </c>
      <c r="M3447" s="9" t="s">
        <v>31</v>
      </c>
      <c r="N3447" s="9" t="s">
        <v>32</v>
      </c>
      <c r="O3447" s="12" t="s">
        <v>33</v>
      </c>
      <c r="P3447" s="12" t="s">
        <v>34</v>
      </c>
      <c r="Q3447" s="9"/>
      <c r="R3447" s="18"/>
      <c r="S3447" s="18"/>
      <c r="T3447" s="18"/>
      <c r="U3447" s="18"/>
      <c r="V3447" s="18"/>
      <c r="W3447" s="15"/>
      <c r="X3447" s="15"/>
    </row>
    <row r="3448">
      <c r="A3448" s="7">
        <v>3447.0</v>
      </c>
      <c r="B3448" s="8" t="s">
        <v>14328</v>
      </c>
      <c r="C3448" s="9" t="s">
        <v>14329</v>
      </c>
      <c r="D3448" s="10" t="str">
        <f>HYPERLINK("https://facebook.com/367089020688300_554881905242343", "367089020688300_554881905242343")</f>
        <v>367089020688300_554881905242343</v>
      </c>
      <c r="E3448" s="11">
        <v>301.0</v>
      </c>
      <c r="F3448" s="11">
        <v>5.0</v>
      </c>
      <c r="G3448" s="11">
        <v>100.0</v>
      </c>
      <c r="H3448" s="9" t="s">
        <v>26</v>
      </c>
      <c r="I3448" s="9" t="s">
        <v>14330</v>
      </c>
      <c r="J3448" s="16" t="s">
        <v>14331</v>
      </c>
      <c r="K3448" s="9"/>
      <c r="L3448" s="9" t="s">
        <v>30</v>
      </c>
      <c r="M3448" s="9" t="s">
        <v>31</v>
      </c>
      <c r="N3448" s="9" t="s">
        <v>32</v>
      </c>
      <c r="O3448" s="12" t="s">
        <v>33</v>
      </c>
      <c r="P3448" s="12" t="s">
        <v>34</v>
      </c>
      <c r="Q3448" s="9"/>
      <c r="R3448" s="18"/>
      <c r="S3448" s="18"/>
      <c r="T3448" s="18"/>
      <c r="U3448" s="18"/>
      <c r="V3448" s="18"/>
      <c r="W3448" s="15"/>
      <c r="X3448" s="15"/>
    </row>
    <row r="3449">
      <c r="A3449" s="7">
        <v>3448.0</v>
      </c>
      <c r="B3449" s="8" t="s">
        <v>14332</v>
      </c>
      <c r="C3449" s="9" t="s">
        <v>14333</v>
      </c>
      <c r="D3449" s="10" t="str">
        <f>HYPERLINK("https://facebook.com/367089020688300_490972164966651", "367089020688300_490972164966651")</f>
        <v>367089020688300_490972164966651</v>
      </c>
      <c r="E3449" s="11">
        <v>54.0</v>
      </c>
      <c r="F3449" s="11">
        <v>1.0</v>
      </c>
      <c r="G3449" s="11">
        <v>104.0</v>
      </c>
      <c r="H3449" s="9" t="s">
        <v>26</v>
      </c>
      <c r="I3449" s="9" t="s">
        <v>14334</v>
      </c>
      <c r="J3449" s="9" t="s">
        <v>14335</v>
      </c>
      <c r="K3449" s="9" t="s">
        <v>14336</v>
      </c>
      <c r="L3449" s="9" t="s">
        <v>30</v>
      </c>
      <c r="M3449" s="9" t="s">
        <v>31</v>
      </c>
      <c r="N3449" s="9" t="s">
        <v>32</v>
      </c>
      <c r="O3449" s="12" t="s">
        <v>33</v>
      </c>
      <c r="P3449" s="12" t="s">
        <v>34</v>
      </c>
      <c r="Q3449" s="9"/>
      <c r="R3449" s="18"/>
      <c r="S3449" s="18"/>
      <c r="T3449" s="18"/>
      <c r="U3449" s="18"/>
      <c r="V3449" s="18"/>
      <c r="W3449" s="15"/>
      <c r="X3449" s="15"/>
    </row>
    <row r="3450">
      <c r="A3450" s="7">
        <v>3449.0</v>
      </c>
      <c r="B3450" s="8" t="s">
        <v>14337</v>
      </c>
      <c r="C3450" s="9" t="s">
        <v>14338</v>
      </c>
      <c r="D3450" s="10" t="str">
        <f>HYPERLINK("https://facebook.com/367089020688300_511764602887407", "367089020688300_511764602887407")</f>
        <v>367089020688300_511764602887407</v>
      </c>
      <c r="E3450" s="11">
        <v>1090.0</v>
      </c>
      <c r="F3450" s="11">
        <v>76.0</v>
      </c>
      <c r="G3450" s="11">
        <v>751.0</v>
      </c>
      <c r="H3450" s="9" t="s">
        <v>26</v>
      </c>
      <c r="I3450" s="9" t="s">
        <v>14339</v>
      </c>
      <c r="J3450" s="9" t="s">
        <v>14340</v>
      </c>
      <c r="K3450" s="9" t="s">
        <v>14341</v>
      </c>
      <c r="L3450" s="9" t="s">
        <v>30</v>
      </c>
      <c r="M3450" s="9" t="s">
        <v>31</v>
      </c>
      <c r="N3450" s="9" t="s">
        <v>32</v>
      </c>
      <c r="O3450" s="12" t="s">
        <v>33</v>
      </c>
      <c r="P3450" s="12" t="s">
        <v>34</v>
      </c>
      <c r="Q3450" s="9"/>
      <c r="R3450" s="18"/>
      <c r="S3450" s="18"/>
      <c r="T3450" s="18"/>
      <c r="U3450" s="18"/>
      <c r="V3450" s="18"/>
      <c r="W3450" s="15"/>
      <c r="X3450" s="15"/>
    </row>
    <row r="3451">
      <c r="A3451" s="7">
        <v>3450.0</v>
      </c>
      <c r="B3451" s="8" t="s">
        <v>14342</v>
      </c>
      <c r="C3451" s="9" t="s">
        <v>14343</v>
      </c>
      <c r="D3451" s="10" t="str">
        <f>HYPERLINK("https://facebook.com/367089020688300_547543205976213", "367089020688300_547543205976213")</f>
        <v>367089020688300_547543205976213</v>
      </c>
      <c r="E3451" s="11">
        <v>41.0</v>
      </c>
      <c r="F3451" s="11">
        <v>0.0</v>
      </c>
      <c r="G3451" s="11">
        <v>24.0</v>
      </c>
      <c r="H3451" s="9" t="s">
        <v>26</v>
      </c>
      <c r="I3451" s="9" t="s">
        <v>936</v>
      </c>
      <c r="J3451" s="16" t="s">
        <v>14344</v>
      </c>
      <c r="K3451" s="9"/>
      <c r="L3451" s="9" t="s">
        <v>30</v>
      </c>
      <c r="M3451" s="9" t="s">
        <v>31</v>
      </c>
      <c r="N3451" s="9" t="s">
        <v>32</v>
      </c>
      <c r="O3451" s="12" t="s">
        <v>33</v>
      </c>
      <c r="P3451" s="12" t="s">
        <v>34</v>
      </c>
      <c r="Q3451" s="9"/>
      <c r="R3451" s="18"/>
      <c r="S3451" s="18"/>
      <c r="T3451" s="18"/>
      <c r="U3451" s="18"/>
      <c r="V3451" s="18"/>
      <c r="W3451" s="15"/>
      <c r="X3451" s="15"/>
    </row>
    <row r="3452">
      <c r="A3452" s="7">
        <v>3451.0</v>
      </c>
      <c r="B3452" s="8" t="s">
        <v>14345</v>
      </c>
      <c r="C3452" s="9" t="s">
        <v>14346</v>
      </c>
      <c r="D3452" s="10" t="str">
        <f>HYPERLINK("https://facebook.com/367089020688300_560214108042456", "367089020688300_560214108042456")</f>
        <v>367089020688300_560214108042456</v>
      </c>
      <c r="E3452" s="11">
        <v>77.0</v>
      </c>
      <c r="F3452" s="11">
        <v>0.0</v>
      </c>
      <c r="G3452" s="11">
        <v>95.0</v>
      </c>
      <c r="H3452" s="9" t="s">
        <v>26</v>
      </c>
      <c r="I3452" s="9" t="s">
        <v>14347</v>
      </c>
      <c r="J3452" s="9" t="s">
        <v>14348</v>
      </c>
      <c r="K3452" s="9" t="s">
        <v>14349</v>
      </c>
      <c r="L3452" s="9" t="s">
        <v>30</v>
      </c>
      <c r="M3452" s="9" t="s">
        <v>31</v>
      </c>
      <c r="N3452" s="9" t="s">
        <v>32</v>
      </c>
      <c r="O3452" s="12" t="s">
        <v>33</v>
      </c>
      <c r="P3452" s="12" t="s">
        <v>34</v>
      </c>
      <c r="Q3452" s="9"/>
      <c r="R3452" s="18"/>
      <c r="S3452" s="18"/>
      <c r="T3452" s="18"/>
      <c r="U3452" s="18"/>
      <c r="V3452" s="18"/>
      <c r="W3452" s="15"/>
      <c r="X3452" s="15"/>
    </row>
    <row r="3453">
      <c r="A3453" s="7">
        <v>3452.0</v>
      </c>
      <c r="B3453" s="8" t="s">
        <v>14350</v>
      </c>
      <c r="C3453" s="9" t="s">
        <v>14351</v>
      </c>
      <c r="D3453" s="10" t="str">
        <f>HYPERLINK("https://facebook.com/367089020688300_519116158818918", "367089020688300_519116158818918")</f>
        <v>367089020688300_519116158818918</v>
      </c>
      <c r="E3453" s="11">
        <v>106.0</v>
      </c>
      <c r="F3453" s="11">
        <v>2.0</v>
      </c>
      <c r="G3453" s="11">
        <v>42.0</v>
      </c>
      <c r="H3453" s="9" t="s">
        <v>26</v>
      </c>
      <c r="I3453" s="9" t="s">
        <v>5510</v>
      </c>
      <c r="J3453" s="9" t="s">
        <v>5511</v>
      </c>
      <c r="K3453" s="9" t="s">
        <v>14352</v>
      </c>
      <c r="L3453" s="9" t="s">
        <v>30</v>
      </c>
      <c r="M3453" s="9" t="s">
        <v>31</v>
      </c>
      <c r="N3453" s="9" t="s">
        <v>32</v>
      </c>
      <c r="O3453" s="12" t="s">
        <v>33</v>
      </c>
      <c r="P3453" s="12" t="s">
        <v>34</v>
      </c>
      <c r="Q3453" s="9"/>
      <c r="R3453" s="18"/>
      <c r="S3453" s="18"/>
      <c r="T3453" s="18"/>
      <c r="U3453" s="18"/>
      <c r="V3453" s="18"/>
      <c r="W3453" s="15"/>
      <c r="X3453" s="15"/>
    </row>
    <row r="3454">
      <c r="A3454" s="7">
        <v>3453.0</v>
      </c>
      <c r="B3454" s="8" t="s">
        <v>14353</v>
      </c>
      <c r="C3454" s="9" t="s">
        <v>14354</v>
      </c>
      <c r="D3454" s="10" t="str">
        <f>HYPERLINK("https://facebook.com/367089020688300_530107124386488", "367089020688300_530107124386488")</f>
        <v>367089020688300_530107124386488</v>
      </c>
      <c r="E3454" s="11">
        <v>336.0</v>
      </c>
      <c r="F3454" s="11">
        <v>8.0</v>
      </c>
      <c r="G3454" s="11">
        <v>380.0</v>
      </c>
      <c r="H3454" s="9" t="s">
        <v>26</v>
      </c>
      <c r="I3454" s="9" t="s">
        <v>14355</v>
      </c>
      <c r="J3454" s="16" t="s">
        <v>14356</v>
      </c>
      <c r="K3454" s="9"/>
      <c r="L3454" s="9" t="s">
        <v>30</v>
      </c>
      <c r="M3454" s="9" t="s">
        <v>31</v>
      </c>
      <c r="N3454" s="9" t="s">
        <v>32</v>
      </c>
      <c r="O3454" s="12" t="s">
        <v>33</v>
      </c>
      <c r="P3454" s="12" t="s">
        <v>34</v>
      </c>
      <c r="Q3454" s="9"/>
      <c r="R3454" s="18"/>
      <c r="S3454" s="18"/>
      <c r="T3454" s="18"/>
      <c r="U3454" s="18"/>
      <c r="V3454" s="18"/>
      <c r="W3454" s="15"/>
      <c r="X3454" s="15"/>
    </row>
    <row r="3455">
      <c r="A3455" s="7">
        <v>3454.0</v>
      </c>
      <c r="B3455" s="8" t="s">
        <v>14357</v>
      </c>
      <c r="C3455" s="9" t="s">
        <v>14358</v>
      </c>
      <c r="D3455" s="10" t="str">
        <f>HYPERLINK("https://facebook.com/367089020688300_464222097641658", "367089020688300_464222097641658")</f>
        <v>367089020688300_464222097641658</v>
      </c>
      <c r="E3455" s="11">
        <v>89.0</v>
      </c>
      <c r="F3455" s="11">
        <v>2.0</v>
      </c>
      <c r="G3455" s="11">
        <v>100.0</v>
      </c>
      <c r="H3455" s="9" t="s">
        <v>26</v>
      </c>
      <c r="I3455" s="9" t="s">
        <v>14359</v>
      </c>
      <c r="J3455" s="9" t="s">
        <v>14360</v>
      </c>
      <c r="K3455" s="9" t="s">
        <v>14361</v>
      </c>
      <c r="L3455" s="9" t="s">
        <v>30</v>
      </c>
      <c r="M3455" s="9" t="s">
        <v>31</v>
      </c>
      <c r="N3455" s="9" t="s">
        <v>32</v>
      </c>
      <c r="O3455" s="12" t="s">
        <v>33</v>
      </c>
      <c r="P3455" s="12" t="s">
        <v>34</v>
      </c>
      <c r="Q3455" s="9"/>
      <c r="R3455" s="18"/>
      <c r="S3455" s="18"/>
      <c r="T3455" s="18"/>
      <c r="U3455" s="18"/>
      <c r="V3455" s="18"/>
      <c r="W3455" s="15"/>
      <c r="X3455" s="15"/>
    </row>
    <row r="3456">
      <c r="A3456" s="7">
        <v>3455.0</v>
      </c>
      <c r="B3456" s="8" t="s">
        <v>14362</v>
      </c>
      <c r="C3456" s="9" t="s">
        <v>14363</v>
      </c>
      <c r="D3456" s="10" t="str">
        <f>HYPERLINK("https://facebook.com/367089020688300_543232843073916", "367089020688300_543232843073916")</f>
        <v>367089020688300_543232843073916</v>
      </c>
      <c r="E3456" s="11">
        <v>180.0</v>
      </c>
      <c r="F3456" s="11">
        <v>2.0</v>
      </c>
      <c r="G3456" s="11">
        <v>56.0</v>
      </c>
      <c r="H3456" s="9" t="s">
        <v>26</v>
      </c>
      <c r="I3456" s="9" t="s">
        <v>14364</v>
      </c>
      <c r="J3456" s="16" t="s">
        <v>14365</v>
      </c>
      <c r="K3456" s="9"/>
      <c r="L3456" s="9" t="s">
        <v>30</v>
      </c>
      <c r="M3456" s="9" t="s">
        <v>31</v>
      </c>
      <c r="N3456" s="9" t="s">
        <v>32</v>
      </c>
      <c r="O3456" s="12" t="s">
        <v>33</v>
      </c>
      <c r="P3456" s="12" t="s">
        <v>34</v>
      </c>
      <c r="Q3456" s="9"/>
      <c r="R3456" s="18"/>
      <c r="S3456" s="18"/>
      <c r="T3456" s="18"/>
      <c r="U3456" s="18"/>
      <c r="V3456" s="18"/>
      <c r="W3456" s="15"/>
      <c r="X3456" s="15"/>
    </row>
    <row r="3457">
      <c r="A3457" s="7">
        <v>3456.0</v>
      </c>
      <c r="B3457" s="8" t="s">
        <v>14366</v>
      </c>
      <c r="C3457" s="9" t="s">
        <v>14367</v>
      </c>
      <c r="D3457" s="10" t="str">
        <f>HYPERLINK("https://facebook.com/367089020688300_540956396634894", "367089020688300_540956396634894")</f>
        <v>367089020688300_540956396634894</v>
      </c>
      <c r="E3457" s="11">
        <v>53.0</v>
      </c>
      <c r="F3457" s="11">
        <v>2.0</v>
      </c>
      <c r="G3457" s="11">
        <v>35.0</v>
      </c>
      <c r="H3457" s="9" t="s">
        <v>26</v>
      </c>
      <c r="I3457" s="9" t="s">
        <v>14368</v>
      </c>
      <c r="J3457" s="9" t="s">
        <v>14369</v>
      </c>
      <c r="K3457" s="9" t="s">
        <v>14370</v>
      </c>
      <c r="L3457" s="9" t="s">
        <v>30</v>
      </c>
      <c r="M3457" s="9" t="s">
        <v>31</v>
      </c>
      <c r="N3457" s="9" t="s">
        <v>32</v>
      </c>
      <c r="O3457" s="12" t="s">
        <v>33</v>
      </c>
      <c r="P3457" s="12" t="s">
        <v>34</v>
      </c>
      <c r="Q3457" s="9"/>
      <c r="R3457" s="18"/>
      <c r="S3457" s="18"/>
      <c r="T3457" s="18"/>
      <c r="U3457" s="18"/>
      <c r="V3457" s="18"/>
      <c r="W3457" s="15"/>
      <c r="X3457" s="15"/>
    </row>
    <row r="3458">
      <c r="A3458" s="7">
        <v>3457.0</v>
      </c>
      <c r="B3458" s="8" t="s">
        <v>14371</v>
      </c>
      <c r="C3458" s="9" t="s">
        <v>14372</v>
      </c>
      <c r="D3458" s="10" t="str">
        <f>HYPERLINK("https://facebook.com/367089020688300_540050586725475", "367089020688300_540050586725475")</f>
        <v>367089020688300_540050586725475</v>
      </c>
      <c r="E3458" s="11">
        <v>37.0</v>
      </c>
      <c r="F3458" s="11">
        <v>0.0</v>
      </c>
      <c r="G3458" s="11">
        <v>18.0</v>
      </c>
      <c r="H3458" s="9" t="s">
        <v>26</v>
      </c>
      <c r="I3458" s="9" t="s">
        <v>14373</v>
      </c>
      <c r="J3458" s="9" t="s">
        <v>14374</v>
      </c>
      <c r="K3458" s="9" t="s">
        <v>249</v>
      </c>
      <c r="L3458" s="9" t="s">
        <v>30</v>
      </c>
      <c r="M3458" s="9" t="s">
        <v>31</v>
      </c>
      <c r="N3458" s="9" t="s">
        <v>32</v>
      </c>
      <c r="O3458" s="12" t="s">
        <v>33</v>
      </c>
      <c r="P3458" s="12" t="s">
        <v>34</v>
      </c>
      <c r="Q3458" s="9"/>
      <c r="R3458" s="18"/>
      <c r="S3458" s="18"/>
      <c r="T3458" s="18"/>
      <c r="U3458" s="18"/>
      <c r="V3458" s="18"/>
      <c r="W3458" s="15"/>
      <c r="X3458" s="15"/>
    </row>
    <row r="3459">
      <c r="A3459" s="7">
        <v>3458.0</v>
      </c>
      <c r="B3459" s="8" t="s">
        <v>14375</v>
      </c>
      <c r="C3459" s="9" t="s">
        <v>14376</v>
      </c>
      <c r="D3459" s="10" t="str">
        <f>HYPERLINK("https://facebook.com/367089020688300_490327658364435", "367089020688300_490327658364435")</f>
        <v>367089020688300_490327658364435</v>
      </c>
      <c r="E3459" s="11">
        <v>129.0</v>
      </c>
      <c r="F3459" s="11">
        <v>1.0</v>
      </c>
      <c r="G3459" s="11">
        <v>55.0</v>
      </c>
      <c r="H3459" s="9" t="s">
        <v>26</v>
      </c>
      <c r="I3459" s="9" t="s">
        <v>8170</v>
      </c>
      <c r="J3459" s="9" t="s">
        <v>14377</v>
      </c>
      <c r="K3459" s="9" t="s">
        <v>3535</v>
      </c>
      <c r="L3459" s="9" t="s">
        <v>30</v>
      </c>
      <c r="M3459" s="9" t="s">
        <v>31</v>
      </c>
      <c r="N3459" s="9" t="s">
        <v>32</v>
      </c>
      <c r="O3459" s="12" t="s">
        <v>33</v>
      </c>
      <c r="P3459" s="12" t="s">
        <v>34</v>
      </c>
      <c r="Q3459" s="9"/>
      <c r="R3459" s="18"/>
      <c r="S3459" s="18"/>
      <c r="T3459" s="18"/>
      <c r="U3459" s="18"/>
      <c r="V3459" s="18"/>
      <c r="W3459" s="15"/>
      <c r="X3459" s="15"/>
    </row>
    <row r="3460">
      <c r="A3460" s="7">
        <v>3459.0</v>
      </c>
      <c r="B3460" s="8" t="s">
        <v>14378</v>
      </c>
      <c r="C3460" s="9" t="s">
        <v>14379</v>
      </c>
      <c r="D3460" s="10" t="str">
        <f>HYPERLINK("https://facebook.com/367089020688300_534744970589370", "367089020688300_534744970589370")</f>
        <v>367089020688300_534744970589370</v>
      </c>
      <c r="E3460" s="11">
        <v>219.0</v>
      </c>
      <c r="F3460" s="11">
        <v>3.0</v>
      </c>
      <c r="G3460" s="11">
        <v>285.0</v>
      </c>
      <c r="H3460" s="9" t="s">
        <v>26</v>
      </c>
      <c r="I3460" s="9" t="s">
        <v>14380</v>
      </c>
      <c r="J3460" s="16" t="s">
        <v>14381</v>
      </c>
      <c r="K3460" s="9"/>
      <c r="L3460" s="9" t="s">
        <v>30</v>
      </c>
      <c r="M3460" s="9" t="s">
        <v>31</v>
      </c>
      <c r="N3460" s="9" t="s">
        <v>32</v>
      </c>
      <c r="O3460" s="12" t="s">
        <v>33</v>
      </c>
      <c r="P3460" s="12" t="s">
        <v>34</v>
      </c>
      <c r="Q3460" s="9"/>
      <c r="R3460" s="18"/>
      <c r="S3460" s="18"/>
      <c r="T3460" s="18"/>
      <c r="U3460" s="18"/>
      <c r="V3460" s="18"/>
      <c r="W3460" s="15"/>
      <c r="X3460" s="15"/>
    </row>
    <row r="3461">
      <c r="A3461" s="7">
        <v>3460.0</v>
      </c>
      <c r="B3461" s="8" t="s">
        <v>14382</v>
      </c>
      <c r="C3461" s="9" t="s">
        <v>14383</v>
      </c>
      <c r="D3461" s="10" t="str">
        <f>HYPERLINK("https://facebook.com/367089020688300_479105396153328", "367089020688300_479105396153328")</f>
        <v>367089020688300_479105396153328</v>
      </c>
      <c r="E3461" s="11">
        <v>1356.0</v>
      </c>
      <c r="F3461" s="11">
        <v>41.0</v>
      </c>
      <c r="G3461" s="11">
        <v>830.0</v>
      </c>
      <c r="H3461" s="9" t="s">
        <v>26</v>
      </c>
      <c r="I3461" s="9" t="s">
        <v>14384</v>
      </c>
      <c r="J3461" s="9" t="s">
        <v>14385</v>
      </c>
      <c r="K3461" s="9" t="s">
        <v>14386</v>
      </c>
      <c r="L3461" s="9" t="s">
        <v>30</v>
      </c>
      <c r="M3461" s="9" t="s">
        <v>31</v>
      </c>
      <c r="N3461" s="9" t="s">
        <v>32</v>
      </c>
      <c r="O3461" s="12" t="s">
        <v>33</v>
      </c>
      <c r="P3461" s="12" t="s">
        <v>34</v>
      </c>
      <c r="Q3461" s="9"/>
      <c r="R3461" s="18"/>
      <c r="S3461" s="18"/>
      <c r="T3461" s="18"/>
      <c r="U3461" s="18"/>
      <c r="V3461" s="18"/>
      <c r="W3461" s="15"/>
      <c r="X3461" s="15"/>
    </row>
    <row r="3462">
      <c r="A3462" s="7">
        <v>3461.0</v>
      </c>
      <c r="B3462" s="8" t="s">
        <v>14387</v>
      </c>
      <c r="C3462" s="9" t="s">
        <v>14388</v>
      </c>
      <c r="D3462" s="10" t="str">
        <f>HYPERLINK("https://facebook.com/367089020688300_544127802984420", "367089020688300_544127802984420")</f>
        <v>367089020688300_544127802984420</v>
      </c>
      <c r="E3462" s="11">
        <v>79.0</v>
      </c>
      <c r="F3462" s="11">
        <v>1.0</v>
      </c>
      <c r="G3462" s="11">
        <v>107.0</v>
      </c>
      <c r="H3462" s="9" t="s">
        <v>26</v>
      </c>
      <c r="I3462" s="9" t="s">
        <v>14389</v>
      </c>
      <c r="J3462" s="16" t="s">
        <v>14390</v>
      </c>
      <c r="K3462" s="9"/>
      <c r="L3462" s="9" t="s">
        <v>30</v>
      </c>
      <c r="M3462" s="9" t="s">
        <v>31</v>
      </c>
      <c r="N3462" s="9" t="s">
        <v>32</v>
      </c>
      <c r="O3462" s="12" t="s">
        <v>33</v>
      </c>
      <c r="P3462" s="12" t="s">
        <v>34</v>
      </c>
      <c r="Q3462" s="9"/>
      <c r="R3462" s="18"/>
      <c r="S3462" s="18"/>
      <c r="T3462" s="18"/>
      <c r="U3462" s="18"/>
      <c r="V3462" s="18"/>
      <c r="W3462" s="15"/>
      <c r="X3462" s="15"/>
    </row>
    <row r="3463">
      <c r="A3463" s="7">
        <v>3462.0</v>
      </c>
      <c r="B3463" s="8" t="s">
        <v>14391</v>
      </c>
      <c r="C3463" s="9" t="s">
        <v>14392</v>
      </c>
      <c r="D3463" s="10" t="str">
        <f>HYPERLINK("https://facebook.com/367089020688300_548325615897972", "367089020688300_548325615897972")</f>
        <v>367089020688300_548325615897972</v>
      </c>
      <c r="E3463" s="11">
        <v>73.0</v>
      </c>
      <c r="F3463" s="11">
        <v>0.0</v>
      </c>
      <c r="G3463" s="11">
        <v>79.0</v>
      </c>
      <c r="H3463" s="9" t="s">
        <v>26</v>
      </c>
      <c r="I3463" s="9" t="s">
        <v>14393</v>
      </c>
      <c r="J3463" s="16" t="s">
        <v>14394</v>
      </c>
      <c r="K3463" s="9"/>
      <c r="L3463" s="9" t="s">
        <v>30</v>
      </c>
      <c r="M3463" s="9" t="s">
        <v>31</v>
      </c>
      <c r="N3463" s="9" t="s">
        <v>32</v>
      </c>
      <c r="O3463" s="12" t="s">
        <v>33</v>
      </c>
      <c r="P3463" s="12" t="s">
        <v>34</v>
      </c>
      <c r="Q3463" s="9"/>
      <c r="R3463" s="18"/>
      <c r="S3463" s="18"/>
      <c r="T3463" s="18"/>
      <c r="U3463" s="18"/>
      <c r="V3463" s="18"/>
      <c r="W3463" s="15"/>
      <c r="X3463" s="15"/>
    </row>
    <row r="3464">
      <c r="A3464" s="7">
        <v>3463.0</v>
      </c>
      <c r="B3464" s="8" t="s">
        <v>14395</v>
      </c>
      <c r="C3464" s="9" t="s">
        <v>14396</v>
      </c>
      <c r="D3464" s="10" t="str">
        <f>HYPERLINK("https://facebook.com/367089020688300_511904072873460", "367089020688300_511904072873460")</f>
        <v>367089020688300_511904072873460</v>
      </c>
      <c r="E3464" s="11">
        <v>319.0</v>
      </c>
      <c r="F3464" s="11">
        <v>3.0</v>
      </c>
      <c r="G3464" s="11">
        <v>312.0</v>
      </c>
      <c r="H3464" s="9" t="s">
        <v>26</v>
      </c>
      <c r="I3464" s="9" t="s">
        <v>14397</v>
      </c>
      <c r="J3464" s="16" t="s">
        <v>14398</v>
      </c>
      <c r="K3464" s="9"/>
      <c r="L3464" s="9" t="s">
        <v>30</v>
      </c>
      <c r="M3464" s="9" t="s">
        <v>31</v>
      </c>
      <c r="N3464" s="9" t="s">
        <v>32</v>
      </c>
      <c r="O3464" s="12" t="s">
        <v>33</v>
      </c>
      <c r="P3464" s="12" t="s">
        <v>34</v>
      </c>
      <c r="Q3464" s="9"/>
      <c r="R3464" s="18"/>
      <c r="S3464" s="18"/>
      <c r="T3464" s="18"/>
      <c r="U3464" s="18"/>
      <c r="V3464" s="18"/>
      <c r="W3464" s="15"/>
      <c r="X3464" s="15"/>
    </row>
    <row r="3465">
      <c r="A3465" s="7">
        <v>3464.0</v>
      </c>
      <c r="B3465" s="8" t="s">
        <v>14399</v>
      </c>
      <c r="C3465" s="9" t="s">
        <v>14400</v>
      </c>
      <c r="D3465" s="10" t="str">
        <f>HYPERLINK("https://facebook.com/367089020688300_538040863593114", "367089020688300_538040863593114")</f>
        <v>367089020688300_538040863593114</v>
      </c>
      <c r="E3465" s="11">
        <v>1598.0</v>
      </c>
      <c r="F3465" s="11">
        <v>61.0</v>
      </c>
      <c r="G3465" s="11">
        <v>1112.0</v>
      </c>
      <c r="H3465" s="9" t="s">
        <v>26</v>
      </c>
      <c r="I3465" s="9" t="s">
        <v>14401</v>
      </c>
      <c r="J3465" s="9" t="s">
        <v>14402</v>
      </c>
      <c r="K3465" s="9" t="s">
        <v>14403</v>
      </c>
      <c r="L3465" s="9" t="s">
        <v>30</v>
      </c>
      <c r="M3465" s="9" t="s">
        <v>31</v>
      </c>
      <c r="N3465" s="9" t="s">
        <v>32</v>
      </c>
      <c r="O3465" s="12" t="s">
        <v>33</v>
      </c>
      <c r="P3465" s="12" t="s">
        <v>34</v>
      </c>
      <c r="Q3465" s="9"/>
      <c r="R3465" s="18"/>
      <c r="S3465" s="18"/>
      <c r="T3465" s="18"/>
      <c r="U3465" s="18"/>
      <c r="V3465" s="18"/>
      <c r="W3465" s="15"/>
      <c r="X3465" s="15"/>
    </row>
    <row r="3466">
      <c r="A3466" s="7">
        <v>3465.0</v>
      </c>
      <c r="B3466" s="8" t="s">
        <v>14404</v>
      </c>
      <c r="C3466" s="9" t="s">
        <v>14405</v>
      </c>
      <c r="D3466" s="10" t="str">
        <f>HYPERLINK("https://facebook.com/367089020688300_543715723025628", "367089020688300_543715723025628")</f>
        <v>367089020688300_543715723025628</v>
      </c>
      <c r="E3466" s="11">
        <v>42.0</v>
      </c>
      <c r="F3466" s="11">
        <v>0.0</v>
      </c>
      <c r="G3466" s="11">
        <v>17.0</v>
      </c>
      <c r="H3466" s="9" t="s">
        <v>26</v>
      </c>
      <c r="I3466" s="9" t="s">
        <v>14406</v>
      </c>
      <c r="J3466" s="16" t="s">
        <v>14407</v>
      </c>
      <c r="K3466" s="9"/>
      <c r="L3466" s="9" t="s">
        <v>30</v>
      </c>
      <c r="M3466" s="9" t="s">
        <v>31</v>
      </c>
      <c r="N3466" s="9" t="s">
        <v>32</v>
      </c>
      <c r="O3466" s="12" t="s">
        <v>33</v>
      </c>
      <c r="P3466" s="12" t="s">
        <v>34</v>
      </c>
      <c r="Q3466" s="9"/>
      <c r="R3466" s="18"/>
      <c r="S3466" s="18"/>
      <c r="T3466" s="18"/>
      <c r="U3466" s="18"/>
      <c r="V3466" s="18"/>
      <c r="W3466" s="15"/>
      <c r="X3466" s="15"/>
    </row>
    <row r="3467">
      <c r="A3467" s="7">
        <v>3466.0</v>
      </c>
      <c r="B3467" s="8" t="s">
        <v>14408</v>
      </c>
      <c r="C3467" s="9" t="s">
        <v>14409</v>
      </c>
      <c r="D3467" s="10" t="str">
        <f>HYPERLINK("https://facebook.com/367089020688300_559795934750940", "367089020688300_559795934750940")</f>
        <v>367089020688300_559795934750940</v>
      </c>
      <c r="E3467" s="11">
        <v>782.0</v>
      </c>
      <c r="F3467" s="11">
        <v>2.0</v>
      </c>
      <c r="G3467" s="11">
        <v>82.0</v>
      </c>
      <c r="H3467" s="9" t="s">
        <v>26</v>
      </c>
      <c r="I3467" s="9" t="s">
        <v>14410</v>
      </c>
      <c r="J3467" s="16" t="s">
        <v>14411</v>
      </c>
      <c r="K3467" s="9"/>
      <c r="L3467" s="9" t="s">
        <v>30</v>
      </c>
      <c r="M3467" s="9" t="s">
        <v>31</v>
      </c>
      <c r="N3467" s="9" t="s">
        <v>32</v>
      </c>
      <c r="O3467" s="12" t="s">
        <v>33</v>
      </c>
      <c r="P3467" s="12" t="s">
        <v>34</v>
      </c>
      <c r="Q3467" s="9"/>
      <c r="R3467" s="18"/>
      <c r="S3467" s="18"/>
      <c r="T3467" s="18"/>
      <c r="U3467" s="18"/>
      <c r="V3467" s="18"/>
      <c r="W3467" s="15"/>
      <c r="X3467" s="15"/>
    </row>
    <row r="3468">
      <c r="A3468" s="7">
        <v>3467.0</v>
      </c>
      <c r="B3468" s="8" t="s">
        <v>14412</v>
      </c>
      <c r="C3468" s="9" t="s">
        <v>14413</v>
      </c>
      <c r="D3468" s="10" t="str">
        <f>HYPERLINK("https://facebook.com/367089020688300_528484144548786", "367089020688300_528484144548786")</f>
        <v>367089020688300_528484144548786</v>
      </c>
      <c r="E3468" s="11">
        <v>393.0</v>
      </c>
      <c r="F3468" s="11">
        <v>5.0</v>
      </c>
      <c r="G3468" s="11">
        <v>247.0</v>
      </c>
      <c r="H3468" s="9" t="s">
        <v>26</v>
      </c>
      <c r="I3468" s="9" t="s">
        <v>14414</v>
      </c>
      <c r="J3468" s="16" t="s">
        <v>14415</v>
      </c>
      <c r="K3468" s="9"/>
      <c r="L3468" s="9" t="s">
        <v>30</v>
      </c>
      <c r="M3468" s="9" t="s">
        <v>31</v>
      </c>
      <c r="N3468" s="9" t="s">
        <v>32</v>
      </c>
      <c r="O3468" s="12" t="s">
        <v>33</v>
      </c>
      <c r="P3468" s="12" t="s">
        <v>34</v>
      </c>
      <c r="Q3468" s="9"/>
      <c r="R3468" s="18"/>
      <c r="S3468" s="18"/>
      <c r="T3468" s="18"/>
      <c r="U3468" s="18"/>
      <c r="V3468" s="18"/>
      <c r="W3468" s="15"/>
      <c r="X3468" s="15"/>
    </row>
    <row r="3469">
      <c r="A3469" s="7">
        <v>3468.0</v>
      </c>
      <c r="B3469" s="8" t="s">
        <v>14416</v>
      </c>
      <c r="C3469" s="9" t="s">
        <v>14417</v>
      </c>
      <c r="D3469" s="10" t="str">
        <f>HYPERLINK("https://facebook.com/367089020688300_537441643653036", "367089020688300_537441643653036")</f>
        <v>367089020688300_537441643653036</v>
      </c>
      <c r="E3469" s="11">
        <v>707.0</v>
      </c>
      <c r="F3469" s="11">
        <v>19.0</v>
      </c>
      <c r="G3469" s="11">
        <v>158.0</v>
      </c>
      <c r="H3469" s="9" t="s">
        <v>26</v>
      </c>
      <c r="I3469" s="9" t="s">
        <v>14418</v>
      </c>
      <c r="J3469" s="9" t="s">
        <v>14419</v>
      </c>
      <c r="K3469" s="9" t="s">
        <v>219</v>
      </c>
      <c r="L3469" s="9" t="s">
        <v>30</v>
      </c>
      <c r="M3469" s="9" t="s">
        <v>31</v>
      </c>
      <c r="N3469" s="9" t="s">
        <v>32</v>
      </c>
      <c r="O3469" s="12" t="s">
        <v>33</v>
      </c>
      <c r="P3469" s="12" t="s">
        <v>34</v>
      </c>
      <c r="Q3469" s="9"/>
      <c r="R3469" s="18"/>
      <c r="S3469" s="18"/>
      <c r="T3469" s="18"/>
      <c r="U3469" s="18"/>
      <c r="V3469" s="18"/>
      <c r="W3469" s="15"/>
      <c r="X3469" s="15"/>
    </row>
    <row r="3470">
      <c r="A3470" s="7">
        <v>3469.0</v>
      </c>
      <c r="B3470" s="8" t="s">
        <v>14420</v>
      </c>
      <c r="C3470" s="9" t="s">
        <v>14421</v>
      </c>
      <c r="D3470" s="10" t="str">
        <f>HYPERLINK("https://facebook.com/367089020688300_539005333496667", "367089020688300_539005333496667")</f>
        <v>367089020688300_539005333496667</v>
      </c>
      <c r="E3470" s="11">
        <v>67.0</v>
      </c>
      <c r="F3470" s="11">
        <v>1.0</v>
      </c>
      <c r="G3470" s="11">
        <v>45.0</v>
      </c>
      <c r="H3470" s="9" t="s">
        <v>26</v>
      </c>
      <c r="I3470" s="9" t="s">
        <v>14422</v>
      </c>
      <c r="J3470" s="16" t="s">
        <v>14423</v>
      </c>
      <c r="K3470" s="9"/>
      <c r="L3470" s="9" t="s">
        <v>30</v>
      </c>
      <c r="M3470" s="9" t="s">
        <v>31</v>
      </c>
      <c r="N3470" s="9" t="s">
        <v>32</v>
      </c>
      <c r="O3470" s="12" t="s">
        <v>33</v>
      </c>
      <c r="P3470" s="12" t="s">
        <v>34</v>
      </c>
      <c r="Q3470" s="9"/>
      <c r="R3470" s="18"/>
      <c r="S3470" s="18"/>
      <c r="T3470" s="18"/>
      <c r="U3470" s="18"/>
      <c r="V3470" s="18"/>
      <c r="W3470" s="15"/>
      <c r="X3470" s="15"/>
    </row>
    <row r="3471">
      <c r="A3471" s="7">
        <v>3470.0</v>
      </c>
      <c r="B3471" s="8" t="s">
        <v>14424</v>
      </c>
      <c r="C3471" s="9" t="s">
        <v>14425</v>
      </c>
      <c r="D3471" s="10" t="str">
        <f>HYPERLINK("https://facebook.com/367089020688300_550560192341181", "367089020688300_550560192341181")</f>
        <v>367089020688300_550560192341181</v>
      </c>
      <c r="E3471" s="11">
        <v>32.0</v>
      </c>
      <c r="F3471" s="11">
        <v>0.0</v>
      </c>
      <c r="G3471" s="11">
        <v>23.0</v>
      </c>
      <c r="H3471" s="9" t="s">
        <v>26</v>
      </c>
      <c r="I3471" s="9" t="s">
        <v>2131</v>
      </c>
      <c r="J3471" s="16" t="s">
        <v>2132</v>
      </c>
      <c r="K3471" s="9"/>
      <c r="L3471" s="9" t="s">
        <v>30</v>
      </c>
      <c r="M3471" s="9" t="s">
        <v>31</v>
      </c>
      <c r="N3471" s="9" t="s">
        <v>32</v>
      </c>
      <c r="O3471" s="12" t="s">
        <v>33</v>
      </c>
      <c r="P3471" s="12" t="s">
        <v>34</v>
      </c>
      <c r="Q3471" s="9"/>
      <c r="R3471" s="18"/>
      <c r="S3471" s="18"/>
      <c r="T3471" s="18"/>
      <c r="U3471" s="18"/>
      <c r="V3471" s="18"/>
      <c r="W3471" s="15"/>
      <c r="X3471" s="15"/>
    </row>
    <row r="3472">
      <c r="A3472" s="7">
        <v>3471.0</v>
      </c>
      <c r="B3472" s="8" t="s">
        <v>14426</v>
      </c>
      <c r="C3472" s="9" t="s">
        <v>14427</v>
      </c>
      <c r="D3472" s="10" t="str">
        <f>HYPERLINK("https://facebook.com/367089020688300_559596654770868", "367089020688300_559596654770868")</f>
        <v>367089020688300_559596654770868</v>
      </c>
      <c r="E3472" s="11">
        <v>29.0</v>
      </c>
      <c r="F3472" s="11">
        <v>0.0</v>
      </c>
      <c r="G3472" s="11">
        <v>38.0</v>
      </c>
      <c r="H3472" s="9" t="s">
        <v>26</v>
      </c>
      <c r="I3472" s="9" t="s">
        <v>14428</v>
      </c>
      <c r="J3472" s="9" t="s">
        <v>14429</v>
      </c>
      <c r="K3472" s="9" t="s">
        <v>14430</v>
      </c>
      <c r="L3472" s="9" t="s">
        <v>30</v>
      </c>
      <c r="M3472" s="9" t="s">
        <v>31</v>
      </c>
      <c r="N3472" s="9" t="s">
        <v>32</v>
      </c>
      <c r="O3472" s="12" t="s">
        <v>33</v>
      </c>
      <c r="P3472" s="12" t="s">
        <v>34</v>
      </c>
      <c r="Q3472" s="9"/>
      <c r="R3472" s="18"/>
      <c r="S3472" s="18"/>
      <c r="T3472" s="18"/>
      <c r="U3472" s="18"/>
      <c r="V3472" s="18"/>
      <c r="W3472" s="15"/>
      <c r="X3472" s="15"/>
    </row>
    <row r="3473">
      <c r="A3473" s="7">
        <v>3472.0</v>
      </c>
      <c r="B3473" s="8" t="s">
        <v>14431</v>
      </c>
      <c r="C3473" s="9" t="s">
        <v>14432</v>
      </c>
      <c r="D3473" s="10" t="str">
        <f>HYPERLINK("https://facebook.com/367089020688300_457117968352071", "367089020688300_457117968352071")</f>
        <v>367089020688300_457117968352071</v>
      </c>
      <c r="E3473" s="11">
        <v>270.0</v>
      </c>
      <c r="F3473" s="11">
        <v>4.0</v>
      </c>
      <c r="G3473" s="11">
        <v>245.0</v>
      </c>
      <c r="H3473" s="9" t="s">
        <v>26</v>
      </c>
      <c r="I3473" s="9" t="s">
        <v>14433</v>
      </c>
      <c r="J3473" s="9" t="s">
        <v>14434</v>
      </c>
      <c r="K3473" s="9" t="s">
        <v>7632</v>
      </c>
      <c r="L3473" s="9" t="s">
        <v>30</v>
      </c>
      <c r="M3473" s="9" t="s">
        <v>31</v>
      </c>
      <c r="N3473" s="9" t="s">
        <v>32</v>
      </c>
      <c r="O3473" s="12" t="s">
        <v>33</v>
      </c>
      <c r="P3473" s="12" t="s">
        <v>34</v>
      </c>
      <c r="Q3473" s="9"/>
      <c r="R3473" s="18"/>
      <c r="S3473" s="18"/>
      <c r="T3473" s="18"/>
      <c r="U3473" s="18"/>
      <c r="V3473" s="18"/>
      <c r="W3473" s="15"/>
      <c r="X3473" s="15"/>
    </row>
    <row r="3474">
      <c r="A3474" s="7">
        <v>3473.0</v>
      </c>
      <c r="B3474" s="8" t="s">
        <v>14435</v>
      </c>
      <c r="C3474" s="9" t="s">
        <v>14436</v>
      </c>
      <c r="D3474" s="10" t="str">
        <f>HYPERLINK("https://facebook.com/367089020688300_476071043123430", "367089020688300_476071043123430")</f>
        <v>367089020688300_476071043123430</v>
      </c>
      <c r="E3474" s="11">
        <v>265.0</v>
      </c>
      <c r="F3474" s="11">
        <v>5.0</v>
      </c>
      <c r="G3474" s="11">
        <v>267.0</v>
      </c>
      <c r="H3474" s="9" t="s">
        <v>26</v>
      </c>
      <c r="I3474" s="9" t="s">
        <v>14437</v>
      </c>
      <c r="J3474" s="9" t="s">
        <v>14438</v>
      </c>
      <c r="K3474" s="9" t="s">
        <v>14439</v>
      </c>
      <c r="L3474" s="9" t="s">
        <v>30</v>
      </c>
      <c r="M3474" s="9" t="s">
        <v>31</v>
      </c>
      <c r="N3474" s="9" t="s">
        <v>32</v>
      </c>
      <c r="O3474" s="12" t="s">
        <v>33</v>
      </c>
      <c r="P3474" s="12" t="s">
        <v>34</v>
      </c>
      <c r="Q3474" s="9"/>
      <c r="R3474" s="18"/>
      <c r="S3474" s="18"/>
      <c r="T3474" s="18"/>
      <c r="U3474" s="18"/>
      <c r="V3474" s="18"/>
      <c r="W3474" s="15"/>
      <c r="X3474" s="15"/>
    </row>
    <row r="3475">
      <c r="A3475" s="7">
        <v>3474.0</v>
      </c>
      <c r="B3475" s="8" t="s">
        <v>14440</v>
      </c>
      <c r="C3475" s="9" t="s">
        <v>14441</v>
      </c>
      <c r="D3475" s="10" t="str">
        <f>HYPERLINK("https://facebook.com/367089020688300_448697345860800", "367089020688300_448697345860800")</f>
        <v>367089020688300_448697345860800</v>
      </c>
      <c r="E3475" s="11">
        <v>30.0</v>
      </c>
      <c r="F3475" s="11">
        <v>2.0</v>
      </c>
      <c r="G3475" s="11">
        <v>74.0</v>
      </c>
      <c r="H3475" s="9" t="s">
        <v>26</v>
      </c>
      <c r="I3475" s="9" t="s">
        <v>14442</v>
      </c>
      <c r="J3475" s="9" t="s">
        <v>14443</v>
      </c>
      <c r="K3475" s="9" t="s">
        <v>14444</v>
      </c>
      <c r="L3475" s="9" t="s">
        <v>30</v>
      </c>
      <c r="M3475" s="9" t="s">
        <v>31</v>
      </c>
      <c r="N3475" s="9" t="s">
        <v>32</v>
      </c>
      <c r="O3475" s="12" t="s">
        <v>33</v>
      </c>
      <c r="P3475" s="12" t="s">
        <v>34</v>
      </c>
      <c r="Q3475" s="9"/>
      <c r="R3475" s="18"/>
      <c r="S3475" s="18"/>
      <c r="T3475" s="18"/>
      <c r="U3475" s="18"/>
      <c r="V3475" s="18"/>
      <c r="W3475" s="15"/>
      <c r="X3475" s="15"/>
    </row>
    <row r="3476">
      <c r="A3476" s="7">
        <v>3475.0</v>
      </c>
      <c r="B3476" s="8" t="s">
        <v>14445</v>
      </c>
      <c r="C3476" s="9" t="s">
        <v>14446</v>
      </c>
      <c r="D3476" s="10" t="str">
        <f>HYPERLINK("https://facebook.com/367089020688300_498139767583224", "367089020688300_498139767583224")</f>
        <v>367089020688300_498139767583224</v>
      </c>
      <c r="E3476" s="11">
        <v>169.0</v>
      </c>
      <c r="F3476" s="11">
        <v>8.0</v>
      </c>
      <c r="G3476" s="11">
        <v>457.0</v>
      </c>
      <c r="H3476" s="9" t="s">
        <v>26</v>
      </c>
      <c r="I3476" s="9" t="s">
        <v>14447</v>
      </c>
      <c r="J3476" s="9" t="s">
        <v>14448</v>
      </c>
      <c r="K3476" s="9" t="s">
        <v>51</v>
      </c>
      <c r="L3476" s="9" t="s">
        <v>30</v>
      </c>
      <c r="M3476" s="9" t="s">
        <v>31</v>
      </c>
      <c r="N3476" s="9" t="s">
        <v>32</v>
      </c>
      <c r="O3476" s="12" t="s">
        <v>33</v>
      </c>
      <c r="P3476" s="12" t="s">
        <v>34</v>
      </c>
      <c r="Q3476" s="9"/>
      <c r="R3476" s="18"/>
      <c r="S3476" s="18"/>
      <c r="T3476" s="18"/>
      <c r="U3476" s="18"/>
      <c r="V3476" s="18"/>
      <c r="W3476" s="15"/>
      <c r="X3476" s="15"/>
    </row>
    <row r="3477">
      <c r="A3477" s="7">
        <v>3476.0</v>
      </c>
      <c r="B3477" s="8" t="s">
        <v>14449</v>
      </c>
      <c r="C3477" s="9" t="s">
        <v>14450</v>
      </c>
      <c r="D3477" s="10" t="str">
        <f>HYPERLINK("https://facebook.com/367089020688300_515341962529671", "367089020688300_515341962529671")</f>
        <v>367089020688300_515341962529671</v>
      </c>
      <c r="E3477" s="11">
        <v>90.0</v>
      </c>
      <c r="F3477" s="11">
        <v>2.0</v>
      </c>
      <c r="G3477" s="11">
        <v>59.0</v>
      </c>
      <c r="H3477" s="9" t="s">
        <v>26</v>
      </c>
      <c r="I3477" s="9" t="s">
        <v>14451</v>
      </c>
      <c r="J3477" s="16" t="s">
        <v>14452</v>
      </c>
      <c r="K3477" s="9"/>
      <c r="L3477" s="9" t="s">
        <v>30</v>
      </c>
      <c r="M3477" s="9" t="s">
        <v>31</v>
      </c>
      <c r="N3477" s="9" t="s">
        <v>32</v>
      </c>
      <c r="O3477" s="12" t="s">
        <v>33</v>
      </c>
      <c r="P3477" s="12" t="s">
        <v>34</v>
      </c>
      <c r="Q3477" s="9"/>
      <c r="R3477" s="18"/>
      <c r="S3477" s="18"/>
      <c r="T3477" s="18"/>
      <c r="U3477" s="18"/>
      <c r="V3477" s="18"/>
      <c r="W3477" s="15"/>
      <c r="X3477" s="15"/>
    </row>
    <row r="3478">
      <c r="A3478" s="7">
        <v>3477.0</v>
      </c>
      <c r="B3478" s="8" t="s">
        <v>14453</v>
      </c>
      <c r="C3478" s="9" t="s">
        <v>14454</v>
      </c>
      <c r="D3478" s="10" t="str">
        <f>HYPERLINK("https://facebook.com/367089020688300_454589951938206", "367089020688300_454589951938206")</f>
        <v>367089020688300_454589951938206</v>
      </c>
      <c r="E3478" s="11">
        <v>123.0</v>
      </c>
      <c r="F3478" s="11">
        <v>4.0</v>
      </c>
      <c r="G3478" s="11">
        <v>128.0</v>
      </c>
      <c r="H3478" s="9" t="s">
        <v>26</v>
      </c>
      <c r="I3478" s="9" t="s">
        <v>14455</v>
      </c>
      <c r="J3478" s="9" t="s">
        <v>14456</v>
      </c>
      <c r="K3478" s="9" t="s">
        <v>14457</v>
      </c>
      <c r="L3478" s="9" t="s">
        <v>30</v>
      </c>
      <c r="M3478" s="9" t="s">
        <v>31</v>
      </c>
      <c r="N3478" s="9" t="s">
        <v>32</v>
      </c>
      <c r="O3478" s="12" t="s">
        <v>33</v>
      </c>
      <c r="P3478" s="12" t="s">
        <v>34</v>
      </c>
      <c r="Q3478" s="9"/>
      <c r="R3478" s="18"/>
      <c r="S3478" s="18"/>
      <c r="T3478" s="18"/>
      <c r="U3478" s="18"/>
      <c r="V3478" s="18"/>
      <c r="W3478" s="15"/>
      <c r="X3478" s="15"/>
    </row>
    <row r="3479">
      <c r="A3479" s="7">
        <v>3478.0</v>
      </c>
      <c r="B3479" s="8" t="s">
        <v>14458</v>
      </c>
      <c r="C3479" s="9" t="s">
        <v>14459</v>
      </c>
      <c r="D3479" s="10" t="str">
        <f>HYPERLINK("https://facebook.com/367089020688300_548654102531790", "367089020688300_548654102531790")</f>
        <v>367089020688300_548654102531790</v>
      </c>
      <c r="E3479" s="11">
        <v>308.0</v>
      </c>
      <c r="F3479" s="11">
        <v>5.0</v>
      </c>
      <c r="G3479" s="11">
        <v>228.0</v>
      </c>
      <c r="H3479" s="9" t="s">
        <v>26</v>
      </c>
      <c r="I3479" s="9" t="s">
        <v>14460</v>
      </c>
      <c r="J3479" s="16" t="s">
        <v>14461</v>
      </c>
      <c r="K3479" s="9"/>
      <c r="L3479" s="9" t="s">
        <v>30</v>
      </c>
      <c r="M3479" s="9" t="s">
        <v>31</v>
      </c>
      <c r="N3479" s="9" t="s">
        <v>32</v>
      </c>
      <c r="O3479" s="12" t="s">
        <v>33</v>
      </c>
      <c r="P3479" s="12" t="s">
        <v>34</v>
      </c>
      <c r="Q3479" s="9"/>
      <c r="R3479" s="18"/>
      <c r="S3479" s="18"/>
      <c r="T3479" s="18"/>
      <c r="U3479" s="18"/>
      <c r="V3479" s="18"/>
      <c r="W3479" s="15"/>
      <c r="X3479" s="15"/>
    </row>
    <row r="3480">
      <c r="A3480" s="7">
        <v>3479.0</v>
      </c>
      <c r="B3480" s="8" t="s">
        <v>14462</v>
      </c>
      <c r="C3480" s="9" t="s">
        <v>14463</v>
      </c>
      <c r="D3480" s="10" t="str">
        <f>HYPERLINK("https://facebook.com/367089020688300_395061651224370", "367089020688300_395061651224370")</f>
        <v>367089020688300_395061651224370</v>
      </c>
      <c r="E3480" s="11">
        <v>354.0</v>
      </c>
      <c r="F3480" s="11">
        <v>9.0</v>
      </c>
      <c r="G3480" s="11">
        <v>298.0</v>
      </c>
      <c r="H3480" s="9" t="s">
        <v>26</v>
      </c>
      <c r="I3480" s="9" t="s">
        <v>14464</v>
      </c>
      <c r="J3480" s="9" t="s">
        <v>14465</v>
      </c>
      <c r="K3480" s="9" t="s">
        <v>14466</v>
      </c>
      <c r="L3480" s="9" t="s">
        <v>30</v>
      </c>
      <c r="M3480" s="9" t="s">
        <v>31</v>
      </c>
      <c r="N3480" s="9" t="s">
        <v>32</v>
      </c>
      <c r="O3480" s="12" t="s">
        <v>33</v>
      </c>
      <c r="P3480" s="12" t="s">
        <v>34</v>
      </c>
      <c r="Q3480" s="9"/>
      <c r="R3480" s="18"/>
      <c r="S3480" s="18"/>
      <c r="T3480" s="18"/>
      <c r="U3480" s="18"/>
      <c r="V3480" s="18"/>
      <c r="W3480" s="15"/>
      <c r="X3480" s="15"/>
    </row>
    <row r="3481">
      <c r="A3481" s="7">
        <v>3480.0</v>
      </c>
      <c r="B3481" s="8" t="s">
        <v>14467</v>
      </c>
      <c r="C3481" s="9" t="s">
        <v>14468</v>
      </c>
      <c r="D3481" s="10" t="str">
        <f>HYPERLINK("https://facebook.com/367089020688300_563212537742613", "367089020688300_563212537742613")</f>
        <v>367089020688300_563212537742613</v>
      </c>
      <c r="E3481" s="11">
        <v>28.0</v>
      </c>
      <c r="F3481" s="11">
        <v>0.0</v>
      </c>
      <c r="G3481" s="11">
        <v>36.0</v>
      </c>
      <c r="H3481" s="9" t="s">
        <v>26</v>
      </c>
      <c r="I3481" s="9" t="s">
        <v>14469</v>
      </c>
      <c r="J3481" s="16" t="s">
        <v>14470</v>
      </c>
      <c r="K3481" s="9"/>
      <c r="L3481" s="9" t="s">
        <v>30</v>
      </c>
      <c r="M3481" s="9" t="s">
        <v>31</v>
      </c>
      <c r="N3481" s="9" t="s">
        <v>32</v>
      </c>
      <c r="O3481" s="12" t="s">
        <v>33</v>
      </c>
      <c r="P3481" s="12" t="s">
        <v>34</v>
      </c>
      <c r="Q3481" s="9"/>
      <c r="R3481" s="18"/>
      <c r="S3481" s="18"/>
      <c r="T3481" s="18"/>
      <c r="U3481" s="18"/>
      <c r="V3481" s="18"/>
      <c r="W3481" s="15"/>
      <c r="X3481" s="15"/>
    </row>
    <row r="3482">
      <c r="A3482" s="7">
        <v>3481.0</v>
      </c>
      <c r="B3482" s="8" t="s">
        <v>14471</v>
      </c>
      <c r="C3482" s="9" t="s">
        <v>14472</v>
      </c>
      <c r="D3482" s="10" t="str">
        <f>HYPERLINK("https://facebook.com/367089020688300_529038774493323", "367089020688300_529038774493323")</f>
        <v>367089020688300_529038774493323</v>
      </c>
      <c r="E3482" s="11">
        <v>900.0</v>
      </c>
      <c r="F3482" s="11">
        <v>17.0</v>
      </c>
      <c r="G3482" s="11">
        <v>560.0</v>
      </c>
      <c r="H3482" s="9" t="s">
        <v>26</v>
      </c>
      <c r="I3482" s="9" t="s">
        <v>14473</v>
      </c>
      <c r="J3482" s="9" t="s">
        <v>14474</v>
      </c>
      <c r="K3482" s="9" t="s">
        <v>11773</v>
      </c>
      <c r="L3482" s="9" t="s">
        <v>30</v>
      </c>
      <c r="M3482" s="9" t="s">
        <v>31</v>
      </c>
      <c r="N3482" s="9" t="s">
        <v>32</v>
      </c>
      <c r="O3482" s="12" t="s">
        <v>33</v>
      </c>
      <c r="P3482" s="12" t="s">
        <v>34</v>
      </c>
      <c r="Q3482" s="9"/>
      <c r="R3482" s="18"/>
      <c r="S3482" s="18"/>
      <c r="T3482" s="18"/>
      <c r="U3482" s="18"/>
      <c r="V3482" s="18"/>
      <c r="W3482" s="15"/>
      <c r="X3482" s="15"/>
    </row>
    <row r="3483">
      <c r="A3483" s="7">
        <v>3482.0</v>
      </c>
      <c r="B3483" s="8" t="s">
        <v>14475</v>
      </c>
      <c r="C3483" s="9" t="s">
        <v>14476</v>
      </c>
      <c r="D3483" s="10" t="str">
        <f>HYPERLINK("https://facebook.com/367089020688300_493097291420805", "367089020688300_493097291420805")</f>
        <v>367089020688300_493097291420805</v>
      </c>
      <c r="E3483" s="11">
        <v>44.0</v>
      </c>
      <c r="F3483" s="11">
        <v>1.0</v>
      </c>
      <c r="G3483" s="11">
        <v>34.0</v>
      </c>
      <c r="H3483" s="9" t="s">
        <v>26</v>
      </c>
      <c r="I3483" s="9" t="s">
        <v>14477</v>
      </c>
      <c r="J3483" s="9" t="s">
        <v>14478</v>
      </c>
      <c r="K3483" s="9" t="s">
        <v>14479</v>
      </c>
      <c r="L3483" s="9" t="s">
        <v>30</v>
      </c>
      <c r="M3483" s="9" t="s">
        <v>31</v>
      </c>
      <c r="N3483" s="9" t="s">
        <v>32</v>
      </c>
      <c r="O3483" s="12" t="s">
        <v>33</v>
      </c>
      <c r="P3483" s="12" t="s">
        <v>34</v>
      </c>
      <c r="Q3483" s="9"/>
      <c r="R3483" s="18"/>
      <c r="S3483" s="18"/>
      <c r="T3483" s="18"/>
      <c r="U3483" s="18"/>
      <c r="V3483" s="18"/>
      <c r="W3483" s="15"/>
      <c r="X3483" s="15"/>
    </row>
    <row r="3484">
      <c r="A3484" s="7">
        <v>3483.0</v>
      </c>
      <c r="B3484" s="8" t="s">
        <v>14480</v>
      </c>
      <c r="C3484" s="9" t="s">
        <v>14481</v>
      </c>
      <c r="D3484" s="10" t="str">
        <f>HYPERLINK("https://facebook.com/367089020688300_558321801565020", "367089020688300_558321801565020")</f>
        <v>367089020688300_558321801565020</v>
      </c>
      <c r="E3484" s="11">
        <v>1918.0</v>
      </c>
      <c r="F3484" s="11">
        <v>8.0</v>
      </c>
      <c r="G3484" s="11">
        <v>1096.0</v>
      </c>
      <c r="H3484" s="9" t="s">
        <v>26</v>
      </c>
      <c r="I3484" s="9" t="s">
        <v>14482</v>
      </c>
      <c r="J3484" s="9" t="s">
        <v>14483</v>
      </c>
      <c r="K3484" s="9" t="s">
        <v>2826</v>
      </c>
      <c r="L3484" s="9" t="s">
        <v>30</v>
      </c>
      <c r="M3484" s="9" t="s">
        <v>31</v>
      </c>
      <c r="N3484" s="9" t="s">
        <v>32</v>
      </c>
      <c r="O3484" s="12" t="s">
        <v>33</v>
      </c>
      <c r="P3484" s="12" t="s">
        <v>34</v>
      </c>
      <c r="Q3484" s="9"/>
      <c r="R3484" s="18"/>
      <c r="S3484" s="18"/>
      <c r="T3484" s="18"/>
      <c r="U3484" s="18"/>
      <c r="V3484" s="18"/>
      <c r="W3484" s="15"/>
      <c r="X3484" s="15"/>
    </row>
    <row r="3485">
      <c r="A3485" s="7">
        <v>3484.0</v>
      </c>
      <c r="B3485" s="8" t="s">
        <v>14484</v>
      </c>
      <c r="C3485" s="9" t="s">
        <v>14485</v>
      </c>
      <c r="D3485" s="10" t="str">
        <f>HYPERLINK("https://facebook.com/367089020688300_544625832934617", "367089020688300_544625832934617")</f>
        <v>367089020688300_544625832934617</v>
      </c>
      <c r="E3485" s="11">
        <v>144.0</v>
      </c>
      <c r="F3485" s="11">
        <v>0.0</v>
      </c>
      <c r="G3485" s="11">
        <v>88.0</v>
      </c>
      <c r="H3485" s="9" t="s">
        <v>26</v>
      </c>
      <c r="I3485" s="9" t="s">
        <v>14486</v>
      </c>
      <c r="J3485" s="16" t="s">
        <v>14487</v>
      </c>
      <c r="K3485" s="9"/>
      <c r="L3485" s="9" t="s">
        <v>30</v>
      </c>
      <c r="M3485" s="9" t="s">
        <v>31</v>
      </c>
      <c r="N3485" s="9" t="s">
        <v>32</v>
      </c>
      <c r="O3485" s="12" t="s">
        <v>33</v>
      </c>
      <c r="P3485" s="12" t="s">
        <v>34</v>
      </c>
      <c r="Q3485" s="9"/>
      <c r="R3485" s="18"/>
      <c r="S3485" s="18"/>
      <c r="T3485" s="18"/>
      <c r="U3485" s="18"/>
      <c r="V3485" s="18"/>
      <c r="W3485" s="15"/>
      <c r="X3485" s="15"/>
    </row>
    <row r="3486">
      <c r="A3486" s="7">
        <v>3485.0</v>
      </c>
      <c r="B3486" s="8" t="s">
        <v>14488</v>
      </c>
      <c r="C3486" s="9" t="s">
        <v>14489</v>
      </c>
      <c r="D3486" s="10" t="str">
        <f>HYPERLINK("https://facebook.com/367089020688300_539682256762308", "367089020688300_539682256762308")</f>
        <v>367089020688300_539682256762308</v>
      </c>
      <c r="E3486" s="11">
        <v>371.0</v>
      </c>
      <c r="F3486" s="11">
        <v>5.0</v>
      </c>
      <c r="G3486" s="11">
        <v>310.0</v>
      </c>
      <c r="H3486" s="9" t="s">
        <v>26</v>
      </c>
      <c r="I3486" s="9" t="s">
        <v>14490</v>
      </c>
      <c r="J3486" s="9" t="s">
        <v>14491</v>
      </c>
      <c r="K3486" s="9" t="s">
        <v>14492</v>
      </c>
      <c r="L3486" s="9" t="s">
        <v>30</v>
      </c>
      <c r="M3486" s="9" t="s">
        <v>31</v>
      </c>
      <c r="N3486" s="9" t="s">
        <v>32</v>
      </c>
      <c r="O3486" s="12" t="s">
        <v>33</v>
      </c>
      <c r="P3486" s="12" t="s">
        <v>34</v>
      </c>
      <c r="Q3486" s="9"/>
      <c r="R3486" s="18"/>
      <c r="S3486" s="18"/>
      <c r="T3486" s="18"/>
      <c r="U3486" s="18"/>
      <c r="V3486" s="18"/>
      <c r="W3486" s="15"/>
      <c r="X3486" s="15"/>
    </row>
    <row r="3487">
      <c r="A3487" s="7">
        <v>3486.0</v>
      </c>
      <c r="B3487" s="8" t="s">
        <v>14493</v>
      </c>
      <c r="C3487" s="9" t="s">
        <v>14494</v>
      </c>
      <c r="D3487" s="10" t="str">
        <f>HYPERLINK("https://facebook.com/367089020688300_545386556191878", "367089020688300_545386556191878")</f>
        <v>367089020688300_545386556191878</v>
      </c>
      <c r="E3487" s="11">
        <v>36.0</v>
      </c>
      <c r="F3487" s="11">
        <v>0.0</v>
      </c>
      <c r="G3487" s="11">
        <v>39.0</v>
      </c>
      <c r="H3487" s="9" t="s">
        <v>26</v>
      </c>
      <c r="I3487" s="9" t="s">
        <v>12631</v>
      </c>
      <c r="J3487" s="16" t="s">
        <v>12632</v>
      </c>
      <c r="K3487" s="9"/>
      <c r="L3487" s="9" t="s">
        <v>30</v>
      </c>
      <c r="M3487" s="9" t="s">
        <v>31</v>
      </c>
      <c r="N3487" s="9" t="s">
        <v>32</v>
      </c>
      <c r="O3487" s="12" t="s">
        <v>33</v>
      </c>
      <c r="P3487" s="12" t="s">
        <v>34</v>
      </c>
      <c r="Q3487" s="9"/>
      <c r="R3487" s="18"/>
      <c r="S3487" s="18"/>
      <c r="T3487" s="18"/>
      <c r="U3487" s="18"/>
      <c r="V3487" s="18"/>
      <c r="W3487" s="15"/>
      <c r="X3487" s="15"/>
    </row>
    <row r="3488">
      <c r="A3488" s="7">
        <v>3487.0</v>
      </c>
      <c r="B3488" s="8" t="s">
        <v>14495</v>
      </c>
      <c r="C3488" s="9" t="s">
        <v>14496</v>
      </c>
      <c r="D3488" s="10" t="str">
        <f>HYPERLINK("https://facebook.com/367089020688300_563615931035607", "367089020688300_563615931035607")</f>
        <v>367089020688300_563615931035607</v>
      </c>
      <c r="E3488" s="11">
        <v>35.0</v>
      </c>
      <c r="F3488" s="11">
        <v>0.0</v>
      </c>
      <c r="G3488" s="11">
        <v>2.0</v>
      </c>
      <c r="H3488" s="9" t="s">
        <v>26</v>
      </c>
      <c r="I3488" s="9" t="s">
        <v>10499</v>
      </c>
      <c r="J3488" s="16" t="s">
        <v>10500</v>
      </c>
      <c r="K3488" s="9"/>
      <c r="L3488" s="9" t="s">
        <v>30</v>
      </c>
      <c r="M3488" s="9" t="s">
        <v>31</v>
      </c>
      <c r="N3488" s="9" t="s">
        <v>32</v>
      </c>
      <c r="O3488" s="12" t="s">
        <v>33</v>
      </c>
      <c r="P3488" s="12" t="s">
        <v>34</v>
      </c>
      <c r="Q3488" s="9"/>
      <c r="R3488" s="18"/>
      <c r="S3488" s="18"/>
      <c r="T3488" s="18"/>
      <c r="U3488" s="18"/>
      <c r="V3488" s="18"/>
      <c r="W3488" s="15"/>
      <c r="X3488" s="15"/>
    </row>
    <row r="3489">
      <c r="A3489" s="7">
        <v>3488.0</v>
      </c>
      <c r="B3489" s="8" t="s">
        <v>14497</v>
      </c>
      <c r="C3489" s="9" t="s">
        <v>14498</v>
      </c>
      <c r="D3489" s="10" t="str">
        <f>HYPERLINK("https://facebook.com/367089020688300_394258934637975", "367089020688300_394258934637975")</f>
        <v>367089020688300_394258934637975</v>
      </c>
      <c r="E3489" s="11">
        <v>527.0</v>
      </c>
      <c r="F3489" s="11">
        <v>34.0</v>
      </c>
      <c r="G3489" s="11">
        <v>852.0</v>
      </c>
      <c r="H3489" s="9" t="s">
        <v>26</v>
      </c>
      <c r="I3489" s="9" t="s">
        <v>7799</v>
      </c>
      <c r="J3489" s="9" t="s">
        <v>11206</v>
      </c>
      <c r="K3489" s="9" t="s">
        <v>4561</v>
      </c>
      <c r="L3489" s="9" t="s">
        <v>30</v>
      </c>
      <c r="M3489" s="9" t="s">
        <v>31</v>
      </c>
      <c r="N3489" s="9" t="s">
        <v>32</v>
      </c>
      <c r="O3489" s="12" t="s">
        <v>33</v>
      </c>
      <c r="P3489" s="12" t="s">
        <v>34</v>
      </c>
      <c r="Q3489" s="9"/>
      <c r="R3489" s="18"/>
      <c r="S3489" s="18"/>
      <c r="T3489" s="18"/>
      <c r="U3489" s="18"/>
      <c r="V3489" s="18"/>
      <c r="W3489" s="15"/>
      <c r="X3489" s="15"/>
    </row>
    <row r="3490">
      <c r="A3490" s="7">
        <v>3489.0</v>
      </c>
      <c r="B3490" s="8" t="s">
        <v>14499</v>
      </c>
      <c r="C3490" s="9" t="s">
        <v>14500</v>
      </c>
      <c r="D3490" s="10" t="str">
        <f>HYPERLINK("https://facebook.com/367089020688300_540094123387788", "367089020688300_540094123387788")</f>
        <v>367089020688300_540094123387788</v>
      </c>
      <c r="E3490" s="11">
        <v>22.0</v>
      </c>
      <c r="F3490" s="11">
        <v>1.0</v>
      </c>
      <c r="G3490" s="11">
        <v>10.0</v>
      </c>
      <c r="H3490" s="9" t="s">
        <v>26</v>
      </c>
      <c r="I3490" s="9" t="s">
        <v>14501</v>
      </c>
      <c r="J3490" s="9" t="s">
        <v>14502</v>
      </c>
      <c r="K3490" s="9" t="s">
        <v>14503</v>
      </c>
      <c r="L3490" s="9" t="s">
        <v>30</v>
      </c>
      <c r="M3490" s="9" t="s">
        <v>31</v>
      </c>
      <c r="N3490" s="9" t="s">
        <v>32</v>
      </c>
      <c r="O3490" s="12" t="s">
        <v>33</v>
      </c>
      <c r="P3490" s="12" t="s">
        <v>34</v>
      </c>
      <c r="Q3490" s="9"/>
      <c r="R3490" s="18"/>
      <c r="S3490" s="18"/>
      <c r="T3490" s="18"/>
      <c r="U3490" s="18"/>
      <c r="V3490" s="18"/>
      <c r="W3490" s="15"/>
      <c r="X3490" s="15"/>
    </row>
    <row r="3491">
      <c r="A3491" s="7">
        <v>3490.0</v>
      </c>
      <c r="B3491" s="8" t="s">
        <v>14504</v>
      </c>
      <c r="C3491" s="9" t="s">
        <v>14505</v>
      </c>
      <c r="D3491" s="10" t="str">
        <f>HYPERLINK("https://facebook.com/367089020688300_531820834215117", "367089020688300_531820834215117")</f>
        <v>367089020688300_531820834215117</v>
      </c>
      <c r="E3491" s="11">
        <v>123.0</v>
      </c>
      <c r="F3491" s="11">
        <v>0.0</v>
      </c>
      <c r="G3491" s="11">
        <v>128.0</v>
      </c>
      <c r="H3491" s="9" t="s">
        <v>26</v>
      </c>
      <c r="I3491" s="9" t="s">
        <v>2951</v>
      </c>
      <c r="J3491" s="16" t="s">
        <v>14506</v>
      </c>
      <c r="K3491" s="9"/>
      <c r="L3491" s="9" t="s">
        <v>30</v>
      </c>
      <c r="M3491" s="9" t="s">
        <v>31</v>
      </c>
      <c r="N3491" s="9" t="s">
        <v>32</v>
      </c>
      <c r="O3491" s="12" t="s">
        <v>33</v>
      </c>
      <c r="P3491" s="12" t="s">
        <v>34</v>
      </c>
      <c r="Q3491" s="9"/>
      <c r="R3491" s="18"/>
      <c r="S3491" s="18"/>
      <c r="T3491" s="18"/>
      <c r="U3491" s="18"/>
      <c r="V3491" s="18"/>
      <c r="W3491" s="15"/>
      <c r="X3491" s="15"/>
    </row>
    <row r="3492">
      <c r="A3492" s="7">
        <v>3491.0</v>
      </c>
      <c r="B3492" s="8" t="s">
        <v>14507</v>
      </c>
      <c r="C3492" s="9" t="s">
        <v>14508</v>
      </c>
      <c r="D3492" s="10" t="str">
        <f>HYPERLINK("https://facebook.com/367089020688300_539032063493994", "367089020688300_539032063493994")</f>
        <v>367089020688300_539032063493994</v>
      </c>
      <c r="E3492" s="11">
        <v>1822.0</v>
      </c>
      <c r="F3492" s="11">
        <v>80.0</v>
      </c>
      <c r="G3492" s="11">
        <v>955.0</v>
      </c>
      <c r="H3492" s="9" t="s">
        <v>26</v>
      </c>
      <c r="I3492" s="9" t="s">
        <v>14509</v>
      </c>
      <c r="J3492" s="16" t="s">
        <v>14510</v>
      </c>
      <c r="K3492" s="9"/>
      <c r="L3492" s="9" t="s">
        <v>30</v>
      </c>
      <c r="M3492" s="9" t="s">
        <v>31</v>
      </c>
      <c r="N3492" s="9" t="s">
        <v>32</v>
      </c>
      <c r="O3492" s="12" t="s">
        <v>33</v>
      </c>
      <c r="P3492" s="12" t="s">
        <v>34</v>
      </c>
      <c r="Q3492" s="9"/>
      <c r="R3492" s="18"/>
      <c r="S3492" s="18"/>
      <c r="T3492" s="18"/>
      <c r="U3492" s="18"/>
      <c r="V3492" s="18"/>
      <c r="W3492" s="15"/>
      <c r="X3492" s="15"/>
    </row>
    <row r="3493">
      <c r="A3493" s="7">
        <v>3492.0</v>
      </c>
      <c r="B3493" s="8" t="s">
        <v>14511</v>
      </c>
      <c r="C3493" s="9" t="s">
        <v>14512</v>
      </c>
      <c r="D3493" s="10" t="str">
        <f>HYPERLINK("https://facebook.com/367089020688300_541916339872233", "367089020688300_541916339872233")</f>
        <v>367089020688300_541916339872233</v>
      </c>
      <c r="E3493" s="11">
        <v>66.0</v>
      </c>
      <c r="F3493" s="11">
        <v>0.0</v>
      </c>
      <c r="G3493" s="11">
        <v>6.0</v>
      </c>
      <c r="H3493" s="9" t="s">
        <v>26</v>
      </c>
      <c r="I3493" s="9" t="s">
        <v>14513</v>
      </c>
      <c r="J3493" s="16" t="s">
        <v>14514</v>
      </c>
      <c r="K3493" s="9"/>
      <c r="L3493" s="9" t="s">
        <v>30</v>
      </c>
      <c r="M3493" s="9" t="s">
        <v>31</v>
      </c>
      <c r="N3493" s="9" t="s">
        <v>32</v>
      </c>
      <c r="O3493" s="12" t="s">
        <v>33</v>
      </c>
      <c r="P3493" s="12" t="s">
        <v>34</v>
      </c>
      <c r="Q3493" s="9"/>
      <c r="R3493" s="18"/>
      <c r="S3493" s="18"/>
      <c r="T3493" s="18"/>
      <c r="U3493" s="18"/>
      <c r="V3493" s="18"/>
      <c r="W3493" s="15"/>
      <c r="X3493" s="15"/>
    </row>
    <row r="3494">
      <c r="A3494" s="7">
        <v>3493.0</v>
      </c>
      <c r="B3494" s="8" t="s">
        <v>14515</v>
      </c>
      <c r="C3494" s="9" t="s">
        <v>14516</v>
      </c>
      <c r="D3494" s="10" t="str">
        <f>HYPERLINK("https://facebook.com/367089020688300_385708112159724", "367089020688300_385708112159724")</f>
        <v>367089020688300_385708112159724</v>
      </c>
      <c r="E3494" s="11">
        <v>584.0</v>
      </c>
      <c r="F3494" s="11">
        <v>15.0</v>
      </c>
      <c r="G3494" s="11">
        <v>572.0</v>
      </c>
      <c r="H3494" s="9" t="s">
        <v>26</v>
      </c>
      <c r="I3494" s="9" t="s">
        <v>14517</v>
      </c>
      <c r="J3494" s="9" t="s">
        <v>14518</v>
      </c>
      <c r="K3494" s="9" t="s">
        <v>249</v>
      </c>
      <c r="L3494" s="9" t="s">
        <v>30</v>
      </c>
      <c r="M3494" s="9" t="s">
        <v>31</v>
      </c>
      <c r="N3494" s="9" t="s">
        <v>32</v>
      </c>
      <c r="O3494" s="12" t="s">
        <v>33</v>
      </c>
      <c r="P3494" s="12" t="s">
        <v>34</v>
      </c>
      <c r="Q3494" s="9"/>
      <c r="R3494" s="18"/>
      <c r="S3494" s="18"/>
      <c r="T3494" s="18"/>
      <c r="U3494" s="18"/>
      <c r="V3494" s="18"/>
      <c r="W3494" s="15"/>
      <c r="X3494" s="15"/>
    </row>
    <row r="3495">
      <c r="A3495" s="7">
        <v>3494.0</v>
      </c>
      <c r="B3495" s="8" t="s">
        <v>14519</v>
      </c>
      <c r="C3495" s="9" t="s">
        <v>14520</v>
      </c>
      <c r="D3495" s="10" t="str">
        <f>HYPERLINK("https://facebook.com/367089020688300_548905329173334", "367089020688300_548905329173334")</f>
        <v>367089020688300_548905329173334</v>
      </c>
      <c r="E3495" s="11">
        <v>20.0</v>
      </c>
      <c r="F3495" s="11">
        <v>0.0</v>
      </c>
      <c r="G3495" s="11">
        <v>16.0</v>
      </c>
      <c r="H3495" s="9" t="s">
        <v>26</v>
      </c>
      <c r="I3495" s="9" t="s">
        <v>14521</v>
      </c>
      <c r="J3495" s="16" t="s">
        <v>14522</v>
      </c>
      <c r="K3495" s="9"/>
      <c r="L3495" s="9" t="s">
        <v>30</v>
      </c>
      <c r="M3495" s="9" t="s">
        <v>31</v>
      </c>
      <c r="N3495" s="9" t="s">
        <v>32</v>
      </c>
      <c r="O3495" s="12" t="s">
        <v>33</v>
      </c>
      <c r="P3495" s="12" t="s">
        <v>34</v>
      </c>
      <c r="Q3495" s="9"/>
      <c r="R3495" s="18"/>
      <c r="S3495" s="18"/>
      <c r="T3495" s="18"/>
      <c r="U3495" s="18"/>
      <c r="V3495" s="18"/>
      <c r="W3495" s="15"/>
      <c r="X3495" s="15"/>
    </row>
    <row r="3496">
      <c r="A3496" s="7">
        <v>3495.0</v>
      </c>
      <c r="B3496" s="8" t="s">
        <v>14523</v>
      </c>
      <c r="C3496" s="9" t="s">
        <v>14524</v>
      </c>
      <c r="D3496" s="10" t="str">
        <f>HYPERLINK("https://facebook.com/367089020688300_478867226177145", "367089020688300_478867226177145")</f>
        <v>367089020688300_478867226177145</v>
      </c>
      <c r="E3496" s="11">
        <v>533.0</v>
      </c>
      <c r="F3496" s="11">
        <v>24.0</v>
      </c>
      <c r="G3496" s="11">
        <v>205.0</v>
      </c>
      <c r="H3496" s="9" t="s">
        <v>26</v>
      </c>
      <c r="I3496" s="9" t="s">
        <v>11463</v>
      </c>
      <c r="J3496" s="9" t="s">
        <v>11464</v>
      </c>
      <c r="K3496" s="9" t="s">
        <v>14525</v>
      </c>
      <c r="L3496" s="9" t="s">
        <v>30</v>
      </c>
      <c r="M3496" s="9" t="s">
        <v>31</v>
      </c>
      <c r="N3496" s="9" t="s">
        <v>32</v>
      </c>
      <c r="O3496" s="12" t="s">
        <v>33</v>
      </c>
      <c r="P3496" s="12" t="s">
        <v>34</v>
      </c>
      <c r="Q3496" s="9"/>
      <c r="R3496" s="18"/>
      <c r="S3496" s="18"/>
      <c r="T3496" s="18"/>
      <c r="U3496" s="18"/>
      <c r="V3496" s="18"/>
      <c r="W3496" s="15"/>
      <c r="X3496" s="15"/>
    </row>
    <row r="3497">
      <c r="A3497" s="7">
        <v>3496.0</v>
      </c>
      <c r="B3497" s="8" t="s">
        <v>14526</v>
      </c>
      <c r="C3497" s="9" t="s">
        <v>14527</v>
      </c>
      <c r="D3497" s="10" t="str">
        <f>HYPERLINK("https://facebook.com/367089020688300_555093608554506", "367089020688300_555093608554506")</f>
        <v>367089020688300_555093608554506</v>
      </c>
      <c r="E3497" s="11">
        <v>128.0</v>
      </c>
      <c r="F3497" s="11">
        <v>0.0</v>
      </c>
      <c r="G3497" s="11">
        <v>60.0</v>
      </c>
      <c r="H3497" s="9" t="s">
        <v>26</v>
      </c>
      <c r="I3497" s="9" t="s">
        <v>14528</v>
      </c>
      <c r="J3497" s="9" t="s">
        <v>14529</v>
      </c>
      <c r="K3497" s="9" t="s">
        <v>5481</v>
      </c>
      <c r="L3497" s="9" t="s">
        <v>30</v>
      </c>
      <c r="M3497" s="9" t="s">
        <v>31</v>
      </c>
      <c r="N3497" s="9" t="s">
        <v>32</v>
      </c>
      <c r="O3497" s="12" t="s">
        <v>33</v>
      </c>
      <c r="P3497" s="12" t="s">
        <v>34</v>
      </c>
      <c r="Q3497" s="9"/>
      <c r="R3497" s="18"/>
      <c r="S3497" s="18"/>
      <c r="T3497" s="18"/>
      <c r="U3497" s="18"/>
      <c r="V3497" s="18"/>
      <c r="W3497" s="15"/>
      <c r="X3497" s="15"/>
    </row>
    <row r="3498">
      <c r="A3498" s="7">
        <v>3497.0</v>
      </c>
      <c r="B3498" s="8" t="s">
        <v>14530</v>
      </c>
      <c r="C3498" s="9" t="s">
        <v>14531</v>
      </c>
      <c r="D3498" s="10" t="str">
        <f>HYPERLINK("https://facebook.com/367089020688300_540394970024370", "367089020688300_540394970024370")</f>
        <v>367089020688300_540394970024370</v>
      </c>
      <c r="E3498" s="11">
        <v>55.0</v>
      </c>
      <c r="F3498" s="11">
        <v>0.0</v>
      </c>
      <c r="G3498" s="11">
        <v>76.0</v>
      </c>
      <c r="H3498" s="9" t="s">
        <v>26</v>
      </c>
      <c r="I3498" s="9" t="s">
        <v>14532</v>
      </c>
      <c r="J3498" s="9" t="s">
        <v>14533</v>
      </c>
      <c r="K3498" s="9" t="s">
        <v>14534</v>
      </c>
      <c r="L3498" s="9" t="s">
        <v>30</v>
      </c>
      <c r="M3498" s="9" t="s">
        <v>31</v>
      </c>
      <c r="N3498" s="9" t="s">
        <v>32</v>
      </c>
      <c r="O3498" s="12" t="s">
        <v>33</v>
      </c>
      <c r="P3498" s="12" t="s">
        <v>34</v>
      </c>
      <c r="Q3498" s="9"/>
      <c r="R3498" s="18"/>
      <c r="S3498" s="18"/>
      <c r="T3498" s="18"/>
      <c r="U3498" s="18"/>
      <c r="V3498" s="18"/>
      <c r="W3498" s="15"/>
      <c r="X3498" s="15"/>
    </row>
    <row r="3499">
      <c r="A3499" s="7">
        <v>3498.0</v>
      </c>
      <c r="B3499" s="8" t="s">
        <v>14535</v>
      </c>
      <c r="C3499" s="9" t="s">
        <v>14536</v>
      </c>
      <c r="D3499" s="10" t="str">
        <f>HYPERLINK("https://facebook.com/367089020688300_548011095929424", "367089020688300_548011095929424")</f>
        <v>367089020688300_548011095929424</v>
      </c>
      <c r="E3499" s="11">
        <v>5.0</v>
      </c>
      <c r="F3499" s="11">
        <v>0.0</v>
      </c>
      <c r="G3499" s="11">
        <v>0.0</v>
      </c>
      <c r="H3499" s="9" t="s">
        <v>26</v>
      </c>
      <c r="I3499" s="9" t="s">
        <v>14537</v>
      </c>
      <c r="J3499" s="16" t="s">
        <v>14538</v>
      </c>
      <c r="K3499" s="9"/>
      <c r="L3499" s="9" t="s">
        <v>30</v>
      </c>
      <c r="M3499" s="9" t="s">
        <v>31</v>
      </c>
      <c r="N3499" s="9" t="s">
        <v>32</v>
      </c>
      <c r="O3499" s="12" t="s">
        <v>33</v>
      </c>
      <c r="P3499" s="12" t="s">
        <v>34</v>
      </c>
      <c r="Q3499" s="9"/>
      <c r="R3499" s="18"/>
      <c r="S3499" s="18"/>
      <c r="T3499" s="18"/>
      <c r="U3499" s="18"/>
      <c r="V3499" s="18"/>
      <c r="W3499" s="15"/>
      <c r="X3499" s="15"/>
    </row>
    <row r="3500">
      <c r="A3500" s="7">
        <v>3499.0</v>
      </c>
      <c r="B3500" s="8" t="s">
        <v>14539</v>
      </c>
      <c r="C3500" s="9" t="s">
        <v>14540</v>
      </c>
      <c r="D3500" s="10" t="str">
        <f>HYPERLINK("https://facebook.com/367089020688300_546118179452049", "367089020688300_546118179452049")</f>
        <v>367089020688300_546118179452049</v>
      </c>
      <c r="E3500" s="11">
        <v>19.0</v>
      </c>
      <c r="F3500" s="11">
        <v>0.0</v>
      </c>
      <c r="G3500" s="11">
        <v>2.0</v>
      </c>
      <c r="H3500" s="9" t="s">
        <v>26</v>
      </c>
      <c r="I3500" s="9" t="s">
        <v>4929</v>
      </c>
      <c r="J3500" s="16" t="s">
        <v>4930</v>
      </c>
      <c r="K3500" s="9"/>
      <c r="L3500" s="9" t="s">
        <v>30</v>
      </c>
      <c r="M3500" s="9" t="s">
        <v>31</v>
      </c>
      <c r="N3500" s="9" t="s">
        <v>32</v>
      </c>
      <c r="O3500" s="12" t="s">
        <v>33</v>
      </c>
      <c r="P3500" s="12" t="s">
        <v>34</v>
      </c>
      <c r="Q3500" s="9"/>
      <c r="R3500" s="18"/>
      <c r="S3500" s="18"/>
      <c r="T3500" s="18"/>
      <c r="U3500" s="18"/>
      <c r="V3500" s="18"/>
      <c r="W3500" s="15"/>
      <c r="X3500" s="15"/>
    </row>
    <row r="3501">
      <c r="A3501" s="7">
        <v>3500.0</v>
      </c>
      <c r="B3501" s="8" t="s">
        <v>14541</v>
      </c>
      <c r="C3501" s="9" t="s">
        <v>14542</v>
      </c>
      <c r="D3501" s="10" t="str">
        <f>HYPERLINK("https://facebook.com/367089020688300_537906426939891", "367089020688300_537906426939891")</f>
        <v>367089020688300_537906426939891</v>
      </c>
      <c r="E3501" s="11">
        <v>139.0</v>
      </c>
      <c r="F3501" s="11">
        <v>3.0</v>
      </c>
      <c r="G3501" s="11">
        <v>166.0</v>
      </c>
      <c r="H3501" s="9" t="s">
        <v>26</v>
      </c>
      <c r="I3501" s="9" t="s">
        <v>1244</v>
      </c>
      <c r="J3501" s="16" t="s">
        <v>1245</v>
      </c>
      <c r="K3501" s="9"/>
      <c r="L3501" s="9" t="s">
        <v>30</v>
      </c>
      <c r="M3501" s="9" t="s">
        <v>31</v>
      </c>
      <c r="N3501" s="9" t="s">
        <v>32</v>
      </c>
      <c r="O3501" s="12" t="s">
        <v>33</v>
      </c>
      <c r="P3501" s="12" t="s">
        <v>34</v>
      </c>
      <c r="Q3501" s="9"/>
      <c r="R3501" s="18"/>
      <c r="S3501" s="18"/>
      <c r="T3501" s="18"/>
      <c r="U3501" s="18"/>
      <c r="V3501" s="18"/>
      <c r="W3501" s="15"/>
      <c r="X3501" s="15"/>
    </row>
    <row r="3502">
      <c r="A3502" s="7">
        <v>3501.0</v>
      </c>
      <c r="B3502" s="8" t="s">
        <v>14543</v>
      </c>
      <c r="C3502" s="9" t="s">
        <v>14544</v>
      </c>
      <c r="D3502" s="10" t="str">
        <f>HYPERLINK("https://facebook.com/367089020688300_558423381554862", "367089020688300_558423381554862")</f>
        <v>367089020688300_558423381554862</v>
      </c>
      <c r="E3502" s="11">
        <v>8.0</v>
      </c>
      <c r="F3502" s="11">
        <v>0.0</v>
      </c>
      <c r="G3502" s="11">
        <v>1.0</v>
      </c>
      <c r="H3502" s="9" t="s">
        <v>26</v>
      </c>
      <c r="I3502" s="9" t="s">
        <v>10751</v>
      </c>
      <c r="J3502" s="9" t="s">
        <v>14545</v>
      </c>
      <c r="K3502" s="9" t="s">
        <v>14546</v>
      </c>
      <c r="L3502" s="9" t="s">
        <v>30</v>
      </c>
      <c r="M3502" s="9" t="s">
        <v>31</v>
      </c>
      <c r="N3502" s="9" t="s">
        <v>32</v>
      </c>
      <c r="O3502" s="12" t="s">
        <v>33</v>
      </c>
      <c r="P3502" s="12" t="s">
        <v>34</v>
      </c>
      <c r="Q3502" s="9"/>
      <c r="R3502" s="18"/>
      <c r="S3502" s="18"/>
      <c r="T3502" s="18"/>
      <c r="U3502" s="18"/>
      <c r="V3502" s="18"/>
      <c r="W3502" s="15"/>
      <c r="X3502" s="15"/>
    </row>
    <row r="3503">
      <c r="A3503" s="7">
        <v>3502.0</v>
      </c>
      <c r="B3503" s="8" t="s">
        <v>14547</v>
      </c>
      <c r="C3503" s="9" t="s">
        <v>14548</v>
      </c>
      <c r="D3503" s="10" t="str">
        <f>HYPERLINK("https://facebook.com/367089020688300_416152609115274", "367089020688300_416152609115274")</f>
        <v>367089020688300_416152609115274</v>
      </c>
      <c r="E3503" s="11">
        <v>1216.0</v>
      </c>
      <c r="F3503" s="11">
        <v>6.0</v>
      </c>
      <c r="G3503" s="11">
        <v>647.0</v>
      </c>
      <c r="H3503" s="9" t="s">
        <v>26</v>
      </c>
      <c r="I3503" s="9" t="s">
        <v>12317</v>
      </c>
      <c r="J3503" s="9" t="s">
        <v>12318</v>
      </c>
      <c r="K3503" s="9" t="s">
        <v>14549</v>
      </c>
      <c r="L3503" s="9" t="s">
        <v>30</v>
      </c>
      <c r="M3503" s="9" t="s">
        <v>31</v>
      </c>
      <c r="N3503" s="9" t="s">
        <v>32</v>
      </c>
      <c r="O3503" s="12" t="s">
        <v>33</v>
      </c>
      <c r="P3503" s="12" t="s">
        <v>34</v>
      </c>
      <c r="Q3503" s="9"/>
      <c r="R3503" s="18"/>
      <c r="S3503" s="18"/>
      <c r="T3503" s="18"/>
      <c r="U3503" s="18"/>
      <c r="V3503" s="18"/>
      <c r="W3503" s="15"/>
      <c r="X3503" s="15"/>
    </row>
    <row r="3504">
      <c r="A3504" s="7">
        <v>3503.0</v>
      </c>
      <c r="B3504" s="8" t="s">
        <v>14550</v>
      </c>
      <c r="C3504" s="9" t="s">
        <v>14551</v>
      </c>
      <c r="D3504" s="10" t="str">
        <f>HYPERLINK("https://facebook.com/367089020688300_534299993967201", "367089020688300_534299993967201")</f>
        <v>367089020688300_534299993967201</v>
      </c>
      <c r="E3504" s="11">
        <v>1305.0</v>
      </c>
      <c r="F3504" s="11">
        <v>79.0</v>
      </c>
      <c r="G3504" s="11">
        <v>664.0</v>
      </c>
      <c r="H3504" s="9" t="s">
        <v>26</v>
      </c>
      <c r="I3504" s="9" t="s">
        <v>5043</v>
      </c>
      <c r="J3504" s="16" t="s">
        <v>14552</v>
      </c>
      <c r="K3504" s="9"/>
      <c r="L3504" s="9" t="s">
        <v>30</v>
      </c>
      <c r="M3504" s="9" t="s">
        <v>31</v>
      </c>
      <c r="N3504" s="9" t="s">
        <v>32</v>
      </c>
      <c r="O3504" s="12" t="s">
        <v>33</v>
      </c>
      <c r="P3504" s="12" t="s">
        <v>34</v>
      </c>
      <c r="Q3504" s="9"/>
      <c r="R3504" s="18"/>
      <c r="S3504" s="18"/>
      <c r="T3504" s="18"/>
      <c r="U3504" s="18"/>
      <c r="V3504" s="18"/>
      <c r="W3504" s="15"/>
      <c r="X3504" s="15"/>
    </row>
    <row r="3505">
      <c r="A3505" s="7">
        <v>3504.0</v>
      </c>
      <c r="B3505" s="8" t="s">
        <v>14553</v>
      </c>
      <c r="C3505" s="9" t="s">
        <v>14554</v>
      </c>
      <c r="D3505" s="10" t="str">
        <f>HYPERLINK("https://facebook.com/367089020688300_496331074430760", "367089020688300_496331074430760")</f>
        <v>367089020688300_496331074430760</v>
      </c>
      <c r="E3505" s="11">
        <v>2343.0</v>
      </c>
      <c r="F3505" s="11">
        <v>144.0</v>
      </c>
      <c r="G3505" s="11">
        <v>1354.0</v>
      </c>
      <c r="H3505" s="9" t="s">
        <v>26</v>
      </c>
      <c r="I3505" s="9" t="s">
        <v>14555</v>
      </c>
      <c r="J3505" s="9" t="s">
        <v>14556</v>
      </c>
      <c r="K3505" s="9" t="s">
        <v>14557</v>
      </c>
      <c r="L3505" s="9" t="s">
        <v>30</v>
      </c>
      <c r="M3505" s="9" t="s">
        <v>31</v>
      </c>
      <c r="N3505" s="9" t="s">
        <v>32</v>
      </c>
      <c r="O3505" s="12" t="s">
        <v>33</v>
      </c>
      <c r="P3505" s="12" t="s">
        <v>34</v>
      </c>
      <c r="Q3505" s="9"/>
      <c r="R3505" s="18"/>
      <c r="S3505" s="18"/>
      <c r="T3505" s="18"/>
      <c r="U3505" s="18"/>
      <c r="V3505" s="18"/>
      <c r="W3505" s="15"/>
      <c r="X3505" s="15"/>
    </row>
    <row r="3506">
      <c r="A3506" s="7">
        <v>3505.0</v>
      </c>
      <c r="B3506" s="8" t="s">
        <v>14558</v>
      </c>
      <c r="C3506" s="9" t="s">
        <v>14559</v>
      </c>
      <c r="D3506" s="10" t="str">
        <f>HYPERLINK("https://facebook.com/367089020688300_481764122554122", "367089020688300_481764122554122")</f>
        <v>367089020688300_481764122554122</v>
      </c>
      <c r="E3506" s="11">
        <v>103.0</v>
      </c>
      <c r="F3506" s="11">
        <v>1.0</v>
      </c>
      <c r="G3506" s="11">
        <v>106.0</v>
      </c>
      <c r="H3506" s="9" t="s">
        <v>26</v>
      </c>
      <c r="I3506" s="9" t="s">
        <v>14560</v>
      </c>
      <c r="J3506" s="9" t="s">
        <v>14561</v>
      </c>
      <c r="K3506" s="9" t="s">
        <v>7042</v>
      </c>
      <c r="L3506" s="9" t="s">
        <v>30</v>
      </c>
      <c r="M3506" s="9" t="s">
        <v>31</v>
      </c>
      <c r="N3506" s="9" t="s">
        <v>32</v>
      </c>
      <c r="O3506" s="12" t="s">
        <v>33</v>
      </c>
      <c r="P3506" s="12" t="s">
        <v>34</v>
      </c>
      <c r="Q3506" s="9"/>
      <c r="R3506" s="18"/>
      <c r="S3506" s="18"/>
      <c r="T3506" s="18"/>
      <c r="U3506" s="18"/>
      <c r="V3506" s="18"/>
      <c r="W3506" s="15"/>
      <c r="X3506" s="15"/>
    </row>
    <row r="3507">
      <c r="A3507" s="7">
        <v>3506.0</v>
      </c>
      <c r="B3507" s="8" t="s">
        <v>14562</v>
      </c>
      <c r="C3507" s="9" t="s">
        <v>14563</v>
      </c>
      <c r="D3507" s="10" t="str">
        <f>HYPERLINK("https://facebook.com/367089020688300_460962807967587", "367089020688300_460962807967587")</f>
        <v>367089020688300_460962807967587</v>
      </c>
      <c r="E3507" s="11">
        <v>112.0</v>
      </c>
      <c r="F3507" s="11">
        <v>1.0</v>
      </c>
      <c r="G3507" s="11">
        <v>252.0</v>
      </c>
      <c r="H3507" s="9" t="s">
        <v>26</v>
      </c>
      <c r="I3507" s="9" t="s">
        <v>14564</v>
      </c>
      <c r="J3507" s="9" t="s">
        <v>14565</v>
      </c>
      <c r="K3507" s="9" t="s">
        <v>249</v>
      </c>
      <c r="L3507" s="9" t="s">
        <v>30</v>
      </c>
      <c r="M3507" s="9" t="s">
        <v>31</v>
      </c>
      <c r="N3507" s="9" t="s">
        <v>32</v>
      </c>
      <c r="O3507" s="12" t="s">
        <v>33</v>
      </c>
      <c r="P3507" s="12" t="s">
        <v>34</v>
      </c>
      <c r="Q3507" s="9"/>
      <c r="R3507" s="18"/>
      <c r="S3507" s="18"/>
      <c r="T3507" s="18"/>
      <c r="U3507" s="18"/>
      <c r="V3507" s="18"/>
      <c r="W3507" s="15"/>
      <c r="X3507" s="15"/>
    </row>
    <row r="3508">
      <c r="A3508" s="7">
        <v>3507.0</v>
      </c>
      <c r="B3508" s="8" t="s">
        <v>14566</v>
      </c>
      <c r="C3508" s="9" t="s">
        <v>14567</v>
      </c>
      <c r="D3508" s="10" t="str">
        <f>HYPERLINK("https://facebook.com/367089020688300_509777999752734", "367089020688300_509777999752734")</f>
        <v>367089020688300_509777999752734</v>
      </c>
      <c r="E3508" s="11">
        <v>153.0</v>
      </c>
      <c r="F3508" s="11">
        <v>3.0</v>
      </c>
      <c r="G3508" s="11">
        <v>200.0</v>
      </c>
      <c r="H3508" s="9" t="s">
        <v>26</v>
      </c>
      <c r="I3508" s="9" t="s">
        <v>14568</v>
      </c>
      <c r="J3508" s="9" t="s">
        <v>14569</v>
      </c>
      <c r="K3508" s="9" t="s">
        <v>7836</v>
      </c>
      <c r="L3508" s="9" t="s">
        <v>30</v>
      </c>
      <c r="M3508" s="9" t="s">
        <v>31</v>
      </c>
      <c r="N3508" s="9" t="s">
        <v>32</v>
      </c>
      <c r="O3508" s="12" t="s">
        <v>33</v>
      </c>
      <c r="P3508" s="12" t="s">
        <v>34</v>
      </c>
      <c r="Q3508" s="9"/>
      <c r="R3508" s="18"/>
      <c r="S3508" s="18"/>
      <c r="T3508" s="18"/>
      <c r="U3508" s="18"/>
      <c r="V3508" s="18"/>
      <c r="W3508" s="15"/>
      <c r="X3508" s="15"/>
    </row>
    <row r="3509">
      <c r="A3509" s="7">
        <v>3508.0</v>
      </c>
      <c r="B3509" s="8" t="s">
        <v>14570</v>
      </c>
      <c r="C3509" s="9" t="s">
        <v>14571</v>
      </c>
      <c r="D3509" s="10" t="str">
        <f>HYPERLINK("https://facebook.com/367089020688300_554222581974942", "367089020688300_554222581974942")</f>
        <v>367089020688300_554222581974942</v>
      </c>
      <c r="E3509" s="11">
        <v>128.0</v>
      </c>
      <c r="F3509" s="11">
        <v>1.0</v>
      </c>
      <c r="G3509" s="11">
        <v>40.0</v>
      </c>
      <c r="H3509" s="9" t="s">
        <v>26</v>
      </c>
      <c r="I3509" s="9" t="s">
        <v>10265</v>
      </c>
      <c r="J3509" s="9" t="s">
        <v>10266</v>
      </c>
      <c r="K3509" s="9" t="s">
        <v>14572</v>
      </c>
      <c r="L3509" s="9" t="s">
        <v>30</v>
      </c>
      <c r="M3509" s="9" t="s">
        <v>31</v>
      </c>
      <c r="N3509" s="9" t="s">
        <v>32</v>
      </c>
      <c r="O3509" s="12" t="s">
        <v>33</v>
      </c>
      <c r="P3509" s="12" t="s">
        <v>34</v>
      </c>
      <c r="Q3509" s="9"/>
      <c r="R3509" s="18"/>
      <c r="S3509" s="18"/>
      <c r="T3509" s="18"/>
      <c r="U3509" s="18"/>
      <c r="V3509" s="18"/>
      <c r="W3509" s="15"/>
      <c r="X3509" s="15"/>
    </row>
    <row r="3510">
      <c r="A3510" s="7">
        <v>3509.0</v>
      </c>
      <c r="B3510" s="8" t="s">
        <v>14573</v>
      </c>
      <c r="C3510" s="9" t="s">
        <v>14574</v>
      </c>
      <c r="D3510" s="10" t="str">
        <f>HYPERLINK("https://facebook.com/367089020688300_554336508630216", "367089020688300_554336508630216")</f>
        <v>367089020688300_554336508630216</v>
      </c>
      <c r="E3510" s="11">
        <v>281.0</v>
      </c>
      <c r="F3510" s="11">
        <v>2.0</v>
      </c>
      <c r="G3510" s="11">
        <v>237.0</v>
      </c>
      <c r="H3510" s="9" t="s">
        <v>26</v>
      </c>
      <c r="I3510" s="9" t="s">
        <v>14575</v>
      </c>
      <c r="J3510" s="16" t="s">
        <v>14576</v>
      </c>
      <c r="K3510" s="9"/>
      <c r="L3510" s="9" t="s">
        <v>30</v>
      </c>
      <c r="M3510" s="9" t="s">
        <v>31</v>
      </c>
      <c r="N3510" s="9" t="s">
        <v>32</v>
      </c>
      <c r="O3510" s="12" t="s">
        <v>33</v>
      </c>
      <c r="P3510" s="12" t="s">
        <v>34</v>
      </c>
      <c r="Q3510" s="9"/>
      <c r="R3510" s="18"/>
      <c r="S3510" s="18"/>
      <c r="T3510" s="18"/>
      <c r="U3510" s="18"/>
      <c r="V3510" s="18"/>
      <c r="W3510" s="15"/>
      <c r="X3510" s="15"/>
    </row>
    <row r="3511">
      <c r="A3511" s="7">
        <v>3510.0</v>
      </c>
      <c r="B3511" s="8" t="s">
        <v>14577</v>
      </c>
      <c r="C3511" s="9" t="s">
        <v>14578</v>
      </c>
      <c r="D3511" s="10" t="str">
        <f>HYPERLINK("https://facebook.com/367089020688300_539513680112499", "367089020688300_539513680112499")</f>
        <v>367089020688300_539513680112499</v>
      </c>
      <c r="E3511" s="11">
        <v>562.0</v>
      </c>
      <c r="F3511" s="11">
        <v>9.0</v>
      </c>
      <c r="G3511" s="11">
        <v>107.0</v>
      </c>
      <c r="H3511" s="9" t="s">
        <v>26</v>
      </c>
      <c r="I3511" s="9" t="s">
        <v>14579</v>
      </c>
      <c r="J3511" s="9" t="s">
        <v>14580</v>
      </c>
      <c r="K3511" s="9" t="s">
        <v>249</v>
      </c>
      <c r="L3511" s="9" t="s">
        <v>30</v>
      </c>
      <c r="M3511" s="9" t="s">
        <v>31</v>
      </c>
      <c r="N3511" s="9" t="s">
        <v>32</v>
      </c>
      <c r="O3511" s="12" t="s">
        <v>33</v>
      </c>
      <c r="P3511" s="12" t="s">
        <v>34</v>
      </c>
      <c r="Q3511" s="9"/>
      <c r="R3511" s="18"/>
      <c r="S3511" s="18"/>
      <c r="T3511" s="18"/>
      <c r="U3511" s="18"/>
      <c r="V3511" s="18"/>
      <c r="W3511" s="15"/>
      <c r="X3511" s="15"/>
    </row>
    <row r="3512">
      <c r="A3512" s="7">
        <v>3511.0</v>
      </c>
      <c r="B3512" s="8" t="s">
        <v>14581</v>
      </c>
      <c r="C3512" s="9" t="s">
        <v>14582</v>
      </c>
      <c r="D3512" s="10" t="str">
        <f>HYPERLINK("https://facebook.com/367089020688300_541413116589222", "367089020688300_541413116589222")</f>
        <v>367089020688300_541413116589222</v>
      </c>
      <c r="E3512" s="11">
        <v>151.0</v>
      </c>
      <c r="F3512" s="11">
        <v>0.0</v>
      </c>
      <c r="G3512" s="11">
        <v>95.0</v>
      </c>
      <c r="H3512" s="9" t="s">
        <v>26</v>
      </c>
      <c r="I3512" s="9" t="s">
        <v>14583</v>
      </c>
      <c r="J3512" s="16" t="s">
        <v>14584</v>
      </c>
      <c r="K3512" s="9"/>
      <c r="L3512" s="9" t="s">
        <v>30</v>
      </c>
      <c r="M3512" s="9" t="s">
        <v>31</v>
      </c>
      <c r="N3512" s="9" t="s">
        <v>32</v>
      </c>
      <c r="O3512" s="12" t="s">
        <v>33</v>
      </c>
      <c r="P3512" s="12" t="s">
        <v>34</v>
      </c>
      <c r="Q3512" s="9"/>
      <c r="R3512" s="18"/>
      <c r="S3512" s="18"/>
      <c r="T3512" s="18"/>
      <c r="U3512" s="18"/>
      <c r="V3512" s="18"/>
      <c r="W3512" s="15"/>
      <c r="X3512" s="15"/>
    </row>
    <row r="3513">
      <c r="A3513" s="7">
        <v>3512.0</v>
      </c>
      <c r="B3513" s="8" t="s">
        <v>14585</v>
      </c>
      <c r="C3513" s="9" t="s">
        <v>14586</v>
      </c>
      <c r="D3513" s="10" t="str">
        <f>HYPERLINK("https://facebook.com/367089020688300_541693493227851", "367089020688300_541693493227851")</f>
        <v>367089020688300_541693493227851</v>
      </c>
      <c r="E3513" s="11">
        <v>2.0</v>
      </c>
      <c r="F3513" s="11">
        <v>0.0</v>
      </c>
      <c r="G3513" s="11">
        <v>4.0</v>
      </c>
      <c r="H3513" s="9" t="s">
        <v>26</v>
      </c>
      <c r="I3513" s="9" t="s">
        <v>14587</v>
      </c>
      <c r="J3513" s="16" t="s">
        <v>14588</v>
      </c>
      <c r="K3513" s="9"/>
      <c r="L3513" s="9" t="s">
        <v>30</v>
      </c>
      <c r="M3513" s="9" t="s">
        <v>31</v>
      </c>
      <c r="N3513" s="9" t="s">
        <v>32</v>
      </c>
      <c r="O3513" s="12" t="s">
        <v>33</v>
      </c>
      <c r="P3513" s="12" t="s">
        <v>34</v>
      </c>
      <c r="Q3513" s="9"/>
      <c r="R3513" s="18"/>
      <c r="S3513" s="18"/>
      <c r="T3513" s="18"/>
      <c r="U3513" s="18"/>
      <c r="V3513" s="18"/>
      <c r="W3513" s="15"/>
      <c r="X3513" s="15"/>
    </row>
    <row r="3514">
      <c r="A3514" s="7">
        <v>3513.0</v>
      </c>
      <c r="B3514" s="8" t="s">
        <v>14589</v>
      </c>
      <c r="C3514" s="9" t="s">
        <v>14590</v>
      </c>
      <c r="D3514" s="10" t="str">
        <f>HYPERLINK("https://facebook.com/367089020688300_563084461088754", "367089020688300_563084461088754")</f>
        <v>367089020688300_563084461088754</v>
      </c>
      <c r="E3514" s="11">
        <v>107.0</v>
      </c>
      <c r="F3514" s="11">
        <v>1.0</v>
      </c>
      <c r="G3514" s="11">
        <v>123.0</v>
      </c>
      <c r="H3514" s="9" t="s">
        <v>26</v>
      </c>
      <c r="I3514" s="9" t="s">
        <v>14591</v>
      </c>
      <c r="J3514" s="16" t="s">
        <v>14592</v>
      </c>
      <c r="K3514" s="9"/>
      <c r="L3514" s="9" t="s">
        <v>30</v>
      </c>
      <c r="M3514" s="9" t="s">
        <v>31</v>
      </c>
      <c r="N3514" s="9" t="s">
        <v>32</v>
      </c>
      <c r="O3514" s="12" t="s">
        <v>33</v>
      </c>
      <c r="P3514" s="12" t="s">
        <v>34</v>
      </c>
      <c r="Q3514" s="9"/>
      <c r="R3514" s="18"/>
      <c r="S3514" s="18"/>
      <c r="T3514" s="18"/>
      <c r="U3514" s="18"/>
      <c r="V3514" s="18"/>
      <c r="W3514" s="15"/>
      <c r="X3514" s="15"/>
    </row>
    <row r="3515">
      <c r="A3515" s="7">
        <v>3514.0</v>
      </c>
      <c r="B3515" s="8" t="s">
        <v>14593</v>
      </c>
      <c r="C3515" s="9" t="s">
        <v>14594</v>
      </c>
      <c r="D3515" s="10" t="str">
        <f>HYPERLINK("https://facebook.com/367089020688300_555149825215551", "367089020688300_555149825215551")</f>
        <v>367089020688300_555149825215551</v>
      </c>
      <c r="E3515" s="11">
        <v>4.0</v>
      </c>
      <c r="F3515" s="11">
        <v>0.0</v>
      </c>
      <c r="G3515" s="11">
        <v>1.0</v>
      </c>
      <c r="H3515" s="9" t="s">
        <v>26</v>
      </c>
      <c r="I3515" s="9" t="s">
        <v>14595</v>
      </c>
      <c r="J3515" s="16" t="s">
        <v>14596</v>
      </c>
      <c r="K3515" s="9"/>
      <c r="L3515" s="9" t="s">
        <v>30</v>
      </c>
      <c r="M3515" s="9" t="s">
        <v>31</v>
      </c>
      <c r="N3515" s="9" t="s">
        <v>32</v>
      </c>
      <c r="O3515" s="12" t="s">
        <v>33</v>
      </c>
      <c r="P3515" s="12" t="s">
        <v>34</v>
      </c>
      <c r="Q3515" s="9"/>
      <c r="R3515" s="18"/>
      <c r="S3515" s="18"/>
      <c r="T3515" s="18"/>
      <c r="U3515" s="18"/>
      <c r="V3515" s="18"/>
      <c r="W3515" s="15"/>
      <c r="X3515" s="15"/>
    </row>
    <row r="3516">
      <c r="A3516" s="7">
        <v>3515.0</v>
      </c>
      <c r="B3516" s="8" t="s">
        <v>14597</v>
      </c>
      <c r="C3516" s="9" t="s">
        <v>14598</v>
      </c>
      <c r="D3516" s="10" t="str">
        <f>HYPERLINK("https://facebook.com/367089020688300_559346791462521", "367089020688300_559346791462521")</f>
        <v>367089020688300_559346791462521</v>
      </c>
      <c r="E3516" s="11">
        <v>87.0</v>
      </c>
      <c r="F3516" s="11">
        <v>0.0</v>
      </c>
      <c r="G3516" s="11">
        <v>14.0</v>
      </c>
      <c r="H3516" s="9" t="s">
        <v>26</v>
      </c>
      <c r="I3516" s="9" t="s">
        <v>14599</v>
      </c>
      <c r="J3516" s="16" t="s">
        <v>14600</v>
      </c>
      <c r="K3516" s="9"/>
      <c r="L3516" s="9" t="s">
        <v>30</v>
      </c>
      <c r="M3516" s="9" t="s">
        <v>31</v>
      </c>
      <c r="N3516" s="9" t="s">
        <v>32</v>
      </c>
      <c r="O3516" s="12" t="s">
        <v>33</v>
      </c>
      <c r="P3516" s="12" t="s">
        <v>34</v>
      </c>
      <c r="Q3516" s="9"/>
      <c r="R3516" s="18"/>
      <c r="S3516" s="18"/>
      <c r="T3516" s="18"/>
      <c r="U3516" s="18"/>
      <c r="V3516" s="18"/>
      <c r="W3516" s="15"/>
      <c r="X3516" s="15"/>
    </row>
    <row r="3517">
      <c r="A3517" s="7">
        <v>3516.0</v>
      </c>
      <c r="B3517" s="8" t="s">
        <v>14601</v>
      </c>
      <c r="C3517" s="9" t="s">
        <v>14602</v>
      </c>
      <c r="D3517" s="10" t="str">
        <f>HYPERLINK("https://facebook.com/367089020688300_555359341861266", "367089020688300_555359341861266")</f>
        <v>367089020688300_555359341861266</v>
      </c>
      <c r="E3517" s="11">
        <v>16.0</v>
      </c>
      <c r="F3517" s="11">
        <v>0.0</v>
      </c>
      <c r="G3517" s="11">
        <v>23.0</v>
      </c>
      <c r="H3517" s="9" t="s">
        <v>26</v>
      </c>
      <c r="I3517" s="9" t="s">
        <v>14603</v>
      </c>
      <c r="J3517" s="16" t="s">
        <v>14604</v>
      </c>
      <c r="K3517" s="9"/>
      <c r="L3517" s="9" t="s">
        <v>30</v>
      </c>
      <c r="M3517" s="9" t="s">
        <v>31</v>
      </c>
      <c r="N3517" s="9" t="s">
        <v>32</v>
      </c>
      <c r="O3517" s="12" t="s">
        <v>33</v>
      </c>
      <c r="P3517" s="12" t="s">
        <v>34</v>
      </c>
      <c r="Q3517" s="9"/>
      <c r="R3517" s="18"/>
      <c r="S3517" s="18"/>
      <c r="T3517" s="18"/>
      <c r="U3517" s="18"/>
      <c r="V3517" s="18"/>
      <c r="W3517" s="15"/>
      <c r="X3517" s="15"/>
    </row>
    <row r="3518">
      <c r="A3518" s="7">
        <v>3517.0</v>
      </c>
      <c r="B3518" s="8" t="s">
        <v>14605</v>
      </c>
      <c r="C3518" s="9" t="s">
        <v>14606</v>
      </c>
      <c r="D3518" s="10" t="str">
        <f>HYPERLINK("https://facebook.com/367089020688300_557622964968237", "367089020688300_557622964968237")</f>
        <v>367089020688300_557622964968237</v>
      </c>
      <c r="E3518" s="11">
        <v>102.0</v>
      </c>
      <c r="F3518" s="11">
        <v>1.0</v>
      </c>
      <c r="G3518" s="11">
        <v>90.0</v>
      </c>
      <c r="H3518" s="9" t="s">
        <v>26</v>
      </c>
      <c r="I3518" s="9" t="s">
        <v>6755</v>
      </c>
      <c r="J3518" s="9" t="s">
        <v>14607</v>
      </c>
      <c r="K3518" s="9" t="s">
        <v>14608</v>
      </c>
      <c r="L3518" s="9" t="s">
        <v>30</v>
      </c>
      <c r="M3518" s="9" t="s">
        <v>31</v>
      </c>
      <c r="N3518" s="9" t="s">
        <v>32</v>
      </c>
      <c r="O3518" s="12" t="s">
        <v>33</v>
      </c>
      <c r="P3518" s="12" t="s">
        <v>34</v>
      </c>
      <c r="Q3518" s="9"/>
      <c r="R3518" s="18"/>
      <c r="S3518" s="18"/>
      <c r="T3518" s="18"/>
      <c r="U3518" s="18"/>
      <c r="V3518" s="18"/>
      <c r="W3518" s="15"/>
      <c r="X3518" s="15"/>
    </row>
    <row r="3519">
      <c r="A3519" s="7">
        <v>3518.0</v>
      </c>
      <c r="B3519" s="8" t="s">
        <v>14609</v>
      </c>
      <c r="C3519" s="9" t="s">
        <v>14610</v>
      </c>
      <c r="D3519" s="10" t="str">
        <f>HYPERLINK("https://facebook.com/367089020688300_551345008929366", "367089020688300_551345008929366")</f>
        <v>367089020688300_551345008929366</v>
      </c>
      <c r="E3519" s="11">
        <v>34.0</v>
      </c>
      <c r="F3519" s="11">
        <v>0.0</v>
      </c>
      <c r="G3519" s="11">
        <v>53.0</v>
      </c>
      <c r="H3519" s="9" t="s">
        <v>26</v>
      </c>
      <c r="I3519" s="9" t="s">
        <v>14611</v>
      </c>
      <c r="J3519" s="16" t="s">
        <v>14612</v>
      </c>
      <c r="K3519" s="9"/>
      <c r="L3519" s="9" t="s">
        <v>30</v>
      </c>
      <c r="M3519" s="9" t="s">
        <v>31</v>
      </c>
      <c r="N3519" s="9" t="s">
        <v>32</v>
      </c>
      <c r="O3519" s="12" t="s">
        <v>33</v>
      </c>
      <c r="P3519" s="12" t="s">
        <v>34</v>
      </c>
      <c r="Q3519" s="9"/>
      <c r="R3519" s="18"/>
      <c r="S3519" s="18"/>
      <c r="T3519" s="18"/>
      <c r="U3519" s="18"/>
      <c r="V3519" s="18"/>
      <c r="W3519" s="15"/>
      <c r="X3519" s="15"/>
    </row>
    <row r="3520">
      <c r="A3520" s="7">
        <v>3519.0</v>
      </c>
      <c r="B3520" s="8" t="s">
        <v>14613</v>
      </c>
      <c r="C3520" s="9" t="s">
        <v>14614</v>
      </c>
      <c r="D3520" s="10" t="str">
        <f>HYPERLINK("https://facebook.com/367089020688300_561261974604336", "367089020688300_561261974604336")</f>
        <v>367089020688300_561261974604336</v>
      </c>
      <c r="E3520" s="11">
        <v>106.0</v>
      </c>
      <c r="F3520" s="11">
        <v>0.0</v>
      </c>
      <c r="G3520" s="11">
        <v>61.0</v>
      </c>
      <c r="H3520" s="9" t="s">
        <v>26</v>
      </c>
      <c r="I3520" s="9" t="s">
        <v>14615</v>
      </c>
      <c r="J3520" s="16" t="s">
        <v>14616</v>
      </c>
      <c r="K3520" s="9"/>
      <c r="L3520" s="9" t="s">
        <v>30</v>
      </c>
      <c r="M3520" s="9" t="s">
        <v>31</v>
      </c>
      <c r="N3520" s="9" t="s">
        <v>32</v>
      </c>
      <c r="O3520" s="12" t="s">
        <v>33</v>
      </c>
      <c r="P3520" s="12" t="s">
        <v>34</v>
      </c>
      <c r="Q3520" s="9"/>
      <c r="R3520" s="18"/>
      <c r="S3520" s="18"/>
      <c r="T3520" s="18"/>
      <c r="U3520" s="18"/>
      <c r="V3520" s="18"/>
      <c r="W3520" s="15"/>
      <c r="X3520" s="15"/>
    </row>
    <row r="3521">
      <c r="A3521" s="7">
        <v>3520.0</v>
      </c>
      <c r="B3521" s="8" t="s">
        <v>14617</v>
      </c>
      <c r="C3521" s="9" t="s">
        <v>14618</v>
      </c>
      <c r="D3521" s="10" t="str">
        <f>HYPERLINK("https://facebook.com/367089020688300_536749987055535", "367089020688300_536749987055535")</f>
        <v>367089020688300_536749987055535</v>
      </c>
      <c r="E3521" s="11">
        <v>13.0</v>
      </c>
      <c r="F3521" s="11">
        <v>0.0</v>
      </c>
      <c r="G3521" s="11">
        <v>15.0</v>
      </c>
      <c r="H3521" s="9" t="s">
        <v>26</v>
      </c>
      <c r="I3521" s="9" t="s">
        <v>6301</v>
      </c>
      <c r="J3521" s="9" t="s">
        <v>14619</v>
      </c>
      <c r="K3521" s="9" t="s">
        <v>14620</v>
      </c>
      <c r="L3521" s="9" t="s">
        <v>30</v>
      </c>
      <c r="M3521" s="9" t="s">
        <v>31</v>
      </c>
      <c r="N3521" s="9" t="s">
        <v>32</v>
      </c>
      <c r="O3521" s="12" t="s">
        <v>33</v>
      </c>
      <c r="P3521" s="12" t="s">
        <v>34</v>
      </c>
      <c r="Q3521" s="9"/>
      <c r="R3521" s="18"/>
      <c r="S3521" s="18"/>
      <c r="T3521" s="18"/>
      <c r="U3521" s="18"/>
      <c r="V3521" s="18"/>
      <c r="W3521" s="15"/>
      <c r="X3521" s="15"/>
    </row>
    <row r="3522">
      <c r="A3522" s="7">
        <v>3521.0</v>
      </c>
      <c r="B3522" s="8" t="s">
        <v>14621</v>
      </c>
      <c r="C3522" s="9" t="s">
        <v>14622</v>
      </c>
      <c r="D3522" s="10" t="str">
        <f>HYPERLINK("https://facebook.com/367089020688300_468525633877971", "367089020688300_468525633877971")</f>
        <v>367089020688300_468525633877971</v>
      </c>
      <c r="E3522" s="11">
        <v>314.0</v>
      </c>
      <c r="F3522" s="11">
        <v>7.0</v>
      </c>
      <c r="G3522" s="11">
        <v>397.0</v>
      </c>
      <c r="H3522" s="9" t="s">
        <v>26</v>
      </c>
      <c r="I3522" s="9" t="s">
        <v>14623</v>
      </c>
      <c r="J3522" s="9" t="s">
        <v>14624</v>
      </c>
      <c r="K3522" s="9" t="s">
        <v>14625</v>
      </c>
      <c r="L3522" s="9" t="s">
        <v>30</v>
      </c>
      <c r="M3522" s="9" t="s">
        <v>31</v>
      </c>
      <c r="N3522" s="9" t="s">
        <v>32</v>
      </c>
      <c r="O3522" s="12" t="s">
        <v>33</v>
      </c>
      <c r="P3522" s="12" t="s">
        <v>34</v>
      </c>
      <c r="Q3522" s="9"/>
      <c r="R3522" s="18"/>
      <c r="S3522" s="18"/>
      <c r="T3522" s="18"/>
      <c r="U3522" s="18"/>
      <c r="V3522" s="18"/>
      <c r="W3522" s="15"/>
      <c r="X3522" s="15"/>
    </row>
    <row r="3523">
      <c r="A3523" s="7">
        <v>3522.0</v>
      </c>
      <c r="B3523" s="8" t="s">
        <v>14626</v>
      </c>
      <c r="C3523" s="9" t="s">
        <v>14627</v>
      </c>
      <c r="D3523" s="10" t="str">
        <f>HYPERLINK("https://facebook.com/367089020688300_485820338815167", "367089020688300_485820338815167")</f>
        <v>367089020688300_485820338815167</v>
      </c>
      <c r="E3523" s="11">
        <v>302.0</v>
      </c>
      <c r="F3523" s="11">
        <v>16.0</v>
      </c>
      <c r="G3523" s="11">
        <v>245.0</v>
      </c>
      <c r="H3523" s="9" t="s">
        <v>26</v>
      </c>
      <c r="I3523" s="9" t="s">
        <v>8033</v>
      </c>
      <c r="J3523" s="9" t="s">
        <v>8034</v>
      </c>
      <c r="K3523" s="9" t="s">
        <v>14628</v>
      </c>
      <c r="L3523" s="9" t="s">
        <v>30</v>
      </c>
      <c r="M3523" s="9" t="s">
        <v>31</v>
      </c>
      <c r="N3523" s="9" t="s">
        <v>32</v>
      </c>
      <c r="O3523" s="12" t="s">
        <v>33</v>
      </c>
      <c r="P3523" s="12" t="s">
        <v>34</v>
      </c>
      <c r="Q3523" s="9"/>
      <c r="R3523" s="18"/>
      <c r="S3523" s="18"/>
      <c r="T3523" s="18"/>
      <c r="U3523" s="18"/>
      <c r="V3523" s="18"/>
      <c r="W3523" s="15"/>
      <c r="X3523" s="15"/>
    </row>
  </sheetData>
  <drawing r:id="rId1"/>
</worksheet>
</file>