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ARK\Documents\MMW\Wine\Pearmund Cellars\Wine Movement and Blending\"/>
    </mc:Choice>
  </mc:AlternateContent>
  <xr:revisionPtr revIDLastSave="0" documentId="13_ncr:1_{BEAF19C1-17AB-4EDD-8781-8192ADC7A798}" xr6:coauthVersionLast="47" xr6:coauthVersionMax="47" xr10:uidLastSave="{00000000-0000-0000-0000-000000000000}"/>
  <bookViews>
    <workbookView xWindow="-108" yWindow="-108" windowWidth="23256" windowHeight="12576" tabRatio="1000" activeTab="1" xr2:uid="{00000000-000D-0000-FFFF-FFFF00000000}"/>
  </bookViews>
  <sheets>
    <sheet name="2021 Target Blends - White Wine" sheetId="15" r:id="rId1"/>
    <sheet name="2021 Target Blends - PC" sheetId="11" r:id="rId2"/>
    <sheet name="2021 Target Blends -EFF" sheetId="16" r:id="rId3"/>
    <sheet name="2021 Target Blends - VH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4" i="16" l="1"/>
  <c r="T24" i="16"/>
  <c r="T18" i="16"/>
  <c r="U18" i="16" s="1"/>
  <c r="Y31" i="11"/>
  <c r="N40" i="11"/>
  <c r="B40" i="11"/>
  <c r="C20" i="16" l="1"/>
  <c r="U33" i="11" l="1"/>
  <c r="U11" i="11"/>
  <c r="V11" i="11" s="1"/>
  <c r="U25" i="11"/>
  <c r="V25" i="11" s="1"/>
  <c r="P53" i="16" l="1"/>
  <c r="Q53" i="16" s="1"/>
  <c r="G53" i="16"/>
  <c r="G52" i="16"/>
  <c r="O28" i="16"/>
  <c r="R20" i="16"/>
  <c r="R22" i="16" s="1"/>
  <c r="Q20" i="16"/>
  <c r="Q22" i="16" s="1"/>
  <c r="P20" i="16"/>
  <c r="O20" i="16"/>
  <c r="O22" i="16" s="1"/>
  <c r="O26" i="16" s="1"/>
  <c r="N20" i="16"/>
  <c r="K20" i="16"/>
  <c r="J20" i="16"/>
  <c r="I20" i="16"/>
  <c r="H20" i="16"/>
  <c r="T15" i="16"/>
  <c r="U15" i="16" s="1"/>
  <c r="T14" i="16"/>
  <c r="U14" i="16" s="1"/>
  <c r="T13" i="16"/>
  <c r="U13" i="16" s="1"/>
  <c r="T12" i="16"/>
  <c r="U12" i="16" s="1"/>
  <c r="T11" i="16"/>
  <c r="U11" i="16" s="1"/>
  <c r="T10" i="16"/>
  <c r="U10" i="16" s="1"/>
  <c r="T9" i="16"/>
  <c r="U9" i="16" s="1"/>
  <c r="T8" i="16"/>
  <c r="U8" i="16" s="1"/>
  <c r="W28" i="6"/>
  <c r="V28" i="6"/>
  <c r="I46" i="16" l="1"/>
  <c r="I44" i="16"/>
  <c r="I42" i="16"/>
  <c r="I45" i="16"/>
  <c r="I43" i="16"/>
  <c r="I41" i="16"/>
  <c r="K46" i="16"/>
  <c r="K45" i="16"/>
  <c r="K43" i="16"/>
  <c r="K41" i="16"/>
  <c r="K42" i="16"/>
  <c r="K44" i="16"/>
  <c r="P43" i="16"/>
  <c r="P45" i="16"/>
  <c r="P42" i="16"/>
  <c r="P44" i="16"/>
  <c r="P46" i="16"/>
  <c r="P41" i="16"/>
  <c r="J46" i="16"/>
  <c r="J43" i="16"/>
  <c r="J41" i="16"/>
  <c r="J44" i="16"/>
  <c r="J45" i="16"/>
  <c r="J42" i="16"/>
  <c r="H46" i="16"/>
  <c r="H45" i="16"/>
  <c r="H41" i="16"/>
  <c r="N22" i="16"/>
  <c r="N26" i="16" s="1"/>
  <c r="N46" i="16"/>
  <c r="H42" i="16"/>
  <c r="H44" i="16"/>
  <c r="H43" i="16"/>
  <c r="P22" i="16"/>
  <c r="P26" i="16" s="1"/>
  <c r="T20" i="16"/>
  <c r="U20" i="16"/>
  <c r="K22" i="16"/>
  <c r="K26" i="16" s="1"/>
  <c r="I22" i="16"/>
  <c r="I26" i="16" s="1"/>
  <c r="J22" i="16"/>
  <c r="J26" i="16" s="1"/>
  <c r="H22" i="16"/>
  <c r="Y28" i="6"/>
  <c r="Y30" i="6" s="1"/>
  <c r="U28" i="6"/>
  <c r="H26" i="16" l="1"/>
  <c r="T22" i="16"/>
  <c r="W22" i="16" s="1"/>
  <c r="P48" i="16"/>
  <c r="J48" i="16"/>
  <c r="I48" i="16"/>
  <c r="K48" i="16"/>
  <c r="H48" i="16"/>
  <c r="L28" i="6"/>
  <c r="M13" i="6"/>
  <c r="M12" i="6"/>
  <c r="AN21" i="6"/>
  <c r="AO21" i="6" s="1"/>
  <c r="T19" i="6"/>
  <c r="T28" i="6" l="1"/>
  <c r="S28" i="6"/>
  <c r="R28" i="6"/>
  <c r="C28" i="6"/>
  <c r="N28" i="6" l="1"/>
  <c r="G28" i="6"/>
  <c r="AN26" i="6"/>
  <c r="AO26" i="6" s="1"/>
  <c r="AN25" i="6"/>
  <c r="AO25" i="6" s="1"/>
  <c r="AN23" i="6"/>
  <c r="AO23" i="6" s="1"/>
  <c r="AN22" i="6"/>
  <c r="AO22" i="6" s="1"/>
  <c r="AN20" i="6"/>
  <c r="AO20" i="6" s="1"/>
  <c r="AN19" i="6"/>
  <c r="AO19" i="6" s="1"/>
  <c r="AN18" i="6"/>
  <c r="AO18" i="6" s="1"/>
  <c r="AN17" i="6"/>
  <c r="AO17" i="6" s="1"/>
  <c r="AN16" i="6"/>
  <c r="AO16" i="6" s="1"/>
  <c r="AN15" i="6"/>
  <c r="AO15" i="6" s="1"/>
  <c r="AN14" i="6"/>
  <c r="AO14" i="6" s="1"/>
  <c r="AN13" i="6"/>
  <c r="AO13" i="6" s="1"/>
  <c r="AN12" i="6"/>
  <c r="AO12" i="6" s="1"/>
  <c r="AN11" i="6"/>
  <c r="AO11" i="6" s="1"/>
  <c r="AN10" i="6"/>
  <c r="AO10" i="6" s="1"/>
  <c r="AN9" i="6"/>
  <c r="AO9" i="6" s="1"/>
  <c r="Q28" i="6" l="1"/>
  <c r="E28" i="6"/>
  <c r="AE8" i="11" l="1"/>
  <c r="Z44" i="11" l="1"/>
  <c r="Y44" i="11"/>
  <c r="Z42" i="11"/>
  <c r="AA44" i="11"/>
  <c r="K70" i="11" l="1"/>
  <c r="L65" i="11" s="1"/>
  <c r="N65" i="11" s="1"/>
  <c r="L60" i="11" l="1"/>
  <c r="N60" i="11" s="1"/>
  <c r="L62" i="11"/>
  <c r="N62" i="11" s="1"/>
  <c r="L66" i="11"/>
  <c r="N66" i="11" s="1"/>
  <c r="L67" i="11"/>
  <c r="N67" i="11" s="1"/>
  <c r="L64" i="11"/>
  <c r="N64" i="11" s="1"/>
  <c r="L68" i="11"/>
  <c r="N68" i="11" s="1"/>
  <c r="L59" i="11"/>
  <c r="N59" i="11" s="1"/>
  <c r="AN8" i="6"/>
  <c r="AO8" i="6" s="1"/>
  <c r="X28" i="6"/>
  <c r="X30" i="6" s="1"/>
  <c r="R56" i="15" l="1"/>
  <c r="R55" i="15"/>
  <c r="R54" i="15"/>
  <c r="S55" i="15" s="1"/>
  <c r="AL28" i="6"/>
  <c r="AK28" i="6"/>
  <c r="AK30" i="6" s="1"/>
  <c r="AJ28" i="6"/>
  <c r="AI28" i="6"/>
  <c r="AH28" i="6"/>
  <c r="AG28" i="6"/>
  <c r="AE28" i="6"/>
  <c r="AD28" i="6"/>
  <c r="AC28" i="6"/>
  <c r="AB28" i="6"/>
  <c r="AA28" i="6"/>
  <c r="P28" i="6"/>
  <c r="O28" i="6"/>
  <c r="U32" i="6" s="1"/>
  <c r="K28" i="6"/>
  <c r="J28" i="6"/>
  <c r="I28" i="6"/>
  <c r="H28" i="6"/>
  <c r="F28" i="6"/>
  <c r="R57" i="15" l="1"/>
  <c r="D29" i="15" l="1"/>
  <c r="S47" i="15"/>
  <c r="S48" i="15" s="1"/>
  <c r="K57" i="15"/>
  <c r="K59" i="15"/>
  <c r="K58" i="15"/>
  <c r="K56" i="15"/>
  <c r="K55" i="15"/>
  <c r="K61" i="15" l="1"/>
  <c r="F44" i="15"/>
  <c r="M47" i="15" l="1"/>
  <c r="M46" i="15"/>
  <c r="M45" i="15"/>
  <c r="O46" i="15" s="1"/>
  <c r="L48" i="15"/>
  <c r="M48" i="15" s="1"/>
  <c r="Q32" i="15" l="1"/>
  <c r="Q34" i="15" s="1"/>
  <c r="Q38" i="15" s="1"/>
  <c r="C32" i="15"/>
  <c r="V29" i="15" l="1"/>
  <c r="W29" i="15" s="1"/>
  <c r="V28" i="15"/>
  <c r="W28" i="15" s="1"/>
  <c r="V27" i="15"/>
  <c r="W27" i="15" s="1"/>
  <c r="AJ30" i="6"/>
  <c r="C29" i="11"/>
  <c r="V23" i="15"/>
  <c r="W23" i="15" s="1"/>
  <c r="V24" i="15"/>
  <c r="W24" i="15" s="1"/>
  <c r="V25" i="15"/>
  <c r="W25" i="15" s="1"/>
  <c r="T32" i="15"/>
  <c r="S32" i="15"/>
  <c r="R32" i="15"/>
  <c r="R34" i="15" s="1"/>
  <c r="R38" i="15" s="1"/>
  <c r="P32" i="15"/>
  <c r="P34" i="15" s="1"/>
  <c r="P38" i="15" s="1"/>
  <c r="O32" i="15"/>
  <c r="M32" i="15"/>
  <c r="M34" i="15" s="1"/>
  <c r="L32" i="15"/>
  <c r="L34" i="15" s="1"/>
  <c r="K32" i="15"/>
  <c r="J32" i="15"/>
  <c r="H32" i="15"/>
  <c r="G32" i="15"/>
  <c r="F32" i="15"/>
  <c r="V26" i="15"/>
  <c r="W26" i="15" s="1"/>
  <c r="V22" i="15"/>
  <c r="W22" i="15" s="1"/>
  <c r="V21" i="15"/>
  <c r="W21" i="15" s="1"/>
  <c r="V20" i="15"/>
  <c r="W20" i="15" s="1"/>
  <c r="V19" i="15"/>
  <c r="W19" i="15" s="1"/>
  <c r="V14" i="15"/>
  <c r="W14" i="15" s="1"/>
  <c r="V13" i="15"/>
  <c r="W13" i="15" s="1"/>
  <c r="V12" i="15"/>
  <c r="W12" i="15" s="1"/>
  <c r="V9" i="15"/>
  <c r="W9" i="15" s="1"/>
  <c r="V8" i="15"/>
  <c r="W8" i="15" s="1"/>
  <c r="G58" i="15" l="1"/>
  <c r="G57" i="15"/>
  <c r="H34" i="15"/>
  <c r="H38" i="15" s="1"/>
  <c r="S34" i="15"/>
  <c r="S38" i="15" s="1"/>
  <c r="K34" i="15"/>
  <c r="K38" i="15" s="1"/>
  <c r="T34" i="15"/>
  <c r="T38" i="15" s="1"/>
  <c r="G34" i="15"/>
  <c r="G38" i="15" s="1"/>
  <c r="O34" i="15"/>
  <c r="O38" i="15" s="1"/>
  <c r="J34" i="15"/>
  <c r="J38" i="15" s="1"/>
  <c r="F34" i="15"/>
  <c r="F38" i="15" s="1"/>
  <c r="L38" i="15"/>
  <c r="M38" i="15"/>
  <c r="W32" i="15"/>
  <c r="V32" i="15"/>
  <c r="V34" i="15"/>
  <c r="V38" i="15" l="1"/>
  <c r="U21" i="11"/>
  <c r="V21" i="11" s="1"/>
  <c r="U19" i="11"/>
  <c r="V19" i="11" s="1"/>
  <c r="U18" i="11"/>
  <c r="V18" i="11" s="1"/>
  <c r="U17" i="11"/>
  <c r="V17" i="11" s="1"/>
  <c r="U16" i="11"/>
  <c r="V16" i="11" s="1"/>
  <c r="U20" i="11"/>
  <c r="V20" i="11" s="1"/>
  <c r="L29" i="11" l="1"/>
  <c r="S29" i="11"/>
  <c r="S31" i="11" s="1"/>
  <c r="R29" i="11"/>
  <c r="R31" i="11" s="1"/>
  <c r="Q29" i="11"/>
  <c r="Q31" i="11" s="1"/>
  <c r="Q35" i="11" s="1"/>
  <c r="P29" i="11"/>
  <c r="P31" i="11" s="1"/>
  <c r="P35" i="11" s="1"/>
  <c r="O29" i="11"/>
  <c r="O47" i="11" s="1"/>
  <c r="N29" i="11"/>
  <c r="K29" i="11"/>
  <c r="J29" i="11"/>
  <c r="I29" i="11"/>
  <c r="I31" i="11" s="1"/>
  <c r="I35" i="11" s="1"/>
  <c r="H29" i="11"/>
  <c r="U15" i="11"/>
  <c r="V15" i="11" s="1"/>
  <c r="U14" i="11"/>
  <c r="V14" i="11" s="1"/>
  <c r="U13" i="11"/>
  <c r="V13" i="11" s="1"/>
  <c r="U12" i="11"/>
  <c r="U10" i="11"/>
  <c r="V10" i="11" s="1"/>
  <c r="U9" i="11"/>
  <c r="V9" i="11" s="1"/>
  <c r="L47" i="11" l="1"/>
  <c r="L31" i="11"/>
  <c r="H31" i="11"/>
  <c r="H35" i="11" s="1"/>
  <c r="J47" i="11"/>
  <c r="J31" i="11"/>
  <c r="N31" i="11"/>
  <c r="N35" i="11" s="1"/>
  <c r="N45" i="11"/>
  <c r="N43" i="11"/>
  <c r="N44" i="11"/>
  <c r="N47" i="11"/>
  <c r="N46" i="11"/>
  <c r="K46" i="11"/>
  <c r="K47" i="11"/>
  <c r="J45" i="11"/>
  <c r="J44" i="11"/>
  <c r="J43" i="11"/>
  <c r="J46" i="11"/>
  <c r="L44" i="11"/>
  <c r="L43" i="11"/>
  <c r="L45" i="11"/>
  <c r="L46" i="11"/>
  <c r="O31" i="11"/>
  <c r="O35" i="11" s="1"/>
  <c r="O44" i="11"/>
  <c r="O43" i="11"/>
  <c r="O46" i="11"/>
  <c r="O45" i="11"/>
  <c r="J35" i="11"/>
  <c r="K45" i="11"/>
  <c r="K44" i="11"/>
  <c r="K43" i="11"/>
  <c r="V12" i="11"/>
  <c r="V29" i="11" s="1"/>
  <c r="L35" i="11"/>
  <c r="K31" i="11"/>
  <c r="U29" i="11"/>
  <c r="K35" i="11" l="1"/>
  <c r="U31" i="11"/>
  <c r="U57" i="11" s="1"/>
  <c r="O50" i="11"/>
  <c r="L50" i="11"/>
  <c r="K50" i="11"/>
  <c r="AN28" i="6" l="1"/>
  <c r="AG30" i="6"/>
  <c r="AL30" i="6"/>
  <c r="AI30" i="6"/>
  <c r="AH30" i="6"/>
  <c r="AE30" i="6"/>
  <c r="AD30" i="6"/>
  <c r="AC30" i="6"/>
  <c r="AB30" i="6"/>
  <c r="AA30" i="6" l="1"/>
  <c r="AL32" i="6" s="1"/>
  <c r="AN30" i="6"/>
  <c r="AO28" i="6"/>
</calcChain>
</file>

<file path=xl/sharedStrings.xml><?xml version="1.0" encoding="utf-8"?>
<sst xmlns="http://schemas.openxmlformats.org/spreadsheetml/2006/main" count="696" uniqueCount="167">
  <si>
    <t xml:space="preserve"> </t>
  </si>
  <si>
    <t>Cab Sauv</t>
  </si>
  <si>
    <t>Vint Hill</t>
  </si>
  <si>
    <t>Barrels</t>
  </si>
  <si>
    <t>Merlot</t>
  </si>
  <si>
    <t>Total Allocated</t>
  </si>
  <si>
    <t>Remaining</t>
  </si>
  <si>
    <t>Syrah</t>
  </si>
  <si>
    <t>PV</t>
  </si>
  <si>
    <t>CF</t>
  </si>
  <si>
    <t>Engima</t>
  </si>
  <si>
    <t>GSM</t>
  </si>
  <si>
    <t>Tannat</t>
  </si>
  <si>
    <t>Cox</t>
  </si>
  <si>
    <t>Rose</t>
  </si>
  <si>
    <t>Blend</t>
  </si>
  <si>
    <t>Pinot Noir</t>
  </si>
  <si>
    <t>Kane</t>
  </si>
  <si>
    <t>DBR</t>
  </si>
  <si>
    <t xml:space="preserve">  </t>
  </si>
  <si>
    <t>Zin</t>
  </si>
  <si>
    <t>Total VH Cases</t>
  </si>
  <si>
    <t>Total Vintner Cases</t>
  </si>
  <si>
    <t>PC</t>
  </si>
  <si>
    <t>Ameritage</t>
  </si>
  <si>
    <t>AMR</t>
  </si>
  <si>
    <t>B Ops</t>
  </si>
  <si>
    <t>Cab Franc - TW</t>
  </si>
  <si>
    <t>Cab Franc - SC</t>
  </si>
  <si>
    <t>Cab Franc - L1</t>
  </si>
  <si>
    <t>Merlot - SC</t>
  </si>
  <si>
    <t>Merlot - RS</t>
  </si>
  <si>
    <t>Merlot - Sh</t>
  </si>
  <si>
    <t>Cab Sauv - L1</t>
  </si>
  <si>
    <t>Cab Sauv - L3</t>
  </si>
  <si>
    <t>Case Possible</t>
  </si>
  <si>
    <t>Cases Desired</t>
  </si>
  <si>
    <t>Meritage</t>
  </si>
  <si>
    <t>KR</t>
  </si>
  <si>
    <t>EFF</t>
  </si>
  <si>
    <t>Cab Sauv - L4</t>
  </si>
  <si>
    <t>CS</t>
  </si>
  <si>
    <t>Optional Wines in exceptional years</t>
  </si>
  <si>
    <t>Total Gallons</t>
  </si>
  <si>
    <t>VH</t>
  </si>
  <si>
    <t>PV - Trump</t>
  </si>
  <si>
    <t>Wine Club</t>
  </si>
  <si>
    <t>Effingham</t>
  </si>
  <si>
    <t>Viognier</t>
  </si>
  <si>
    <t>PM</t>
  </si>
  <si>
    <t>Celebration</t>
  </si>
  <si>
    <t>Misty</t>
  </si>
  <si>
    <t>Sauv Blanc</t>
  </si>
  <si>
    <t>Gallons</t>
  </si>
  <si>
    <t>Rose - Cham/Merlot</t>
  </si>
  <si>
    <t>Cases Possible</t>
  </si>
  <si>
    <t>PM - SR</t>
  </si>
  <si>
    <t>Riesling</t>
  </si>
  <si>
    <t>Vidal/Tram</t>
  </si>
  <si>
    <t xml:space="preserve">Vidal </t>
  </si>
  <si>
    <t>Muscat</t>
  </si>
  <si>
    <t>Over/(Under)</t>
  </si>
  <si>
    <t>Vintner PM</t>
  </si>
  <si>
    <t>MER</t>
  </si>
  <si>
    <t>MAL</t>
  </si>
  <si>
    <t xml:space="preserve">     Total</t>
  </si>
  <si>
    <t>Sunshine</t>
  </si>
  <si>
    <t>a</t>
  </si>
  <si>
    <t>CFR</t>
  </si>
  <si>
    <t>SB</t>
  </si>
  <si>
    <t>Riseling</t>
  </si>
  <si>
    <t>Cham/Merlot</t>
  </si>
  <si>
    <t>Effingham Rose</t>
  </si>
  <si>
    <t>Effingham Celebration</t>
  </si>
  <si>
    <t>Vidal</t>
  </si>
  <si>
    <t>Traminette</t>
  </si>
  <si>
    <t>Sauvingnon Blanc</t>
  </si>
  <si>
    <t>Cases</t>
  </si>
  <si>
    <t>L</t>
  </si>
  <si>
    <t>Case Targets</t>
  </si>
  <si>
    <t>Bags</t>
  </si>
  <si>
    <t>Use for Ameritage</t>
  </si>
  <si>
    <t>PVR</t>
  </si>
  <si>
    <t>Tank 1</t>
  </si>
  <si>
    <t>Pinot</t>
  </si>
  <si>
    <t>Liters</t>
  </si>
  <si>
    <t>Note:  9/14/2021</t>
  </si>
  <si>
    <t>Revised AMR to increase case count by 4 barrels.  Reduced Black Ops by 2 barrels and PVR by 2 Barrels</t>
  </si>
  <si>
    <t>Durif</t>
  </si>
  <si>
    <t>Syrah - Lot 3</t>
  </si>
  <si>
    <t>Syrah - Lot 3/11</t>
  </si>
  <si>
    <t>Mourvedre</t>
  </si>
  <si>
    <t>Case Desired</t>
  </si>
  <si>
    <t xml:space="preserve">Suav Blanc </t>
  </si>
  <si>
    <t>Rose - Mourvedre</t>
  </si>
  <si>
    <t>Grenache</t>
  </si>
  <si>
    <t>Cab Franc</t>
  </si>
  <si>
    <t>Cab Franc - Lot 31 - 5R</t>
  </si>
  <si>
    <t>Merlot - RS - Lot 19</t>
  </si>
  <si>
    <t>Merlot - SC - Lot 32</t>
  </si>
  <si>
    <t>Cab Sauv - SC - Lot 43</t>
  </si>
  <si>
    <t>Cab Sauv - Diego - Lot 12</t>
  </si>
  <si>
    <t>PV - 2P</t>
  </si>
  <si>
    <t>Touriga - Lot 8</t>
  </si>
  <si>
    <t>Touriga</t>
  </si>
  <si>
    <t>Cab Sauv - Lot 12</t>
  </si>
  <si>
    <t>Zinfandel - Lot 2</t>
  </si>
  <si>
    <t>Gyster</t>
  </si>
  <si>
    <t>Syrah/Durif</t>
  </si>
  <si>
    <t>Syrah/
Durif</t>
  </si>
  <si>
    <t/>
  </si>
  <si>
    <t>Kowis/
Waton</t>
  </si>
  <si>
    <t>Stone/
Voss</t>
  </si>
  <si>
    <t>Red Blend - SC</t>
  </si>
  <si>
    <t>Lee/
Crozet</t>
  </si>
  <si>
    <t>Dinicola</t>
  </si>
  <si>
    <t>Howie</t>
  </si>
  <si>
    <t>Cab Franc - Lot 22 CH</t>
  </si>
  <si>
    <t>Cab Franc - Lot 35 GH</t>
  </si>
  <si>
    <t>Merlot - Lot 32 - SC</t>
  </si>
  <si>
    <t>Merlot - Lot 19 -RS</t>
  </si>
  <si>
    <t>BDX Blend</t>
  </si>
  <si>
    <t>Crosset/
Jones</t>
  </si>
  <si>
    <t>Kyle</t>
  </si>
  <si>
    <t>Price</t>
  </si>
  <si>
    <t>Cab Sauv -Lot 39/43</t>
  </si>
  <si>
    <t>Petit Verdot - Lot 24 - GH</t>
  </si>
  <si>
    <t>Petit Verdot - Lot  34 - SC</t>
  </si>
  <si>
    <t xml:space="preserve">Petit Verdot - Lot 37 - QC </t>
  </si>
  <si>
    <t>MMW</t>
  </si>
  <si>
    <t>Consider PS,Mourvedre and Syrah</t>
  </si>
  <si>
    <t>Runnings</t>
  </si>
  <si>
    <t>Cleaveland</t>
  </si>
  <si>
    <t>S &amp; M</t>
  </si>
  <si>
    <t>Half</t>
  </si>
  <si>
    <t>Full</t>
  </si>
  <si>
    <t>Norman</t>
  </si>
  <si>
    <t>CF - VH</t>
  </si>
  <si>
    <t>Unallocated is part of Howie Barrel and will get blended at bottling time</t>
  </si>
  <si>
    <t>Unallocated is part of DiNicola Barrel and will get blended at bottling time</t>
  </si>
  <si>
    <t>Brett</t>
  </si>
  <si>
    <t>Merlot - Lot 19 - RS</t>
  </si>
  <si>
    <t>Merlot - Lot 32 SC</t>
  </si>
  <si>
    <t>Cab Franc  - Lot 33 - SC</t>
  </si>
  <si>
    <t>Cab Franc - Lot 36 - SC</t>
  </si>
  <si>
    <t>Cab Franc - Lot 38 - Diego</t>
  </si>
  <si>
    <t>Cabernet Sauvignon - Lot 12 - Diego</t>
  </si>
  <si>
    <t>Cabernet Sauvignon - Lot 43 - Diego</t>
  </si>
  <si>
    <t>Malbec - Lot 29 - Diego</t>
  </si>
  <si>
    <t>Tinta Amarella - Lot 5</t>
  </si>
  <si>
    <t>Petit Verdot - Lot 18 - 2 P</t>
  </si>
  <si>
    <t>Petit Verdot - Lot 34 - SC</t>
  </si>
  <si>
    <t>Petit Verdot - Lot 37 - QC</t>
  </si>
  <si>
    <t>Avialable</t>
  </si>
  <si>
    <t>Tank 6</t>
  </si>
  <si>
    <t>Tote - 330</t>
  </si>
  <si>
    <t>Tank 2</t>
  </si>
  <si>
    <t>RO Loss</t>
  </si>
  <si>
    <t>Tank 3</t>
  </si>
  <si>
    <t>Tank 5</t>
  </si>
  <si>
    <t>Could be used at EFF and we sell off other tank</t>
  </si>
  <si>
    <t xml:space="preserve">No allocation.  Loss during RO and concentration </t>
  </si>
  <si>
    <t>Petit Verdot - Lot 37 - QC - VH</t>
  </si>
  <si>
    <t>Tank 4</t>
  </si>
  <si>
    <t>Reserve</t>
  </si>
  <si>
    <t>Sangria</t>
  </si>
  <si>
    <t xml:space="preserve">Note:  Assume 1 barrel loss through rack and returns and 1 barrel needed for topping.  Assume those will come out of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</si>
</sst>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5" borderId="0" applyNumberFormat="0" applyBorder="0" applyAlignment="0" applyProtection="0"/>
    <xf numFmtId="9" fontId="1" fillId="0" borderId="0" applyFont="0" applyFill="0" applyBorder="0" applyAlignment="0" applyProtection="0"/>
  </cellStyleXfs>
  <cellXfs count="58">
    <xf numFmtId="0" fontId="0" fillId="0" borderId="0" xfId="0"/>
    <xf numFmtId="0" fontId="2" fillId="3" borderId="0" xfId="0" applyFont="1" applyFill="1" applyProtection="1">
      <protection locked="0"/>
    </xf>
    <xf numFmtId="0" fontId="2" fillId="3" borderId="1" xfId="0" applyFont="1" applyFill="1" applyBorder="1" applyProtection="1">
      <protection locked="0"/>
    </xf>
    <xf numFmtId="0" fontId="2" fillId="3" borderId="0" xfId="0" applyFont="1" applyFill="1" applyAlignment="1" applyProtection="1">
      <alignment horizontal="center"/>
      <protection locked="0"/>
    </xf>
    <xf numFmtId="164" fontId="0" fillId="0" borderId="0" xfId="0" applyNumberFormat="1"/>
    <xf numFmtId="0" fontId="0" fillId="5" borderId="0" xfId="1" applyFont="1" applyBorder="1" applyAlignment="1" applyProtection="1">
      <alignment horizontal="center" wrapText="1"/>
      <protection locked="0"/>
    </xf>
    <xf numFmtId="16" fontId="2" fillId="2" borderId="2" xfId="0" applyNumberFormat="1" applyFont="1" applyFill="1" applyBorder="1" applyAlignment="1">
      <alignment horizontal="center" vertical="center"/>
    </xf>
    <xf numFmtId="0" fontId="1" fillId="5" borderId="4" xfId="1" applyBorder="1" applyProtection="1">
      <protection locked="0"/>
    </xf>
    <xf numFmtId="0" fontId="2" fillId="4" borderId="6" xfId="0" applyFont="1" applyFill="1" applyBorder="1" applyAlignment="1" applyProtection="1">
      <alignment horizontal="center" vertical="center"/>
      <protection locked="0"/>
    </xf>
    <xf numFmtId="0" fontId="2" fillId="3" borderId="7" xfId="0" applyFont="1" applyFill="1" applyBorder="1" applyProtection="1">
      <protection locked="0"/>
    </xf>
    <xf numFmtId="0" fontId="2" fillId="3" borderId="4" xfId="0" applyFont="1" applyFill="1" applyBorder="1" applyProtection="1">
      <protection locked="0"/>
    </xf>
    <xf numFmtId="0" fontId="2" fillId="3" borderId="3" xfId="0" applyFont="1" applyFill="1" applyBorder="1" applyProtection="1">
      <protection locked="0"/>
    </xf>
    <xf numFmtId="0" fontId="2" fillId="3" borderId="5" xfId="0" applyFont="1" applyFill="1" applyBorder="1" applyProtection="1">
      <protection locked="0"/>
    </xf>
    <xf numFmtId="0" fontId="2" fillId="3" borderId="1" xfId="0" applyFont="1" applyFill="1" applyBorder="1" applyAlignment="1" applyProtection="1">
      <alignment horizontal="center" wrapText="1"/>
      <protection locked="0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1" xfId="0" applyBorder="1"/>
    <xf numFmtId="0" fontId="2" fillId="0" borderId="11" xfId="0" applyFont="1" applyBorder="1" applyAlignment="1">
      <alignment horizontal="center"/>
    </xf>
    <xf numFmtId="0" fontId="2" fillId="3" borderId="12" xfId="0" applyFont="1" applyFill="1" applyBorder="1" applyProtection="1">
      <protection locked="0"/>
    </xf>
    <xf numFmtId="0" fontId="2" fillId="3" borderId="13" xfId="0" applyFont="1" applyFill="1" applyBorder="1" applyProtection="1">
      <protection locked="0"/>
    </xf>
    <xf numFmtId="0" fontId="0" fillId="0" borderId="5" xfId="0" applyBorder="1"/>
    <xf numFmtId="0" fontId="0" fillId="5" borderId="0" xfId="1" applyFont="1" applyBorder="1" applyProtection="1">
      <protection locked="0"/>
    </xf>
    <xf numFmtId="0" fontId="2" fillId="3" borderId="1" xfId="0" applyFont="1" applyFill="1" applyBorder="1" applyAlignment="1" applyProtection="1">
      <alignment horizontal="center"/>
      <protection locked="0"/>
    </xf>
    <xf numFmtId="0" fontId="2" fillId="3" borderId="13" xfId="0" applyFont="1" applyFill="1" applyBorder="1" applyAlignment="1" applyProtection="1">
      <alignment horizontal="center"/>
      <protection locked="0"/>
    </xf>
    <xf numFmtId="0" fontId="2" fillId="3" borderId="5" xfId="0" applyFont="1" applyFill="1" applyBorder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/>
    <xf numFmtId="9" fontId="0" fillId="0" borderId="0" xfId="2" applyFont="1"/>
    <xf numFmtId="9" fontId="0" fillId="0" borderId="0" xfId="0" applyNumberFormat="1"/>
    <xf numFmtId="0" fontId="2" fillId="3" borderId="7" xfId="0" applyFont="1" applyFill="1" applyBorder="1" applyAlignment="1" applyProtection="1">
      <alignment horizontal="center"/>
      <protection locked="0"/>
    </xf>
    <xf numFmtId="0" fontId="0" fillId="6" borderId="11" xfId="0" applyFill="1" applyBorder="1"/>
    <xf numFmtId="0" fontId="0" fillId="8" borderId="0" xfId="0" applyFill="1"/>
    <xf numFmtId="0" fontId="2" fillId="0" borderId="11" xfId="0" applyFont="1" applyBorder="1" applyAlignment="1">
      <alignment horizontal="center" wrapText="1"/>
    </xf>
    <xf numFmtId="0" fontId="2" fillId="8" borderId="8" xfId="0" applyFont="1" applyFill="1" applyBorder="1" applyAlignment="1">
      <alignment horizontal="center"/>
    </xf>
    <xf numFmtId="0" fontId="2" fillId="8" borderId="9" xfId="0" applyFont="1" applyFill="1" applyBorder="1" applyAlignment="1">
      <alignment horizontal="center"/>
    </xf>
    <xf numFmtId="165" fontId="0" fillId="0" borderId="0" xfId="2" applyNumberFormat="1" applyFont="1"/>
    <xf numFmtId="165" fontId="0" fillId="0" borderId="0" xfId="0" applyNumberFormat="1"/>
    <xf numFmtId="0" fontId="0" fillId="7" borderId="11" xfId="0" applyFill="1" applyBorder="1"/>
    <xf numFmtId="0" fontId="2" fillId="4" borderId="6" xfId="0" applyFont="1" applyFill="1" applyBorder="1" applyAlignment="1" applyProtection="1">
      <alignment horizontal="center" vertical="center" wrapText="1"/>
      <protection locked="0"/>
    </xf>
    <xf numFmtId="0" fontId="0" fillId="0" borderId="0" xfId="0" quotePrefix="1"/>
    <xf numFmtId="0" fontId="2" fillId="4" borderId="14" xfId="0" applyFont="1" applyFill="1" applyBorder="1" applyAlignment="1" applyProtection="1">
      <alignment horizontal="center" vertical="center"/>
      <protection locked="0"/>
    </xf>
    <xf numFmtId="0" fontId="0" fillId="9" borderId="11" xfId="0" applyFill="1" applyBorder="1"/>
    <xf numFmtId="16" fontId="2" fillId="3" borderId="7" xfId="0" applyNumberFormat="1" applyFont="1" applyFill="1" applyBorder="1" applyAlignment="1" applyProtection="1">
      <alignment horizontal="center"/>
      <protection locked="0"/>
    </xf>
    <xf numFmtId="0" fontId="0" fillId="8" borderId="11" xfId="0" applyFill="1" applyBorder="1"/>
    <xf numFmtId="0" fontId="0" fillId="10" borderId="11" xfId="0" applyFill="1" applyBorder="1"/>
    <xf numFmtId="0" fontId="0" fillId="10" borderId="5" xfId="0" applyFill="1" applyBorder="1"/>
    <xf numFmtId="0" fontId="3" fillId="8" borderId="11" xfId="0" applyFont="1" applyFill="1" applyBorder="1"/>
    <xf numFmtId="0" fontId="3" fillId="0" borderId="11" xfId="0" applyFont="1" applyBorder="1"/>
    <xf numFmtId="0" fontId="2" fillId="6" borderId="6" xfId="0" applyFont="1" applyFill="1" applyBorder="1" applyAlignment="1" applyProtection="1">
      <alignment horizontal="center" vertical="center"/>
      <protection locked="0"/>
    </xf>
    <xf numFmtId="0" fontId="2" fillId="6" borderId="7" xfId="0" applyFont="1" applyFill="1" applyBorder="1" applyProtection="1">
      <protection locked="0"/>
    </xf>
    <xf numFmtId="0" fontId="2" fillId="6" borderId="1" xfId="0" applyFont="1" applyFill="1" applyBorder="1" applyAlignment="1" applyProtection="1">
      <alignment horizontal="center" wrapText="1"/>
      <protection locked="0"/>
    </xf>
    <xf numFmtId="0" fontId="2" fillId="6" borderId="1" xfId="0" applyFont="1" applyFill="1" applyBorder="1" applyAlignment="1" applyProtection="1">
      <alignment horizontal="center"/>
      <protection locked="0"/>
    </xf>
    <xf numFmtId="0" fontId="0" fillId="6" borderId="0" xfId="0" applyFill="1"/>
  </cellXfs>
  <cellStyles count="3">
    <cellStyle name="20% - Accent1" xfId="1" builtinId="30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5C4A3"/>
      <color rgb="FFA3EF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DF512-6158-4F4A-9CC6-F58EA3DEFE59}">
  <sheetPr>
    <pageSetUpPr fitToPage="1"/>
  </sheetPr>
  <dimension ref="A1:W61"/>
  <sheetViews>
    <sheetView zoomScale="109" zoomScaleNormal="158" workbookViewId="0">
      <selection activeCell="E24" sqref="E24"/>
    </sheetView>
  </sheetViews>
  <sheetFormatPr defaultRowHeight="14.4" x14ac:dyDescent="0.3"/>
  <cols>
    <col min="2" max="2" width="18.21875" customWidth="1"/>
    <col min="3" max="3" width="5.21875" customWidth="1"/>
    <col min="4" max="4" width="9.33203125" customWidth="1"/>
    <col min="5" max="5" width="4.33203125" customWidth="1"/>
    <col min="6" max="8" width="9" bestFit="1" customWidth="1"/>
    <col min="9" max="9" width="6.21875" customWidth="1"/>
    <col min="10" max="10" width="10.77734375" customWidth="1"/>
    <col min="11" max="11" width="11.33203125" customWidth="1"/>
    <col min="12" max="12" width="14.88671875" customWidth="1"/>
    <col min="13" max="13" width="11.33203125" customWidth="1"/>
    <col min="14" max="14" width="3.5546875" customWidth="1"/>
    <col min="15" max="15" width="9.5546875" bestFit="1" customWidth="1"/>
    <col min="16" max="16" width="9" bestFit="1" customWidth="1"/>
    <col min="17" max="17" width="11.6640625" customWidth="1"/>
    <col min="18" max="20" width="9" bestFit="1" customWidth="1"/>
    <col min="21" max="21" width="2.88671875" customWidth="1"/>
    <col min="22" max="22" width="13.21875" customWidth="1"/>
    <col min="23" max="23" width="10.5546875" customWidth="1"/>
  </cols>
  <sheetData>
    <row r="1" spans="1:23" x14ac:dyDescent="0.3">
      <c r="F1" s="20" t="s">
        <v>23</v>
      </c>
      <c r="G1" s="20" t="s">
        <v>0</v>
      </c>
      <c r="H1" s="20" t="s">
        <v>0</v>
      </c>
      <c r="I1" s="18"/>
      <c r="J1" s="14" t="s">
        <v>47</v>
      </c>
      <c r="K1" s="15"/>
      <c r="L1" s="15"/>
      <c r="M1" s="15"/>
      <c r="N1" s="16"/>
      <c r="O1" s="14" t="s">
        <v>44</v>
      </c>
      <c r="P1" s="17"/>
      <c r="Q1" s="28"/>
    </row>
    <row r="2" spans="1:23" ht="15" thickBot="1" x14ac:dyDescent="0.35">
      <c r="G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R2" t="s">
        <v>0</v>
      </c>
    </row>
    <row r="3" spans="1:23" x14ac:dyDescent="0.3">
      <c r="F3" s="8" t="s">
        <v>49</v>
      </c>
      <c r="G3" s="8" t="s">
        <v>48</v>
      </c>
      <c r="H3" s="8" t="s">
        <v>15</v>
      </c>
      <c r="I3" s="8" t="s">
        <v>0</v>
      </c>
      <c r="J3" s="8" t="s">
        <v>14</v>
      </c>
      <c r="K3" s="8" t="s">
        <v>48</v>
      </c>
      <c r="L3" s="8" t="s">
        <v>50</v>
      </c>
      <c r="M3" s="8" t="s">
        <v>49</v>
      </c>
      <c r="N3" s="8" t="s">
        <v>0</v>
      </c>
      <c r="O3" s="8" t="s">
        <v>14</v>
      </c>
      <c r="P3" s="8" t="s">
        <v>49</v>
      </c>
      <c r="Q3" s="8" t="s">
        <v>62</v>
      </c>
      <c r="R3" s="8" t="s">
        <v>51</v>
      </c>
      <c r="S3" s="8" t="s">
        <v>52</v>
      </c>
      <c r="T3" s="8" t="s">
        <v>48</v>
      </c>
    </row>
    <row r="4" spans="1:23" x14ac:dyDescent="0.3">
      <c r="F4" s="9"/>
      <c r="G4" s="9"/>
      <c r="H4" s="9"/>
      <c r="I4" s="9"/>
      <c r="J4" s="10"/>
      <c r="K4" s="10"/>
      <c r="L4" s="10"/>
      <c r="M4" s="10"/>
      <c r="N4" s="9"/>
      <c r="O4" s="9"/>
      <c r="P4" s="9"/>
      <c r="Q4" s="9"/>
      <c r="R4" s="9"/>
      <c r="S4" s="9"/>
      <c r="T4" s="21"/>
    </row>
    <row r="5" spans="1:23" x14ac:dyDescent="0.3">
      <c r="F5" s="2"/>
      <c r="G5" s="2"/>
      <c r="H5" s="2"/>
      <c r="I5" s="2"/>
      <c r="J5" s="1"/>
      <c r="K5" s="1"/>
      <c r="L5" s="1"/>
      <c r="M5" s="1"/>
      <c r="N5" s="2"/>
      <c r="O5" s="13" t="s">
        <v>0</v>
      </c>
      <c r="P5" s="2"/>
      <c r="Q5" s="2"/>
      <c r="R5" s="2"/>
      <c r="S5" s="2"/>
      <c r="T5" s="22"/>
    </row>
    <row r="6" spans="1:23" x14ac:dyDescent="0.3">
      <c r="D6" s="28" t="s">
        <v>53</v>
      </c>
      <c r="F6" s="25"/>
      <c r="G6" s="25"/>
      <c r="H6" s="25"/>
      <c r="I6" s="25"/>
      <c r="J6" s="3" t="s">
        <v>0</v>
      </c>
      <c r="K6" s="3" t="s">
        <v>0</v>
      </c>
      <c r="L6" s="1" t="s">
        <v>0</v>
      </c>
      <c r="M6" s="1" t="s">
        <v>0</v>
      </c>
      <c r="N6" s="25" t="s">
        <v>0</v>
      </c>
      <c r="O6" s="25" t="s">
        <v>0</v>
      </c>
      <c r="P6" s="25" t="s">
        <v>0</v>
      </c>
      <c r="Q6" s="25"/>
      <c r="R6" s="25" t="s">
        <v>0</v>
      </c>
      <c r="S6" s="25" t="s">
        <v>0</v>
      </c>
      <c r="T6" s="26"/>
      <c r="V6" s="3" t="s">
        <v>5</v>
      </c>
      <c r="W6" s="3" t="s">
        <v>6</v>
      </c>
    </row>
    <row r="7" spans="1:23" x14ac:dyDescent="0.3">
      <c r="A7" s="19"/>
      <c r="B7" s="19"/>
      <c r="C7" s="19" t="s">
        <v>0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 t="s">
        <v>0</v>
      </c>
      <c r="W7" s="19"/>
    </row>
    <row r="8" spans="1:23" x14ac:dyDescent="0.3">
      <c r="A8" s="19">
        <v>2021</v>
      </c>
      <c r="B8" s="19" t="s">
        <v>93</v>
      </c>
      <c r="C8" s="19"/>
      <c r="D8" s="19">
        <v>275</v>
      </c>
      <c r="E8" s="19"/>
      <c r="F8" s="19" t="s">
        <v>0</v>
      </c>
      <c r="G8" s="19" t="s">
        <v>0</v>
      </c>
      <c r="H8" s="19"/>
      <c r="I8" s="19"/>
      <c r="J8" s="19" t="s">
        <v>0</v>
      </c>
      <c r="K8" s="19" t="s">
        <v>0</v>
      </c>
      <c r="L8" s="19"/>
      <c r="M8" s="19"/>
      <c r="N8" s="19"/>
      <c r="O8" s="19"/>
      <c r="P8" s="19"/>
      <c r="Q8" s="19"/>
      <c r="R8" s="19"/>
      <c r="S8" s="19">
        <v>275</v>
      </c>
      <c r="T8" s="19"/>
      <c r="U8" s="19"/>
      <c r="V8" s="19">
        <f t="shared" ref="V8:V29" si="0">SUM(F8:T8)</f>
        <v>275</v>
      </c>
      <c r="W8" s="19">
        <f t="shared" ref="W8:W29" si="1">D8-V8</f>
        <v>0</v>
      </c>
    </row>
    <row r="9" spans="1:23" x14ac:dyDescent="0.3">
      <c r="A9" s="19">
        <v>2021</v>
      </c>
      <c r="B9" s="19" t="s">
        <v>93</v>
      </c>
      <c r="C9" s="19"/>
      <c r="D9" s="19">
        <v>275</v>
      </c>
      <c r="E9" s="19"/>
      <c r="F9" s="19" t="s">
        <v>0</v>
      </c>
      <c r="G9" s="19" t="s">
        <v>0</v>
      </c>
      <c r="H9" s="19"/>
      <c r="I9" s="19"/>
      <c r="J9" s="19" t="s">
        <v>0</v>
      </c>
      <c r="K9" s="19" t="s">
        <v>0</v>
      </c>
      <c r="L9" s="19" t="s">
        <v>0</v>
      </c>
      <c r="M9" s="19" t="s">
        <v>0</v>
      </c>
      <c r="N9" s="19"/>
      <c r="O9" s="19" t="s">
        <v>0</v>
      </c>
      <c r="P9" s="19"/>
      <c r="Q9" s="19"/>
      <c r="R9" s="19" t="s">
        <v>0</v>
      </c>
      <c r="S9" s="19">
        <v>55</v>
      </c>
      <c r="T9" s="19"/>
      <c r="U9" s="19"/>
      <c r="V9" s="19">
        <f t="shared" si="0"/>
        <v>55</v>
      </c>
      <c r="W9" s="19">
        <f t="shared" si="1"/>
        <v>220</v>
      </c>
    </row>
    <row r="10" spans="1:23" x14ac:dyDescent="0.3">
      <c r="A10" s="19">
        <v>2021</v>
      </c>
      <c r="B10" s="19" t="s">
        <v>93</v>
      </c>
      <c r="C10" s="19"/>
      <c r="D10" s="19">
        <v>275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</row>
    <row r="11" spans="1:23" x14ac:dyDescent="0.3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</row>
    <row r="12" spans="1:23" x14ac:dyDescent="0.3">
      <c r="A12" s="19">
        <v>2021</v>
      </c>
      <c r="B12" s="19" t="s">
        <v>56</v>
      </c>
      <c r="C12" s="19"/>
      <c r="D12" s="19">
        <v>330</v>
      </c>
      <c r="E12" s="19"/>
      <c r="F12" s="19" t="s">
        <v>0</v>
      </c>
      <c r="G12" s="19" t="s">
        <v>0</v>
      </c>
      <c r="H12" s="19"/>
      <c r="I12" s="19"/>
      <c r="J12" s="19" t="s">
        <v>0</v>
      </c>
      <c r="K12" s="19" t="s">
        <v>0</v>
      </c>
      <c r="L12" s="19" t="s">
        <v>0</v>
      </c>
      <c r="M12" s="19">
        <v>275</v>
      </c>
      <c r="N12" s="19"/>
      <c r="O12" s="19"/>
      <c r="P12" s="19"/>
      <c r="Q12" s="19"/>
      <c r="R12" s="19"/>
      <c r="S12" s="19"/>
      <c r="T12" s="19"/>
      <c r="U12" s="19"/>
      <c r="V12" s="19">
        <f t="shared" si="0"/>
        <v>275</v>
      </c>
      <c r="W12" s="19">
        <f t="shared" si="1"/>
        <v>55</v>
      </c>
    </row>
    <row r="13" spans="1:23" x14ac:dyDescent="0.3">
      <c r="A13" s="19">
        <v>2021</v>
      </c>
      <c r="B13" s="19" t="s">
        <v>56</v>
      </c>
      <c r="C13" s="19"/>
      <c r="D13" s="19">
        <v>330</v>
      </c>
      <c r="E13" s="19"/>
      <c r="F13" s="19" t="s">
        <v>0</v>
      </c>
      <c r="G13" s="19" t="s">
        <v>0</v>
      </c>
      <c r="H13" s="19"/>
      <c r="I13" s="19"/>
      <c r="J13" s="19"/>
      <c r="K13" s="19"/>
      <c r="L13" s="19" t="s">
        <v>0</v>
      </c>
      <c r="M13" s="19"/>
      <c r="N13" s="19"/>
      <c r="O13" s="19"/>
      <c r="P13" s="19"/>
      <c r="Q13" s="19"/>
      <c r="R13" s="19"/>
      <c r="S13" s="19"/>
      <c r="T13" s="19"/>
      <c r="U13" s="19"/>
      <c r="V13" s="19">
        <f t="shared" si="0"/>
        <v>0</v>
      </c>
      <c r="W13" s="19">
        <f t="shared" si="1"/>
        <v>330</v>
      </c>
    </row>
    <row r="14" spans="1:23" x14ac:dyDescent="0.3">
      <c r="A14" s="19">
        <v>2021</v>
      </c>
      <c r="B14" s="19" t="s">
        <v>56</v>
      </c>
      <c r="C14" s="19"/>
      <c r="D14" s="19">
        <v>330</v>
      </c>
      <c r="E14" s="19"/>
      <c r="F14" s="19" t="s">
        <v>0</v>
      </c>
      <c r="G14" s="19"/>
      <c r="H14" s="19"/>
      <c r="I14" s="19"/>
      <c r="J14" s="19"/>
      <c r="K14" s="19"/>
      <c r="L14" s="19"/>
      <c r="M14" s="19"/>
      <c r="N14" s="19"/>
      <c r="O14" s="19" t="s">
        <v>0</v>
      </c>
      <c r="P14" s="19" t="s">
        <v>0</v>
      </c>
      <c r="Q14" s="19"/>
      <c r="R14" s="19"/>
      <c r="S14" s="19"/>
      <c r="T14" s="19"/>
      <c r="U14" s="19"/>
      <c r="V14" s="19">
        <f t="shared" si="0"/>
        <v>0</v>
      </c>
      <c r="W14" s="19">
        <f t="shared" si="1"/>
        <v>330</v>
      </c>
    </row>
    <row r="15" spans="1:23" x14ac:dyDescent="0.3">
      <c r="A15" s="19">
        <v>2021</v>
      </c>
      <c r="B15" s="19" t="s">
        <v>56</v>
      </c>
      <c r="C15" s="19"/>
      <c r="D15" s="19">
        <v>275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</row>
    <row r="16" spans="1:23" x14ac:dyDescent="0.3">
      <c r="A16" s="19">
        <v>2021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</row>
    <row r="17" spans="1:23" x14ac:dyDescent="0.3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</row>
    <row r="18" spans="1:23" x14ac:dyDescent="0.3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</row>
    <row r="19" spans="1:23" x14ac:dyDescent="0.3">
      <c r="A19" s="19">
        <v>2020</v>
      </c>
      <c r="B19" s="19" t="s">
        <v>56</v>
      </c>
      <c r="C19" s="19"/>
      <c r="D19" s="19">
        <v>330</v>
      </c>
      <c r="E19" s="19"/>
      <c r="F19" s="19">
        <v>150</v>
      </c>
      <c r="G19" s="19"/>
      <c r="H19" s="19" t="s">
        <v>0</v>
      </c>
      <c r="I19" s="19"/>
      <c r="J19" s="19"/>
      <c r="K19" s="19"/>
      <c r="L19" s="19" t="s">
        <v>0</v>
      </c>
      <c r="M19" s="19"/>
      <c r="N19" s="19"/>
      <c r="O19" s="19" t="s">
        <v>0</v>
      </c>
      <c r="P19" s="19">
        <v>120</v>
      </c>
      <c r="Q19" s="19">
        <v>60</v>
      </c>
      <c r="R19" s="19"/>
      <c r="S19" s="19"/>
      <c r="T19" s="19"/>
      <c r="U19" s="19"/>
      <c r="V19" s="19">
        <f t="shared" si="0"/>
        <v>330</v>
      </c>
      <c r="W19" s="19">
        <f t="shared" si="1"/>
        <v>0</v>
      </c>
    </row>
    <row r="20" spans="1:23" x14ac:dyDescent="0.3">
      <c r="A20" s="19">
        <v>2020</v>
      </c>
      <c r="B20" s="19" t="s">
        <v>57</v>
      </c>
      <c r="C20" s="19"/>
      <c r="D20" s="19">
        <v>275</v>
      </c>
      <c r="E20" s="19"/>
      <c r="F20" s="19"/>
      <c r="G20" s="19"/>
      <c r="H20" s="19" t="s">
        <v>0</v>
      </c>
      <c r="I20" s="19"/>
      <c r="J20" s="19">
        <v>275</v>
      </c>
      <c r="K20" s="19"/>
      <c r="L20" s="19" t="s">
        <v>0</v>
      </c>
      <c r="M20" s="19"/>
      <c r="N20" s="19"/>
      <c r="O20" s="19" t="s">
        <v>0</v>
      </c>
      <c r="P20" s="19" t="s">
        <v>0</v>
      </c>
      <c r="Q20" s="19"/>
      <c r="R20" s="19"/>
      <c r="S20" s="19"/>
      <c r="T20" s="19"/>
      <c r="U20" s="19"/>
      <c r="V20" s="19">
        <f t="shared" si="0"/>
        <v>275</v>
      </c>
      <c r="W20" s="19">
        <f t="shared" si="1"/>
        <v>0</v>
      </c>
    </row>
    <row r="21" spans="1:23" x14ac:dyDescent="0.3">
      <c r="A21" s="19">
        <v>2020</v>
      </c>
      <c r="B21" s="19" t="s">
        <v>58</v>
      </c>
      <c r="C21" s="19"/>
      <c r="D21" s="19">
        <v>330</v>
      </c>
      <c r="E21" s="19"/>
      <c r="F21" s="19"/>
      <c r="G21" s="19"/>
      <c r="H21" s="19" t="s">
        <v>0</v>
      </c>
      <c r="I21" s="19"/>
      <c r="J21" s="19"/>
      <c r="K21" s="19"/>
      <c r="L21" s="19">
        <v>275</v>
      </c>
      <c r="M21" s="19" t="s">
        <v>0</v>
      </c>
      <c r="N21" s="19"/>
      <c r="O21" s="19"/>
      <c r="P21" s="19" t="s">
        <v>0</v>
      </c>
      <c r="Q21" s="19"/>
      <c r="R21" s="19"/>
      <c r="S21" s="19"/>
      <c r="T21" s="19"/>
      <c r="U21" s="19"/>
      <c r="V21" s="19">
        <f t="shared" si="0"/>
        <v>275</v>
      </c>
      <c r="W21" s="19">
        <f t="shared" si="1"/>
        <v>55</v>
      </c>
    </row>
    <row r="22" spans="1:23" x14ac:dyDescent="0.3">
      <c r="A22" s="19">
        <v>2020</v>
      </c>
      <c r="B22" s="19" t="s">
        <v>58</v>
      </c>
      <c r="C22" s="19"/>
      <c r="D22" s="19">
        <v>330</v>
      </c>
      <c r="E22" s="19"/>
      <c r="F22" s="19" t="s">
        <v>0</v>
      </c>
      <c r="G22" s="19" t="s">
        <v>0</v>
      </c>
      <c r="H22" s="19"/>
      <c r="I22" s="19"/>
      <c r="J22" s="19"/>
      <c r="K22" s="19"/>
      <c r="L22" s="19">
        <v>275</v>
      </c>
      <c r="M22" s="19" t="s">
        <v>0</v>
      </c>
      <c r="N22" s="19"/>
      <c r="O22" s="19"/>
      <c r="P22" s="19" t="s">
        <v>0</v>
      </c>
      <c r="Q22" s="19"/>
      <c r="R22" s="19" t="s">
        <v>0</v>
      </c>
      <c r="S22" s="19"/>
      <c r="T22" s="19"/>
      <c r="U22" s="19"/>
      <c r="V22" s="19">
        <f t="shared" si="0"/>
        <v>275</v>
      </c>
      <c r="W22" s="19">
        <f t="shared" si="1"/>
        <v>55</v>
      </c>
    </row>
    <row r="23" spans="1:23" x14ac:dyDescent="0.3">
      <c r="A23" s="19">
        <v>2020</v>
      </c>
      <c r="B23" s="19" t="s">
        <v>59</v>
      </c>
      <c r="C23" s="19"/>
      <c r="D23" s="19">
        <v>275</v>
      </c>
      <c r="E23" s="19"/>
      <c r="F23" s="19"/>
      <c r="G23" s="19"/>
      <c r="H23" s="19"/>
      <c r="I23" s="19"/>
      <c r="J23" s="19">
        <v>0</v>
      </c>
      <c r="K23" s="19"/>
      <c r="L23" s="19">
        <v>275</v>
      </c>
      <c r="M23" s="19"/>
      <c r="N23" s="19"/>
      <c r="O23" s="19"/>
      <c r="P23" s="19"/>
      <c r="Q23" s="19"/>
      <c r="R23" s="19"/>
      <c r="S23" s="19"/>
      <c r="T23" s="19"/>
      <c r="U23" s="19"/>
      <c r="V23" s="19">
        <f t="shared" si="0"/>
        <v>275</v>
      </c>
      <c r="W23" s="19">
        <f t="shared" si="1"/>
        <v>0</v>
      </c>
    </row>
    <row r="24" spans="1:23" x14ac:dyDescent="0.3">
      <c r="A24" s="19">
        <v>2020</v>
      </c>
      <c r="B24" s="19" t="s">
        <v>0</v>
      </c>
      <c r="C24" s="19"/>
      <c r="D24" s="19">
        <v>275</v>
      </c>
      <c r="E24" s="19"/>
      <c r="F24" s="19"/>
      <c r="G24" s="19"/>
      <c r="H24" s="19"/>
      <c r="I24" s="19"/>
      <c r="J24" s="19">
        <v>130</v>
      </c>
      <c r="K24" s="19"/>
      <c r="L24" s="19">
        <v>125</v>
      </c>
      <c r="M24" s="19"/>
      <c r="N24" s="19"/>
      <c r="O24" s="19">
        <v>30</v>
      </c>
      <c r="P24" s="19"/>
      <c r="Q24" s="19"/>
      <c r="R24" s="19"/>
      <c r="S24" s="19"/>
      <c r="T24" s="19"/>
      <c r="U24" s="19"/>
      <c r="V24" s="19">
        <f t="shared" si="0"/>
        <v>285</v>
      </c>
      <c r="W24" s="19">
        <f t="shared" si="1"/>
        <v>-10</v>
      </c>
    </row>
    <row r="25" spans="1:23" x14ac:dyDescent="0.3">
      <c r="A25" s="19">
        <v>2020</v>
      </c>
      <c r="B25" s="19" t="s">
        <v>54</v>
      </c>
      <c r="C25" s="19"/>
      <c r="D25" s="19">
        <v>275</v>
      </c>
      <c r="E25" s="19"/>
      <c r="F25" s="19"/>
      <c r="G25" s="19"/>
      <c r="H25" s="19"/>
      <c r="I25" s="19"/>
      <c r="J25" s="19">
        <v>245</v>
      </c>
      <c r="K25" s="19"/>
      <c r="L25" s="19"/>
      <c r="M25" s="19" t="s">
        <v>0</v>
      </c>
      <c r="N25" s="19"/>
      <c r="O25" s="19">
        <v>30</v>
      </c>
      <c r="P25" s="19" t="s">
        <v>0</v>
      </c>
      <c r="Q25" s="19"/>
      <c r="R25" s="19" t="s">
        <v>0</v>
      </c>
      <c r="S25" s="19" t="s">
        <v>19</v>
      </c>
      <c r="T25" s="19" t="s">
        <v>0</v>
      </c>
      <c r="U25" s="19"/>
      <c r="V25" s="19">
        <f t="shared" si="0"/>
        <v>275</v>
      </c>
      <c r="W25" s="19">
        <f t="shared" si="1"/>
        <v>0</v>
      </c>
    </row>
    <row r="26" spans="1:23" x14ac:dyDescent="0.3">
      <c r="A26" s="19">
        <v>2020</v>
      </c>
      <c r="B26" s="19" t="s">
        <v>54</v>
      </c>
      <c r="C26" s="19"/>
      <c r="D26" s="19">
        <v>275</v>
      </c>
      <c r="E26" s="19"/>
      <c r="F26" s="19"/>
      <c r="G26" s="19"/>
      <c r="H26" s="19"/>
      <c r="I26" s="19"/>
      <c r="J26" s="19">
        <v>275</v>
      </c>
      <c r="K26" s="19"/>
      <c r="L26" s="19"/>
      <c r="M26" s="19" t="s">
        <v>0</v>
      </c>
      <c r="N26" s="19"/>
      <c r="O26" s="19" t="s">
        <v>0</v>
      </c>
      <c r="P26" s="19"/>
      <c r="Q26" s="19"/>
      <c r="R26" s="19"/>
      <c r="S26" s="19"/>
      <c r="T26" s="19"/>
      <c r="U26" s="19"/>
      <c r="V26" s="19">
        <f t="shared" si="0"/>
        <v>275</v>
      </c>
      <c r="W26" s="19">
        <f t="shared" si="1"/>
        <v>0</v>
      </c>
    </row>
    <row r="27" spans="1:23" x14ac:dyDescent="0.3">
      <c r="A27" s="19">
        <v>2020</v>
      </c>
      <c r="B27" s="19" t="s">
        <v>94</v>
      </c>
      <c r="C27" s="19"/>
      <c r="D27" s="19">
        <v>330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>
        <v>275</v>
      </c>
      <c r="P27" s="19"/>
      <c r="Q27" s="19"/>
      <c r="R27" s="19" t="s">
        <v>0</v>
      </c>
      <c r="S27" s="19"/>
      <c r="T27" s="19"/>
      <c r="U27" s="19"/>
      <c r="V27" s="19">
        <f t="shared" si="0"/>
        <v>275</v>
      </c>
      <c r="W27" s="19">
        <f t="shared" si="1"/>
        <v>55</v>
      </c>
    </row>
    <row r="28" spans="1:23" x14ac:dyDescent="0.3">
      <c r="A28" s="19" t="s">
        <v>0</v>
      </c>
      <c r="B28" s="19" t="s">
        <v>0</v>
      </c>
      <c r="C28" s="19"/>
      <c r="D28" s="19"/>
      <c r="E28" s="19"/>
      <c r="F28" s="19"/>
      <c r="G28" s="19"/>
      <c r="H28" s="19"/>
      <c r="I28" s="19"/>
      <c r="J28" s="19" t="s">
        <v>0</v>
      </c>
      <c r="K28" s="19"/>
      <c r="L28" s="19" t="s">
        <v>0</v>
      </c>
      <c r="M28" s="19"/>
      <c r="N28" s="19"/>
      <c r="O28" s="19"/>
      <c r="P28" s="19"/>
      <c r="Q28" s="19"/>
      <c r="R28" s="19"/>
      <c r="S28" s="19"/>
      <c r="T28" s="19"/>
      <c r="U28" s="19"/>
      <c r="V28" s="19">
        <f t="shared" si="0"/>
        <v>0</v>
      </c>
      <c r="W28" s="19">
        <f t="shared" si="1"/>
        <v>0</v>
      </c>
    </row>
    <row r="29" spans="1:23" x14ac:dyDescent="0.3">
      <c r="A29" s="19">
        <v>2020</v>
      </c>
      <c r="B29" s="19" t="s">
        <v>48</v>
      </c>
      <c r="C29" s="19"/>
      <c r="D29" s="19">
        <f xml:space="preserve"> 33 * 70</f>
        <v>2310</v>
      </c>
      <c r="E29" s="19"/>
      <c r="F29" s="19"/>
      <c r="G29" s="19">
        <v>1056</v>
      </c>
      <c r="H29" s="19"/>
      <c r="I29" s="19"/>
      <c r="J29" s="19" t="s">
        <v>0</v>
      </c>
      <c r="K29" s="19">
        <v>924</v>
      </c>
      <c r="L29" s="19">
        <v>280</v>
      </c>
      <c r="M29" s="19"/>
      <c r="N29" s="19"/>
      <c r="O29" s="19">
        <v>0</v>
      </c>
      <c r="P29" s="19"/>
      <c r="Q29" s="19"/>
      <c r="R29" s="19"/>
      <c r="S29" s="19"/>
      <c r="T29" s="19">
        <v>275</v>
      </c>
      <c r="U29" s="19"/>
      <c r="V29" s="19">
        <f t="shared" si="0"/>
        <v>2535</v>
      </c>
      <c r="W29" s="19">
        <f t="shared" si="1"/>
        <v>-225</v>
      </c>
    </row>
    <row r="30" spans="1:23" x14ac:dyDescent="0.3">
      <c r="A30" s="19" t="s">
        <v>0</v>
      </c>
      <c r="B30" s="19" t="s">
        <v>0</v>
      </c>
      <c r="C30" s="19"/>
      <c r="D30" s="19"/>
      <c r="E30" s="19"/>
      <c r="F30" s="19"/>
      <c r="G30" s="19"/>
      <c r="H30" s="19"/>
      <c r="I30" s="19"/>
      <c r="J30" s="19" t="s">
        <v>0</v>
      </c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 t="s">
        <v>0</v>
      </c>
      <c r="W30" s="19" t="s">
        <v>0</v>
      </c>
    </row>
    <row r="32" spans="1:23" x14ac:dyDescent="0.3">
      <c r="C32">
        <f>SUM(D8:D29)</f>
        <v>7095</v>
      </c>
      <c r="D32" t="s">
        <v>43</v>
      </c>
      <c r="F32">
        <f t="shared" ref="F32:T32" si="2">SUM(F8:F30)</f>
        <v>150</v>
      </c>
      <c r="G32">
        <f t="shared" si="2"/>
        <v>1056</v>
      </c>
      <c r="H32">
        <f t="shared" si="2"/>
        <v>0</v>
      </c>
      <c r="J32">
        <f t="shared" si="2"/>
        <v>925</v>
      </c>
      <c r="K32">
        <f t="shared" si="2"/>
        <v>924</v>
      </c>
      <c r="L32">
        <f t="shared" si="2"/>
        <v>1230</v>
      </c>
      <c r="M32">
        <f t="shared" si="2"/>
        <v>275</v>
      </c>
      <c r="N32" t="s">
        <v>0</v>
      </c>
      <c r="O32">
        <f t="shared" si="2"/>
        <v>335</v>
      </c>
      <c r="P32">
        <f t="shared" si="2"/>
        <v>120</v>
      </c>
      <c r="Q32">
        <f t="shared" si="2"/>
        <v>60</v>
      </c>
      <c r="R32">
        <f t="shared" si="2"/>
        <v>0</v>
      </c>
      <c r="S32">
        <f t="shared" si="2"/>
        <v>330</v>
      </c>
      <c r="T32">
        <f t="shared" si="2"/>
        <v>275</v>
      </c>
      <c r="V32">
        <f>SUM(V7:V30)</f>
        <v>5680</v>
      </c>
      <c r="W32">
        <f>SUM(W7:W30)</f>
        <v>865</v>
      </c>
    </row>
    <row r="34" spans="1:22" x14ac:dyDescent="0.3">
      <c r="D34" t="s">
        <v>55</v>
      </c>
      <c r="F34" s="31">
        <f>F32/2.38</f>
        <v>63.025210084033617</v>
      </c>
      <c r="G34" s="31">
        <f>G32/2.38</f>
        <v>443.69747899159665</v>
      </c>
      <c r="H34" s="31">
        <f>H32/2.38</f>
        <v>0</v>
      </c>
      <c r="I34" s="31"/>
      <c r="J34" s="31">
        <f>J32/2.38</f>
        <v>388.65546218487395</v>
      </c>
      <c r="K34" s="31">
        <f>K32/2.38</f>
        <v>388.23529411764707</v>
      </c>
      <c r="L34" s="31">
        <f>L32/2.38</f>
        <v>516.80672268907563</v>
      </c>
      <c r="M34" s="31">
        <f>M32/2.38</f>
        <v>115.54621848739497</v>
      </c>
      <c r="N34" s="31" t="s">
        <v>0</v>
      </c>
      <c r="O34" s="31">
        <f t="shared" ref="O34:T34" si="3">O32/2.38</f>
        <v>140.75630252100842</v>
      </c>
      <c r="P34" s="31">
        <f t="shared" si="3"/>
        <v>50.420168067226896</v>
      </c>
      <c r="Q34" s="31">
        <f t="shared" si="3"/>
        <v>25.210084033613448</v>
      </c>
      <c r="R34" s="31">
        <f t="shared" si="3"/>
        <v>0</v>
      </c>
      <c r="S34" s="31">
        <f t="shared" si="3"/>
        <v>138.65546218487395</v>
      </c>
      <c r="T34" s="31">
        <f t="shared" si="3"/>
        <v>115.54621848739497</v>
      </c>
      <c r="V34">
        <f>SUM(F32:T32)</f>
        <v>5680</v>
      </c>
    </row>
    <row r="35" spans="1:22" x14ac:dyDescent="0.3">
      <c r="A35" t="s">
        <v>0</v>
      </c>
    </row>
    <row r="36" spans="1:22" x14ac:dyDescent="0.3">
      <c r="D36" t="s">
        <v>36</v>
      </c>
      <c r="F36">
        <v>368</v>
      </c>
      <c r="G36">
        <v>500</v>
      </c>
      <c r="H36">
        <v>150</v>
      </c>
      <c r="J36">
        <v>450</v>
      </c>
      <c r="K36">
        <v>375</v>
      </c>
      <c r="L36">
        <v>300</v>
      </c>
      <c r="M36">
        <v>112</v>
      </c>
      <c r="O36">
        <v>140</v>
      </c>
      <c r="P36">
        <v>50</v>
      </c>
      <c r="Q36">
        <v>25</v>
      </c>
      <c r="R36">
        <v>100</v>
      </c>
      <c r="S36">
        <v>140</v>
      </c>
      <c r="T36">
        <v>112</v>
      </c>
    </row>
    <row r="37" spans="1:22" x14ac:dyDescent="0.3">
      <c r="B37" t="s">
        <v>0</v>
      </c>
      <c r="R37" t="s">
        <v>0</v>
      </c>
      <c r="T37" t="s">
        <v>0</v>
      </c>
    </row>
    <row r="38" spans="1:22" x14ac:dyDescent="0.3">
      <c r="D38" t="s">
        <v>61</v>
      </c>
      <c r="F38" s="31">
        <f t="shared" ref="F38:H38" si="4">F34-F36</f>
        <v>-304.97478991596637</v>
      </c>
      <c r="G38" s="31">
        <f t="shared" si="4"/>
        <v>-56.302521008403346</v>
      </c>
      <c r="H38" s="31">
        <f t="shared" si="4"/>
        <v>-150</v>
      </c>
      <c r="J38" s="31">
        <f t="shared" ref="J38:T38" si="5">J34-J36</f>
        <v>-61.344537815126046</v>
      </c>
      <c r="K38" s="31">
        <f t="shared" si="5"/>
        <v>13.235294117647072</v>
      </c>
      <c r="L38" s="31">
        <f t="shared" si="5"/>
        <v>216.80672268907563</v>
      </c>
      <c r="M38" s="31">
        <f t="shared" si="5"/>
        <v>3.5462184873949667</v>
      </c>
      <c r="O38" s="31">
        <f t="shared" si="5"/>
        <v>0.75630252100842199</v>
      </c>
      <c r="P38" s="31">
        <f t="shared" si="5"/>
        <v>0.42016806722689637</v>
      </c>
      <c r="Q38" s="31">
        <f t="shared" si="5"/>
        <v>0.21008403361344818</v>
      </c>
      <c r="R38" s="31">
        <f t="shared" si="5"/>
        <v>-100</v>
      </c>
      <c r="S38" s="31">
        <f t="shared" si="5"/>
        <v>-1.3445378151260456</v>
      </c>
      <c r="T38" s="31">
        <f t="shared" si="5"/>
        <v>3.5462184873949667</v>
      </c>
      <c r="V38" s="31">
        <f>SUM(F38:T38)</f>
        <v>-435.44537815126046</v>
      </c>
    </row>
    <row r="40" spans="1:22" x14ac:dyDescent="0.3">
      <c r="H40" t="s">
        <v>0</v>
      </c>
    </row>
    <row r="41" spans="1:22" x14ac:dyDescent="0.3">
      <c r="F41">
        <v>1056</v>
      </c>
    </row>
    <row r="42" spans="1:22" x14ac:dyDescent="0.3">
      <c r="F42">
        <v>275</v>
      </c>
    </row>
    <row r="43" spans="1:22" x14ac:dyDescent="0.3">
      <c r="L43" t="s">
        <v>77</v>
      </c>
      <c r="M43" t="s">
        <v>53</v>
      </c>
    </row>
    <row r="44" spans="1:22" x14ac:dyDescent="0.3">
      <c r="B44" t="s">
        <v>0</v>
      </c>
      <c r="C44" t="s">
        <v>0</v>
      </c>
      <c r="F44">
        <f>SUM(F41:F42)</f>
        <v>1331</v>
      </c>
      <c r="G44">
        <v>1365</v>
      </c>
    </row>
    <row r="45" spans="1:22" x14ac:dyDescent="0.3">
      <c r="J45" t="s">
        <v>47</v>
      </c>
      <c r="K45" t="s">
        <v>50</v>
      </c>
      <c r="L45" s="31">
        <v>300</v>
      </c>
      <c r="M45" s="31">
        <f>L45*2.38</f>
        <v>714</v>
      </c>
    </row>
    <row r="46" spans="1:22" x14ac:dyDescent="0.3">
      <c r="K46" t="s">
        <v>51</v>
      </c>
      <c r="L46" s="31">
        <v>100</v>
      </c>
      <c r="M46" s="31">
        <f>L46*2.38</f>
        <v>238</v>
      </c>
      <c r="O46" s="31">
        <f>SUM(M45:M46)</f>
        <v>952</v>
      </c>
      <c r="P46" t="s">
        <v>0</v>
      </c>
    </row>
    <row r="47" spans="1:22" x14ac:dyDescent="0.3">
      <c r="K47" t="s">
        <v>66</v>
      </c>
      <c r="L47" s="31">
        <v>132</v>
      </c>
      <c r="M47" s="31">
        <f>L47*2.38</f>
        <v>314.15999999999997</v>
      </c>
      <c r="O47" t="s">
        <v>0</v>
      </c>
      <c r="Q47">
        <v>22</v>
      </c>
      <c r="R47">
        <v>9</v>
      </c>
      <c r="S47">
        <f>Q47*R47</f>
        <v>198</v>
      </c>
      <c r="T47" t="s">
        <v>78</v>
      </c>
    </row>
    <row r="48" spans="1:22" x14ac:dyDescent="0.3">
      <c r="K48" t="s">
        <v>65</v>
      </c>
      <c r="L48" s="31">
        <f>SUM(L45:L47)</f>
        <v>532</v>
      </c>
      <c r="M48" s="31">
        <f>L48*2.38</f>
        <v>1266.1599999999999</v>
      </c>
      <c r="S48">
        <f>S47/1.5</f>
        <v>132</v>
      </c>
    </row>
    <row r="50" spans="4:19" x14ac:dyDescent="0.3">
      <c r="F50" t="s">
        <v>0</v>
      </c>
    </row>
    <row r="51" spans="4:19" x14ac:dyDescent="0.3">
      <c r="F51" t="s">
        <v>0</v>
      </c>
    </row>
    <row r="52" spans="4:19" x14ac:dyDescent="0.3">
      <c r="L52" t="s">
        <v>0</v>
      </c>
    </row>
    <row r="53" spans="4:19" x14ac:dyDescent="0.3">
      <c r="D53" t="s">
        <v>72</v>
      </c>
      <c r="J53" t="s">
        <v>73</v>
      </c>
    </row>
    <row r="54" spans="4:19" x14ac:dyDescent="0.3">
      <c r="P54" t="s">
        <v>51</v>
      </c>
      <c r="Q54">
        <v>112</v>
      </c>
      <c r="R54">
        <f>2.38*Q54</f>
        <v>266.56</v>
      </c>
    </row>
    <row r="55" spans="4:19" x14ac:dyDescent="0.3">
      <c r="D55" t="s">
        <v>71</v>
      </c>
      <c r="F55">
        <v>50</v>
      </c>
      <c r="G55" s="32">
        <v>0.5</v>
      </c>
      <c r="J55" t="s">
        <v>74</v>
      </c>
      <c r="K55" s="32">
        <f>550/1320</f>
        <v>0.41666666666666669</v>
      </c>
      <c r="P55" t="s">
        <v>50</v>
      </c>
      <c r="Q55">
        <v>250</v>
      </c>
      <c r="R55">
        <f>2.38*Q55</f>
        <v>595</v>
      </c>
      <c r="S55">
        <f>SUM(R54:R55)</f>
        <v>861.56</v>
      </c>
    </row>
    <row r="56" spans="4:19" x14ac:dyDescent="0.3">
      <c r="D56" t="s">
        <v>70</v>
      </c>
      <c r="F56">
        <v>25</v>
      </c>
      <c r="G56" s="32">
        <v>0.26</v>
      </c>
      <c r="J56" t="s">
        <v>75</v>
      </c>
      <c r="K56" s="32">
        <f>275/1320</f>
        <v>0.20833333333333334</v>
      </c>
      <c r="P56" t="s">
        <v>80</v>
      </c>
      <c r="Q56">
        <v>150</v>
      </c>
      <c r="R56">
        <f>Q56*1.5/3.785</f>
        <v>59.445178335535005</v>
      </c>
    </row>
    <row r="57" spans="4:19" x14ac:dyDescent="0.3">
      <c r="D57" t="s">
        <v>69</v>
      </c>
      <c r="F57">
        <v>12.5</v>
      </c>
      <c r="G57" s="32" t="e">
        <f>J9/J32</f>
        <v>#VALUE!</v>
      </c>
      <c r="J57" t="s">
        <v>48</v>
      </c>
      <c r="K57" s="32">
        <f>280/1320</f>
        <v>0.21212121212121213</v>
      </c>
      <c r="R57">
        <f>SUM(R54:R56)</f>
        <v>921.00517833553499</v>
      </c>
    </row>
    <row r="58" spans="4:19" x14ac:dyDescent="0.3">
      <c r="D58" t="s">
        <v>60</v>
      </c>
      <c r="F58">
        <v>12.5</v>
      </c>
      <c r="G58" s="32">
        <f>J24/J32</f>
        <v>0.14054054054054055</v>
      </c>
      <c r="J58" t="s">
        <v>60</v>
      </c>
      <c r="K58" s="32">
        <f>120/1320</f>
        <v>9.0909090909090912E-2</v>
      </c>
    </row>
    <row r="59" spans="4:19" x14ac:dyDescent="0.3">
      <c r="J59" t="s">
        <v>76</v>
      </c>
      <c r="K59" s="32">
        <f>90/1320</f>
        <v>6.8181818181818177E-2</v>
      </c>
    </row>
    <row r="61" spans="4:19" x14ac:dyDescent="0.3">
      <c r="K61" s="33">
        <f>SUM(K55:K60)</f>
        <v>0.99621212121212133</v>
      </c>
    </row>
  </sheetData>
  <pageMargins left="0.7" right="0.7" top="0.75" bottom="0.75" header="0.3" footer="0.3"/>
  <pageSetup scale="5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3E164-CE45-4739-AA7F-78AFAF19EC15}">
  <dimension ref="A1:AE1048414"/>
  <sheetViews>
    <sheetView tabSelected="1" topLeftCell="A31" zoomScale="124" zoomScaleNormal="70" workbookViewId="0">
      <selection activeCell="B27" sqref="B27"/>
    </sheetView>
  </sheetViews>
  <sheetFormatPr defaultRowHeight="14.4" x14ac:dyDescent="0.3"/>
  <cols>
    <col min="2" max="2" width="35.6640625" customWidth="1"/>
    <col min="3" max="3" width="16.44140625" customWidth="1"/>
    <col min="4" max="4" width="4.33203125" customWidth="1"/>
    <col min="5" max="5" width="14.5546875" customWidth="1"/>
    <col min="6" max="6" width="3.88671875" customWidth="1"/>
    <col min="7" max="7" width="10.77734375" customWidth="1"/>
    <col min="8" max="9" width="9.5546875" bestFit="1" customWidth="1"/>
    <col min="10" max="10" width="11.33203125" customWidth="1"/>
    <col min="11" max="12" width="11" customWidth="1"/>
    <col min="13" max="13" width="3.5546875" customWidth="1"/>
    <col min="18" max="18" width="10.21875" customWidth="1"/>
    <col min="20" max="20" width="2.88671875" customWidth="1"/>
    <col min="21" max="21" width="13.21875" customWidth="1"/>
    <col min="22" max="22" width="10.5546875" customWidth="1"/>
  </cols>
  <sheetData>
    <row r="1" spans="1:31" x14ac:dyDescent="0.3">
      <c r="F1" s="18"/>
      <c r="G1" s="14" t="s">
        <v>23</v>
      </c>
      <c r="H1" s="15"/>
      <c r="I1" s="15"/>
      <c r="J1" s="15"/>
      <c r="K1" s="15"/>
      <c r="L1" s="15"/>
      <c r="M1" s="16"/>
      <c r="N1" s="16"/>
      <c r="O1" s="17"/>
    </row>
    <row r="2" spans="1:31" ht="15" thickBot="1" x14ac:dyDescent="0.35">
      <c r="G2" t="s">
        <v>0</v>
      </c>
      <c r="H2" t="s">
        <v>0</v>
      </c>
      <c r="I2" t="s">
        <v>0</v>
      </c>
      <c r="J2" t="s">
        <v>0</v>
      </c>
      <c r="K2" t="s">
        <v>0</v>
      </c>
      <c r="M2" t="s">
        <v>0</v>
      </c>
      <c r="N2" t="s">
        <v>0</v>
      </c>
      <c r="O2" t="s">
        <v>0</v>
      </c>
      <c r="P2" t="s">
        <v>0</v>
      </c>
    </row>
    <row r="3" spans="1:31" x14ac:dyDescent="0.3">
      <c r="E3" s="6"/>
      <c r="F3" s="8" t="s">
        <v>0</v>
      </c>
      <c r="G3" s="8"/>
      <c r="H3" s="8" t="s">
        <v>9</v>
      </c>
      <c r="I3" s="8" t="s">
        <v>41</v>
      </c>
      <c r="J3" s="8" t="s">
        <v>8</v>
      </c>
      <c r="K3" s="8" t="s">
        <v>24</v>
      </c>
      <c r="L3" s="8" t="s">
        <v>26</v>
      </c>
      <c r="M3" s="8" t="s">
        <v>0</v>
      </c>
      <c r="N3" s="53" t="s">
        <v>82</v>
      </c>
      <c r="O3" s="8" t="s">
        <v>25</v>
      </c>
      <c r="P3" s="8" t="s">
        <v>0</v>
      </c>
      <c r="Q3" s="8" t="s">
        <v>68</v>
      </c>
      <c r="R3" s="8" t="s">
        <v>0</v>
      </c>
      <c r="S3" s="8" t="s">
        <v>157</v>
      </c>
    </row>
    <row r="4" spans="1:31" x14ac:dyDescent="0.3">
      <c r="E4" s="7"/>
      <c r="F4" s="9"/>
      <c r="G4" s="10"/>
      <c r="H4" s="10"/>
      <c r="I4" s="10"/>
      <c r="J4" s="10"/>
      <c r="K4" s="9" t="s">
        <v>0</v>
      </c>
      <c r="L4" s="9"/>
      <c r="M4" s="9"/>
      <c r="N4" s="54"/>
      <c r="O4" s="9"/>
      <c r="P4" s="9"/>
      <c r="Q4" s="9"/>
      <c r="R4" s="21"/>
      <c r="S4" s="11" t="s">
        <v>0</v>
      </c>
    </row>
    <row r="5" spans="1:31" x14ac:dyDescent="0.3">
      <c r="E5" s="5"/>
      <c r="F5" s="2"/>
      <c r="G5" s="1"/>
      <c r="H5" s="1"/>
      <c r="I5" s="1"/>
      <c r="J5" s="1"/>
      <c r="K5" s="2" t="s">
        <v>0</v>
      </c>
      <c r="L5" s="2"/>
      <c r="M5" s="2"/>
      <c r="N5" s="55" t="s">
        <v>0</v>
      </c>
      <c r="O5" s="2"/>
      <c r="P5" s="2"/>
      <c r="Q5" s="2"/>
      <c r="R5" s="22"/>
      <c r="S5" s="12" t="s">
        <v>0</v>
      </c>
    </row>
    <row r="6" spans="1:31" x14ac:dyDescent="0.3">
      <c r="C6" t="s">
        <v>3</v>
      </c>
      <c r="E6" s="24"/>
      <c r="F6" s="25"/>
      <c r="G6" s="3" t="s">
        <v>0</v>
      </c>
      <c r="H6" s="3" t="s">
        <v>0</v>
      </c>
      <c r="I6" s="1" t="s">
        <v>0</v>
      </c>
      <c r="J6" s="1" t="s">
        <v>0</v>
      </c>
      <c r="K6" s="25" t="s">
        <v>0</v>
      </c>
      <c r="L6" s="25"/>
      <c r="M6" s="25" t="s">
        <v>0</v>
      </c>
      <c r="N6" s="56" t="s">
        <v>0</v>
      </c>
      <c r="O6" s="25" t="s">
        <v>0</v>
      </c>
      <c r="P6" s="25" t="s">
        <v>0</v>
      </c>
      <c r="Q6" s="25" t="s">
        <v>0</v>
      </c>
      <c r="R6" s="26"/>
      <c r="S6" s="27" t="s">
        <v>0</v>
      </c>
      <c r="U6" s="3" t="s">
        <v>5</v>
      </c>
      <c r="V6" s="3" t="s">
        <v>6</v>
      </c>
    </row>
    <row r="7" spans="1:31" x14ac:dyDescent="0.3">
      <c r="A7" s="19"/>
      <c r="B7" s="19"/>
      <c r="C7" s="19"/>
      <c r="D7" s="19"/>
      <c r="E7" s="19"/>
      <c r="F7" s="19"/>
      <c r="G7" s="19"/>
      <c r="H7" s="19"/>
      <c r="I7" s="19"/>
      <c r="J7" s="19"/>
      <c r="K7" s="19" t="s">
        <v>0</v>
      </c>
      <c r="L7" s="19" t="s">
        <v>0</v>
      </c>
      <c r="M7" s="19"/>
      <c r="N7" s="35"/>
      <c r="O7" s="19"/>
      <c r="P7" s="19"/>
      <c r="Q7" s="19"/>
      <c r="R7" s="19"/>
      <c r="S7" s="19"/>
      <c r="T7" s="19"/>
      <c r="U7" s="19" t="s">
        <v>0</v>
      </c>
      <c r="V7" s="19"/>
    </row>
    <row r="8" spans="1:31" x14ac:dyDescent="0.3">
      <c r="A8" s="19" t="s">
        <v>0</v>
      </c>
      <c r="B8" s="19" t="s">
        <v>0</v>
      </c>
      <c r="C8" s="19" t="s">
        <v>0</v>
      </c>
      <c r="D8" s="19"/>
      <c r="E8" s="19"/>
      <c r="F8" s="19"/>
      <c r="G8" s="19"/>
      <c r="H8" s="19"/>
      <c r="I8" s="19"/>
      <c r="J8" s="19"/>
      <c r="K8" s="52"/>
      <c r="L8" s="19"/>
      <c r="M8" s="19"/>
      <c r="N8" s="35"/>
      <c r="O8" s="19"/>
      <c r="P8" s="19"/>
      <c r="Q8" s="19"/>
      <c r="R8" s="19"/>
      <c r="S8" s="19"/>
      <c r="T8" s="19"/>
      <c r="U8" s="19" t="s">
        <v>0</v>
      </c>
      <c r="V8" s="19" t="s">
        <v>0</v>
      </c>
      <c r="X8" t="s">
        <v>0</v>
      </c>
      <c r="AD8">
        <v>360</v>
      </c>
      <c r="AE8">
        <f>AD8/6</f>
        <v>60</v>
      </c>
    </row>
    <row r="9" spans="1:31" x14ac:dyDescent="0.3">
      <c r="A9" s="19">
        <v>2021</v>
      </c>
      <c r="B9" s="19" t="s">
        <v>143</v>
      </c>
      <c r="C9" s="19">
        <v>9</v>
      </c>
      <c r="D9" s="19"/>
      <c r="E9" s="19"/>
      <c r="F9" s="19"/>
      <c r="G9" s="19"/>
      <c r="H9" s="19">
        <v>4</v>
      </c>
      <c r="I9" s="19"/>
      <c r="J9" s="19"/>
      <c r="K9" s="19">
        <v>4</v>
      </c>
      <c r="L9" s="19"/>
      <c r="M9" s="19"/>
      <c r="N9" s="35"/>
      <c r="O9" s="19"/>
      <c r="P9" s="19"/>
      <c r="Q9" s="19">
        <v>1</v>
      </c>
      <c r="R9" s="19"/>
      <c r="S9" s="19"/>
      <c r="T9" s="19"/>
      <c r="U9" s="19">
        <f t="shared" ref="U9:U20" si="0">SUM(E9:S9)</f>
        <v>9</v>
      </c>
      <c r="V9" s="19">
        <f t="shared" ref="V9:V20" si="1">C9-U9</f>
        <v>0</v>
      </c>
      <c r="X9" t="s">
        <v>0</v>
      </c>
    </row>
    <row r="10" spans="1:31" x14ac:dyDescent="0.3">
      <c r="A10" s="19">
        <v>2021</v>
      </c>
      <c r="B10" s="19" t="s">
        <v>144</v>
      </c>
      <c r="C10" s="19">
        <v>12</v>
      </c>
      <c r="D10" s="19"/>
      <c r="E10" s="19"/>
      <c r="F10" s="19"/>
      <c r="G10" s="19"/>
      <c r="H10" s="19">
        <v>5</v>
      </c>
      <c r="I10" s="19"/>
      <c r="J10" s="19"/>
      <c r="K10" s="19"/>
      <c r="L10" s="19">
        <v>3</v>
      </c>
      <c r="M10" s="19"/>
      <c r="N10" s="35"/>
      <c r="O10" s="19">
        <v>4</v>
      </c>
      <c r="P10" s="19"/>
      <c r="Q10" s="19"/>
      <c r="R10" s="19"/>
      <c r="S10" s="19"/>
      <c r="T10" s="19"/>
      <c r="U10" s="19">
        <f t="shared" si="0"/>
        <v>12</v>
      </c>
      <c r="V10" s="19">
        <f t="shared" si="1"/>
        <v>0</v>
      </c>
      <c r="X10" t="s">
        <v>0</v>
      </c>
    </row>
    <row r="11" spans="1:31" x14ac:dyDescent="0.3">
      <c r="A11" s="19">
        <v>2021</v>
      </c>
      <c r="B11" s="19" t="s">
        <v>145</v>
      </c>
      <c r="C11" s="19">
        <v>9</v>
      </c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35"/>
      <c r="O11" s="19"/>
      <c r="P11" s="19"/>
      <c r="Q11" s="19">
        <v>9</v>
      </c>
      <c r="R11" s="19"/>
      <c r="S11" s="19"/>
      <c r="T11" s="19"/>
      <c r="U11" s="19">
        <f t="shared" ref="U11" si="2">SUM(E11:S11)</f>
        <v>9</v>
      </c>
      <c r="V11" s="19">
        <f t="shared" ref="V11" si="3">C11-U11</f>
        <v>0</v>
      </c>
    </row>
    <row r="12" spans="1:31" x14ac:dyDescent="0.3">
      <c r="A12" s="19">
        <v>2021</v>
      </c>
      <c r="B12" s="19" t="s">
        <v>142</v>
      </c>
      <c r="C12" s="19">
        <v>8</v>
      </c>
      <c r="D12" s="19"/>
      <c r="E12" s="19"/>
      <c r="F12" s="19"/>
      <c r="G12" s="19"/>
      <c r="H12" s="19"/>
      <c r="I12" s="19"/>
      <c r="J12" s="19"/>
      <c r="K12" s="19" t="s">
        <v>0</v>
      </c>
      <c r="L12" s="19">
        <v>4</v>
      </c>
      <c r="M12" s="19"/>
      <c r="N12" s="35"/>
      <c r="O12" s="19">
        <v>4</v>
      </c>
      <c r="P12" s="19"/>
      <c r="Q12" s="19"/>
      <c r="R12" s="19"/>
      <c r="S12" s="19"/>
      <c r="T12" s="19"/>
      <c r="U12" s="19">
        <f t="shared" si="0"/>
        <v>8</v>
      </c>
      <c r="V12" s="19">
        <f t="shared" si="1"/>
        <v>0</v>
      </c>
      <c r="X12" t="s">
        <v>0</v>
      </c>
    </row>
    <row r="13" spans="1:31" x14ac:dyDescent="0.3">
      <c r="A13" s="19">
        <v>2021</v>
      </c>
      <c r="B13" s="19" t="s">
        <v>141</v>
      </c>
      <c r="C13" s="19">
        <v>14</v>
      </c>
      <c r="D13" s="19"/>
      <c r="E13" s="19"/>
      <c r="F13" s="19"/>
      <c r="G13" s="19"/>
      <c r="H13" s="19"/>
      <c r="I13" s="19"/>
      <c r="J13" s="19"/>
      <c r="K13" s="19">
        <v>8</v>
      </c>
      <c r="L13" s="19">
        <v>2</v>
      </c>
      <c r="M13" s="19"/>
      <c r="N13" s="35"/>
      <c r="O13" s="19"/>
      <c r="P13" s="19"/>
      <c r="Q13" s="19"/>
      <c r="R13" s="19"/>
      <c r="S13" s="19"/>
      <c r="T13" s="19"/>
      <c r="U13" s="19">
        <f t="shared" si="0"/>
        <v>10</v>
      </c>
      <c r="V13" s="35">
        <f t="shared" si="1"/>
        <v>4</v>
      </c>
      <c r="X13" t="s">
        <v>160</v>
      </c>
    </row>
    <row r="14" spans="1:31" x14ac:dyDescent="0.3">
      <c r="A14" s="19">
        <v>2021</v>
      </c>
      <c r="B14" s="19" t="s">
        <v>146</v>
      </c>
      <c r="C14" s="19">
        <v>10</v>
      </c>
      <c r="D14" s="19"/>
      <c r="E14" s="19"/>
      <c r="F14" s="19"/>
      <c r="G14" s="19"/>
      <c r="H14" s="19"/>
      <c r="I14" s="19">
        <v>5</v>
      </c>
      <c r="J14" s="19"/>
      <c r="K14" s="19"/>
      <c r="L14" s="19">
        <v>5</v>
      </c>
      <c r="M14" s="19"/>
      <c r="N14" s="35"/>
      <c r="O14" s="19"/>
      <c r="P14" s="19"/>
      <c r="Q14" s="19"/>
      <c r="R14" s="19"/>
      <c r="S14" s="19"/>
      <c r="T14" s="19"/>
      <c r="U14" s="19">
        <f t="shared" si="0"/>
        <v>10</v>
      </c>
      <c r="V14" s="19">
        <f t="shared" si="1"/>
        <v>0</v>
      </c>
      <c r="X14" t="s">
        <v>0</v>
      </c>
    </row>
    <row r="15" spans="1:31" x14ac:dyDescent="0.3">
      <c r="A15" s="19">
        <v>2021</v>
      </c>
      <c r="B15" s="19" t="s">
        <v>147</v>
      </c>
      <c r="C15" s="19">
        <v>10</v>
      </c>
      <c r="D15" s="19"/>
      <c r="E15" s="19"/>
      <c r="F15" s="19"/>
      <c r="G15" s="19"/>
      <c r="H15" s="19"/>
      <c r="I15" s="19"/>
      <c r="J15" s="19"/>
      <c r="K15" s="19">
        <v>5</v>
      </c>
      <c r="L15" s="19"/>
      <c r="M15" s="19"/>
      <c r="N15" s="35"/>
      <c r="O15" s="19">
        <v>5</v>
      </c>
      <c r="P15" s="19"/>
      <c r="Q15" s="19"/>
      <c r="R15" s="19"/>
      <c r="S15" s="19"/>
      <c r="T15" s="19"/>
      <c r="U15" s="19">
        <f t="shared" si="0"/>
        <v>10</v>
      </c>
      <c r="V15" s="19">
        <f t="shared" si="1"/>
        <v>0</v>
      </c>
    </row>
    <row r="16" spans="1:31" x14ac:dyDescent="0.3">
      <c r="A16" s="23">
        <v>2021</v>
      </c>
      <c r="B16" s="19" t="s">
        <v>148</v>
      </c>
      <c r="C16" s="19">
        <v>3</v>
      </c>
      <c r="D16" s="19" t="s">
        <v>0</v>
      </c>
      <c r="E16" s="19"/>
      <c r="F16" s="19"/>
      <c r="G16" s="19"/>
      <c r="H16" s="19"/>
      <c r="I16" s="19"/>
      <c r="J16" s="19"/>
      <c r="K16" s="19">
        <v>3</v>
      </c>
      <c r="L16" s="19"/>
      <c r="M16" s="19"/>
      <c r="N16" s="35"/>
      <c r="O16" s="19"/>
      <c r="P16" s="19"/>
      <c r="Q16" s="19"/>
      <c r="R16" s="19"/>
      <c r="S16" s="19"/>
      <c r="T16" s="19"/>
      <c r="U16" s="19">
        <f>SUM(E16:S16)</f>
        <v>3</v>
      </c>
      <c r="V16" s="19">
        <f>C16-U16</f>
        <v>0</v>
      </c>
    </row>
    <row r="17" spans="1:25" x14ac:dyDescent="0.3">
      <c r="A17" s="19">
        <v>2021</v>
      </c>
      <c r="B17" s="19" t="s">
        <v>149</v>
      </c>
      <c r="C17" s="19">
        <v>7</v>
      </c>
      <c r="D17" s="19"/>
      <c r="E17" s="19"/>
      <c r="F17" s="19"/>
      <c r="G17" s="19"/>
      <c r="H17" s="19">
        <v>2</v>
      </c>
      <c r="I17" s="19"/>
      <c r="J17" s="19"/>
      <c r="K17" s="19"/>
      <c r="L17" s="19"/>
      <c r="M17" s="19"/>
      <c r="N17" s="35"/>
      <c r="O17" s="19">
        <v>3</v>
      </c>
      <c r="P17" s="19"/>
      <c r="Q17" s="19">
        <v>2</v>
      </c>
      <c r="R17" s="19"/>
      <c r="S17" s="19"/>
      <c r="T17" s="19"/>
      <c r="U17" s="19">
        <f>SUM(E17:S17)</f>
        <v>7</v>
      </c>
      <c r="V17" s="19">
        <f>C17-U17</f>
        <v>0</v>
      </c>
    </row>
    <row r="18" spans="1:25" x14ac:dyDescent="0.3">
      <c r="A18" s="19">
        <v>2021</v>
      </c>
      <c r="B18" s="19" t="s">
        <v>150</v>
      </c>
      <c r="C18" s="19">
        <v>3</v>
      </c>
      <c r="D18" s="19"/>
      <c r="E18" s="19"/>
      <c r="F18" s="19"/>
      <c r="G18" s="19"/>
      <c r="H18" s="19"/>
      <c r="I18" s="19"/>
      <c r="J18" s="19">
        <v>1</v>
      </c>
      <c r="K18" s="19">
        <v>1</v>
      </c>
      <c r="L18" s="19">
        <v>1</v>
      </c>
      <c r="M18" s="19"/>
      <c r="N18" s="35"/>
      <c r="O18" s="19"/>
      <c r="P18" s="19"/>
      <c r="Q18" s="19"/>
      <c r="R18" s="19"/>
      <c r="S18" s="19"/>
      <c r="T18" s="19"/>
      <c r="U18" s="19">
        <f>SUM(E18:S18)</f>
        <v>3</v>
      </c>
      <c r="V18" s="19">
        <f>C18-U18</f>
        <v>0</v>
      </c>
    </row>
    <row r="19" spans="1:25" x14ac:dyDescent="0.3">
      <c r="A19" s="23">
        <v>2021</v>
      </c>
      <c r="B19" s="23" t="s">
        <v>151</v>
      </c>
      <c r="C19" s="23">
        <v>14</v>
      </c>
      <c r="D19" s="19"/>
      <c r="E19" s="19"/>
      <c r="F19" s="19"/>
      <c r="G19" s="19"/>
      <c r="H19" s="19"/>
      <c r="I19" s="19"/>
      <c r="J19" s="19">
        <v>6</v>
      </c>
      <c r="K19" s="19"/>
      <c r="L19" s="19"/>
      <c r="M19" s="19"/>
      <c r="N19" s="35">
        <v>5</v>
      </c>
      <c r="O19" s="19">
        <v>3</v>
      </c>
      <c r="P19" s="19"/>
      <c r="Q19" s="19"/>
      <c r="R19" s="19"/>
      <c r="S19" s="19"/>
      <c r="T19" s="19"/>
      <c r="U19" s="19">
        <f>SUM(E19:S19)</f>
        <v>14</v>
      </c>
      <c r="V19" s="19">
        <f>C19-U19</f>
        <v>0</v>
      </c>
    </row>
    <row r="20" spans="1:25" x14ac:dyDescent="0.3">
      <c r="A20" s="19">
        <v>2021</v>
      </c>
      <c r="B20" s="19" t="s">
        <v>152</v>
      </c>
      <c r="C20" s="19">
        <v>4</v>
      </c>
      <c r="D20" s="19"/>
      <c r="E20" s="19"/>
      <c r="F20" s="19"/>
      <c r="G20" s="19"/>
      <c r="H20" s="19"/>
      <c r="I20" s="19"/>
      <c r="J20" s="19">
        <v>2</v>
      </c>
      <c r="K20" s="19">
        <v>2</v>
      </c>
      <c r="L20" s="19"/>
      <c r="M20" s="19"/>
      <c r="N20" s="35"/>
      <c r="O20" s="19"/>
      <c r="P20" s="19"/>
      <c r="Q20" s="19"/>
      <c r="R20" s="19"/>
      <c r="S20" s="19"/>
      <c r="T20" s="19"/>
      <c r="U20" s="19">
        <f t="shared" si="0"/>
        <v>4</v>
      </c>
      <c r="V20" s="19">
        <f t="shared" si="1"/>
        <v>0</v>
      </c>
    </row>
    <row r="21" spans="1:25" x14ac:dyDescent="0.3">
      <c r="A21" s="23">
        <v>2021</v>
      </c>
      <c r="B21" s="19" t="s">
        <v>162</v>
      </c>
      <c r="C21" s="23">
        <v>5</v>
      </c>
      <c r="D21" s="19" t="s">
        <v>0</v>
      </c>
      <c r="E21" s="19" t="s">
        <v>0</v>
      </c>
      <c r="F21" s="19"/>
      <c r="G21" s="19"/>
      <c r="H21" s="19"/>
      <c r="I21" s="19"/>
      <c r="J21" s="19">
        <v>2</v>
      </c>
      <c r="K21" s="19"/>
      <c r="L21" s="19"/>
      <c r="M21" s="19"/>
      <c r="N21" s="35">
        <v>2</v>
      </c>
      <c r="O21" s="19">
        <v>1</v>
      </c>
      <c r="P21" s="19"/>
      <c r="Q21" s="19"/>
      <c r="R21" s="19"/>
      <c r="S21" s="19"/>
      <c r="T21" s="19"/>
      <c r="U21" s="19">
        <f t="shared" ref="U21" si="4">SUM(E21:S21)</f>
        <v>5</v>
      </c>
      <c r="V21" s="19">
        <f>C21-U21</f>
        <v>0</v>
      </c>
      <c r="X21" t="s">
        <v>81</v>
      </c>
    </row>
    <row r="22" spans="1:25" x14ac:dyDescent="0.3">
      <c r="A22" s="23"/>
      <c r="B22" s="23"/>
      <c r="C22" s="23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35"/>
      <c r="O22" s="19"/>
      <c r="P22" s="19"/>
      <c r="Q22" s="19"/>
      <c r="R22" s="19"/>
      <c r="S22" s="19"/>
      <c r="T22" s="19"/>
      <c r="U22" s="19"/>
      <c r="V22" s="19"/>
    </row>
    <row r="23" spans="1:25" x14ac:dyDescent="0.3">
      <c r="A23" s="23" t="s">
        <v>153</v>
      </c>
      <c r="B23" s="23"/>
      <c r="C23" s="23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35"/>
      <c r="O23" s="19"/>
      <c r="P23" s="19"/>
      <c r="Q23" s="19"/>
      <c r="R23" s="19"/>
      <c r="S23" s="19"/>
      <c r="T23" s="19"/>
      <c r="U23" s="19"/>
      <c r="V23" s="19"/>
    </row>
    <row r="24" spans="1:25" x14ac:dyDescent="0.3">
      <c r="A24" s="23"/>
      <c r="B24" s="23"/>
      <c r="C24" s="23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35"/>
      <c r="O24" s="19"/>
      <c r="P24" s="19"/>
      <c r="Q24" s="19"/>
      <c r="R24" s="19"/>
      <c r="S24" s="19"/>
      <c r="T24" s="19"/>
      <c r="U24" s="19"/>
      <c r="V24" s="19"/>
    </row>
    <row r="25" spans="1:25" x14ac:dyDescent="0.3">
      <c r="A25" s="23">
        <v>2021</v>
      </c>
      <c r="B25" s="23" t="s">
        <v>141</v>
      </c>
      <c r="C25" s="23">
        <v>5</v>
      </c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35"/>
      <c r="O25" s="19"/>
      <c r="P25" s="19"/>
      <c r="Q25" s="19"/>
      <c r="R25" s="19"/>
      <c r="S25" s="19">
        <v>5</v>
      </c>
      <c r="T25" s="19"/>
      <c r="U25" s="19">
        <f t="shared" ref="U25" si="5">SUM(E25:S25)</f>
        <v>5</v>
      </c>
      <c r="V25" s="19">
        <f t="shared" ref="V25" si="6">C25-U25</f>
        <v>0</v>
      </c>
      <c r="X25" t="s">
        <v>161</v>
      </c>
    </row>
    <row r="26" spans="1:25" x14ac:dyDescent="0.3">
      <c r="N26" s="57"/>
    </row>
    <row r="27" spans="1:25" x14ac:dyDescent="0.3">
      <c r="A27" s="19" t="s">
        <v>0</v>
      </c>
      <c r="B27" s="19" t="s">
        <v>0</v>
      </c>
      <c r="C27" s="19" t="s">
        <v>0</v>
      </c>
      <c r="D27" s="19"/>
      <c r="E27" s="19"/>
      <c r="F27" s="19"/>
      <c r="G27" s="19" t="s">
        <v>0</v>
      </c>
      <c r="H27" s="19"/>
      <c r="I27" s="19"/>
      <c r="J27" s="19"/>
      <c r="K27" s="19"/>
      <c r="L27" s="19"/>
      <c r="M27" s="19"/>
      <c r="N27" s="35"/>
      <c r="O27" s="19"/>
      <c r="P27" s="19"/>
      <c r="Q27" s="19"/>
      <c r="R27" s="19"/>
      <c r="S27" s="19"/>
      <c r="T27" s="19"/>
      <c r="U27" s="19" t="s">
        <v>0</v>
      </c>
      <c r="V27" s="19" t="s">
        <v>0</v>
      </c>
    </row>
    <row r="28" spans="1:25" x14ac:dyDescent="0.3">
      <c r="C28" s="23" t="s">
        <v>0</v>
      </c>
    </row>
    <row r="29" spans="1:25" x14ac:dyDescent="0.3">
      <c r="C29" s="4">
        <f>SUM(C8:C27)</f>
        <v>113</v>
      </c>
      <c r="G29" t="s">
        <v>0</v>
      </c>
      <c r="H29">
        <f>SUM(H8:H27)</f>
        <v>11</v>
      </c>
      <c r="I29">
        <f>SUM(I8:I27)</f>
        <v>5</v>
      </c>
      <c r="J29">
        <f>SUM(J8:J27)</f>
        <v>11</v>
      </c>
      <c r="K29">
        <f>SUM(K8:K27)</f>
        <v>23</v>
      </c>
      <c r="L29">
        <f>SUM(L8:L27)</f>
        <v>15</v>
      </c>
      <c r="M29" t="s">
        <v>0</v>
      </c>
      <c r="N29">
        <f>SUM(N7:N27)</f>
        <v>7</v>
      </c>
      <c r="O29">
        <f>SUM(O8:O27)</f>
        <v>20</v>
      </c>
      <c r="P29">
        <f>SUM(P8:P27)</f>
        <v>0</v>
      </c>
      <c r="Q29">
        <f>SUM(Q8:Q27)</f>
        <v>12</v>
      </c>
      <c r="R29">
        <f>SUM(R8:R27)</f>
        <v>0</v>
      </c>
      <c r="S29">
        <f>SUM(S8:S27)</f>
        <v>5</v>
      </c>
      <c r="U29">
        <f>SUM(U8:U28)</f>
        <v>109</v>
      </c>
      <c r="V29">
        <f>SUM(V9:V25)</f>
        <v>4</v>
      </c>
    </row>
    <row r="31" spans="1:25" x14ac:dyDescent="0.3">
      <c r="C31" t="s">
        <v>0</v>
      </c>
      <c r="E31" t="s">
        <v>35</v>
      </c>
      <c r="G31" t="s">
        <v>0</v>
      </c>
      <c r="H31" s="31">
        <f>H29*70/2.4</f>
        <v>320.83333333333337</v>
      </c>
      <c r="I31" s="31">
        <f>I29*70/2.4</f>
        <v>145.83333333333334</v>
      </c>
      <c r="J31" s="31">
        <f>J29*70/2.4</f>
        <v>320.83333333333337</v>
      </c>
      <c r="K31" s="31">
        <f>K29*70/2.4</f>
        <v>670.83333333333337</v>
      </c>
      <c r="L31" s="31">
        <f>L29*70/2.4</f>
        <v>437.5</v>
      </c>
      <c r="M31" t="s">
        <v>0</v>
      </c>
      <c r="N31" s="31">
        <f t="shared" ref="N31:S31" si="7">N29*70/2.4</f>
        <v>204.16666666666669</v>
      </c>
      <c r="O31" s="31">
        <f t="shared" si="7"/>
        <v>583.33333333333337</v>
      </c>
      <c r="P31">
        <f t="shared" si="7"/>
        <v>0</v>
      </c>
      <c r="Q31">
        <f t="shared" si="7"/>
        <v>350</v>
      </c>
      <c r="R31">
        <f t="shared" si="7"/>
        <v>0</v>
      </c>
      <c r="S31">
        <f t="shared" si="7"/>
        <v>145.83333333333334</v>
      </c>
      <c r="U31" s="31">
        <f>SUM(H31:R31)</f>
        <v>3033.3333333333335</v>
      </c>
      <c r="Y31">
        <f>109*25</f>
        <v>2725</v>
      </c>
    </row>
    <row r="32" spans="1:25" x14ac:dyDescent="0.3">
      <c r="A32" t="s">
        <v>0</v>
      </c>
      <c r="C32" t="s">
        <v>0</v>
      </c>
    </row>
    <row r="33" spans="2:27" x14ac:dyDescent="0.3">
      <c r="B33" t="s">
        <v>0</v>
      </c>
      <c r="E33" t="s">
        <v>36</v>
      </c>
      <c r="G33" t="s">
        <v>0</v>
      </c>
      <c r="H33">
        <v>300</v>
      </c>
      <c r="I33">
        <v>138</v>
      </c>
      <c r="J33">
        <v>300</v>
      </c>
      <c r="K33">
        <v>675</v>
      </c>
      <c r="L33">
        <v>400</v>
      </c>
      <c r="N33">
        <v>200</v>
      </c>
      <c r="O33">
        <v>580</v>
      </c>
      <c r="Q33">
        <v>350</v>
      </c>
      <c r="S33" t="s">
        <v>0</v>
      </c>
      <c r="U33">
        <f>SUM(H33:S33)</f>
        <v>2943</v>
      </c>
    </row>
    <row r="34" spans="2:27" x14ac:dyDescent="0.3">
      <c r="K34" t="s">
        <v>0</v>
      </c>
      <c r="P34" t="s">
        <v>0</v>
      </c>
    </row>
    <row r="35" spans="2:27" x14ac:dyDescent="0.3">
      <c r="E35" t="s">
        <v>53</v>
      </c>
      <c r="H35">
        <f>H31*2.38</f>
        <v>763.58333333333337</v>
      </c>
      <c r="I35">
        <f>I31*2.38</f>
        <v>347.08333333333331</v>
      </c>
      <c r="J35">
        <f>J31*2.38</f>
        <v>763.58333333333337</v>
      </c>
      <c r="K35">
        <f>K31*2.38</f>
        <v>1596.5833333333333</v>
      </c>
      <c r="L35">
        <f>L31*2.38</f>
        <v>1041.25</v>
      </c>
      <c r="N35">
        <f>N31*2.38</f>
        <v>485.91666666666669</v>
      </c>
      <c r="O35">
        <f>O31*2.38</f>
        <v>1388.3333333333333</v>
      </c>
      <c r="P35">
        <f>P31*2.38</f>
        <v>0</v>
      </c>
      <c r="Q35">
        <f>Q31*2.38</f>
        <v>833</v>
      </c>
    </row>
    <row r="38" spans="2:27" x14ac:dyDescent="0.3">
      <c r="H38" t="s">
        <v>83</v>
      </c>
      <c r="I38" t="s">
        <v>155</v>
      </c>
      <c r="J38" t="s">
        <v>156</v>
      </c>
      <c r="K38" t="s">
        <v>159</v>
      </c>
      <c r="L38" t="s">
        <v>158</v>
      </c>
      <c r="M38" t="s">
        <v>0</v>
      </c>
      <c r="N38" t="s">
        <v>154</v>
      </c>
      <c r="O38" t="s">
        <v>163</v>
      </c>
    </row>
    <row r="40" spans="2:27" x14ac:dyDescent="0.3">
      <c r="B40">
        <f>1584/2.38</f>
        <v>665.54621848739498</v>
      </c>
      <c r="H40">
        <v>720</v>
      </c>
      <c r="J40">
        <v>924</v>
      </c>
      <c r="K40">
        <v>1586</v>
      </c>
      <c r="L40">
        <v>1056</v>
      </c>
      <c r="N40">
        <f>2000/3.785</f>
        <v>528.40158520475563</v>
      </c>
      <c r="Q40" t="s">
        <v>0</v>
      </c>
      <c r="U40" t="s">
        <v>0</v>
      </c>
      <c r="Y40">
        <v>30</v>
      </c>
      <c r="Z40">
        <v>35</v>
      </c>
      <c r="AA40">
        <v>40</v>
      </c>
    </row>
    <row r="41" spans="2:27" x14ac:dyDescent="0.3">
      <c r="AA41">
        <v>1320</v>
      </c>
    </row>
    <row r="42" spans="2:27" x14ac:dyDescent="0.3">
      <c r="J42" t="s">
        <v>8</v>
      </c>
      <c r="K42" t="s">
        <v>24</v>
      </c>
      <c r="L42" t="s">
        <v>26</v>
      </c>
      <c r="N42" t="s">
        <v>82</v>
      </c>
      <c r="O42" t="s">
        <v>25</v>
      </c>
      <c r="Y42">
        <v>792</v>
      </c>
      <c r="Z42">
        <f>Y42</f>
        <v>792</v>
      </c>
    </row>
    <row r="43" spans="2:27" x14ac:dyDescent="0.3">
      <c r="B43" t="s">
        <v>0</v>
      </c>
      <c r="C43" t="s">
        <v>0</v>
      </c>
      <c r="I43" t="s">
        <v>9</v>
      </c>
      <c r="J43" s="32">
        <f>SUM(J9:J11)/J29</f>
        <v>0</v>
      </c>
      <c r="K43" s="32">
        <f>SUM(K9:K11)/K29</f>
        <v>0.17391304347826086</v>
      </c>
      <c r="L43" s="32">
        <f>SUM(L9:L11)/L29</f>
        <v>0.2</v>
      </c>
      <c r="N43" s="32">
        <f>SUM(N9:N11)/N29</f>
        <v>0</v>
      </c>
      <c r="O43" s="32">
        <f>SUM(O9:O11)/O29</f>
        <v>0.2</v>
      </c>
    </row>
    <row r="44" spans="2:27" x14ac:dyDescent="0.3">
      <c r="C44" t="s">
        <v>0</v>
      </c>
      <c r="I44" t="s">
        <v>63</v>
      </c>
      <c r="J44" s="32">
        <f>SUM(J12:J13)/J29</f>
        <v>0</v>
      </c>
      <c r="K44" s="32">
        <f>SUM(K12:K13)/K29</f>
        <v>0.34782608695652173</v>
      </c>
      <c r="L44" s="32">
        <f>SUM(L12:L13)/L29</f>
        <v>0.4</v>
      </c>
      <c r="N44" s="32">
        <f>SUM(N12:N13)/N29</f>
        <v>0</v>
      </c>
      <c r="O44" s="32">
        <f>SUM(O12:O13)/O29</f>
        <v>0.2</v>
      </c>
      <c r="Y44">
        <f>3000/3.785</f>
        <v>792.60237780713339</v>
      </c>
      <c r="Z44">
        <f>3500/3.785</f>
        <v>924.70277410832227</v>
      </c>
      <c r="AA44">
        <f>40*100/3.785</f>
        <v>1056.8031704095113</v>
      </c>
    </row>
    <row r="45" spans="2:27" x14ac:dyDescent="0.3">
      <c r="I45" t="s">
        <v>41</v>
      </c>
      <c r="J45" s="32">
        <f>SUM(J14:J15)/J29</f>
        <v>0</v>
      </c>
      <c r="K45" s="32">
        <f>SUM(K14:K15)/K29</f>
        <v>0.21739130434782608</v>
      </c>
      <c r="L45" s="32">
        <f>SUM(L14:L15)/L29</f>
        <v>0.33333333333333331</v>
      </c>
      <c r="N45" s="32">
        <f>SUM(N14:N15)/N29</f>
        <v>0</v>
      </c>
      <c r="O45" s="32">
        <f>SUM(O14:O15)/O29</f>
        <v>0.25</v>
      </c>
    </row>
    <row r="46" spans="2:27" x14ac:dyDescent="0.3">
      <c r="I46" t="s">
        <v>64</v>
      </c>
      <c r="J46" s="32">
        <f>J16/J29</f>
        <v>0</v>
      </c>
      <c r="K46" s="32">
        <f>K16/K29</f>
        <v>0.13043478260869565</v>
      </c>
      <c r="L46" s="32">
        <f>L16/L29</f>
        <v>0</v>
      </c>
      <c r="N46" s="32">
        <f>N16/N29</f>
        <v>0</v>
      </c>
      <c r="O46" s="32">
        <f>O16/O29</f>
        <v>0</v>
      </c>
    </row>
    <row r="47" spans="2:27" x14ac:dyDescent="0.3">
      <c r="I47" t="s">
        <v>8</v>
      </c>
      <c r="J47" s="32">
        <f>SUM(J18:J22)/J29</f>
        <v>1</v>
      </c>
      <c r="K47" s="32">
        <f>SUM(K18:K22)/K29</f>
        <v>0.13043478260869565</v>
      </c>
      <c r="L47" s="32">
        <f>SUM(L18:L22)/L29</f>
        <v>6.6666666666666666E-2</v>
      </c>
      <c r="N47" s="32">
        <f>SUM(N18:N22)/N29</f>
        <v>1</v>
      </c>
      <c r="O47" s="32">
        <f>SUM(O18:O22)/O29</f>
        <v>0.2</v>
      </c>
    </row>
    <row r="49" spans="2:21" x14ac:dyDescent="0.3">
      <c r="J49" t="s">
        <v>0</v>
      </c>
    </row>
    <row r="50" spans="2:21" x14ac:dyDescent="0.3">
      <c r="K50" s="33">
        <f>SUM(K43:K49)</f>
        <v>1</v>
      </c>
      <c r="L50" s="33">
        <f>SUM(L43:L49)</f>
        <v>1</v>
      </c>
      <c r="O50" s="33">
        <f>SUM(O43:O49)</f>
        <v>0.85000000000000009</v>
      </c>
    </row>
    <row r="51" spans="2:21" x14ac:dyDescent="0.3">
      <c r="E51" t="s">
        <v>0</v>
      </c>
    </row>
    <row r="52" spans="2:21" x14ac:dyDescent="0.3">
      <c r="B52" t="s">
        <v>0</v>
      </c>
      <c r="C52" t="s">
        <v>0</v>
      </c>
      <c r="I52" t="s">
        <v>79</v>
      </c>
      <c r="K52" s="31">
        <v>641.66666666666674</v>
      </c>
      <c r="L52" s="31">
        <v>962.5</v>
      </c>
    </row>
    <row r="53" spans="2:21" x14ac:dyDescent="0.3">
      <c r="C53" t="s">
        <v>0</v>
      </c>
    </row>
    <row r="54" spans="2:21" x14ac:dyDescent="0.3">
      <c r="C54" t="s">
        <v>0</v>
      </c>
    </row>
    <row r="55" spans="2:21" x14ac:dyDescent="0.3">
      <c r="C55" t="s">
        <v>0</v>
      </c>
    </row>
    <row r="57" spans="2:21" x14ac:dyDescent="0.3">
      <c r="U57" s="31" t="e">
        <f>U31+#REF!</f>
        <v>#REF!</v>
      </c>
    </row>
    <row r="59" spans="2:21" x14ac:dyDescent="0.3">
      <c r="B59" s="19" t="s">
        <v>27</v>
      </c>
      <c r="C59" s="19">
        <v>18</v>
      </c>
      <c r="D59" s="19"/>
      <c r="E59" s="19"/>
      <c r="F59" s="19"/>
      <c r="G59" s="19"/>
      <c r="H59" s="19">
        <v>12</v>
      </c>
      <c r="I59" s="19"/>
      <c r="J59" s="19"/>
      <c r="K59" s="19">
        <v>2</v>
      </c>
      <c r="L59">
        <f>K59/$K$70</f>
        <v>9.5238095238095233E-2</v>
      </c>
      <c r="N59">
        <f>L59*300</f>
        <v>28.571428571428569</v>
      </c>
    </row>
    <row r="60" spans="2:21" x14ac:dyDescent="0.3">
      <c r="B60" s="19" t="s">
        <v>28</v>
      </c>
      <c r="C60" s="19">
        <v>5</v>
      </c>
      <c r="D60" s="19"/>
      <c r="E60" s="19"/>
      <c r="F60" s="19"/>
      <c r="G60" s="19" t="s">
        <v>0</v>
      </c>
      <c r="H60" s="19">
        <v>1</v>
      </c>
      <c r="I60" s="19" t="s">
        <v>0</v>
      </c>
      <c r="J60" s="19" t="s">
        <v>0</v>
      </c>
      <c r="K60" s="19">
        <v>3</v>
      </c>
      <c r="L60">
        <f>K60/$K$70</f>
        <v>0.14285714285714285</v>
      </c>
      <c r="N60">
        <f>L60*300</f>
        <v>42.857142857142854</v>
      </c>
    </row>
    <row r="61" spans="2:21" x14ac:dyDescent="0.3">
      <c r="B61" s="19" t="s">
        <v>29</v>
      </c>
      <c r="C61" s="19">
        <v>4</v>
      </c>
      <c r="D61" s="19"/>
      <c r="E61" s="19"/>
      <c r="F61" s="19"/>
      <c r="G61" s="19"/>
      <c r="H61" s="19">
        <v>1</v>
      </c>
      <c r="I61" s="19" t="s">
        <v>0</v>
      </c>
      <c r="J61" s="19"/>
      <c r="K61" s="19" t="s">
        <v>0</v>
      </c>
    </row>
    <row r="62" spans="2:21" x14ac:dyDescent="0.3">
      <c r="B62" s="19" t="s">
        <v>30</v>
      </c>
      <c r="C62" s="19">
        <v>5</v>
      </c>
      <c r="D62" s="19"/>
      <c r="E62" s="19"/>
      <c r="F62" s="19"/>
      <c r="G62" s="19"/>
      <c r="H62" s="19"/>
      <c r="I62" s="19" t="s">
        <v>0</v>
      </c>
      <c r="J62" s="19" t="s">
        <v>0</v>
      </c>
      <c r="K62" s="19">
        <v>3</v>
      </c>
      <c r="L62">
        <f>K62/$K$70</f>
        <v>0.14285714285714285</v>
      </c>
      <c r="N62">
        <f>L62*300</f>
        <v>42.857142857142854</v>
      </c>
    </row>
    <row r="63" spans="2:21" x14ac:dyDescent="0.3">
      <c r="B63" s="19" t="s">
        <v>31</v>
      </c>
      <c r="C63" s="19">
        <v>10</v>
      </c>
      <c r="D63" s="19"/>
      <c r="E63" s="19"/>
      <c r="F63" s="19"/>
      <c r="G63" s="19"/>
      <c r="H63" s="19"/>
      <c r="I63" s="19" t="s">
        <v>0</v>
      </c>
      <c r="J63" s="19"/>
      <c r="K63" s="19"/>
    </row>
    <row r="64" spans="2:21" x14ac:dyDescent="0.3">
      <c r="B64" s="19" t="s">
        <v>32</v>
      </c>
      <c r="C64" s="19">
        <v>8</v>
      </c>
      <c r="D64" s="19"/>
      <c r="E64" s="19"/>
      <c r="F64" s="19"/>
      <c r="G64" s="19"/>
      <c r="H64" s="19"/>
      <c r="I64" s="19" t="s">
        <v>0</v>
      </c>
      <c r="J64" s="19"/>
      <c r="K64" s="19">
        <v>4</v>
      </c>
      <c r="L64">
        <f>K64/$K$70</f>
        <v>0.19047619047619047</v>
      </c>
      <c r="N64">
        <f>L64*300</f>
        <v>57.142857142857139</v>
      </c>
    </row>
    <row r="65" spans="2:14" x14ac:dyDescent="0.3">
      <c r="B65" s="19" t="s">
        <v>33</v>
      </c>
      <c r="C65" s="19">
        <v>12</v>
      </c>
      <c r="D65" s="19" t="s">
        <v>67</v>
      </c>
      <c r="E65" s="19"/>
      <c r="F65" s="19"/>
      <c r="G65" s="19"/>
      <c r="H65" s="19"/>
      <c r="I65" s="19">
        <v>5</v>
      </c>
      <c r="J65" s="19"/>
      <c r="K65" s="19">
        <v>1</v>
      </c>
      <c r="L65">
        <f>K65/$K$70</f>
        <v>4.7619047619047616E-2</v>
      </c>
      <c r="N65">
        <f>L65*300</f>
        <v>14.285714285714285</v>
      </c>
    </row>
    <row r="66" spans="2:14" x14ac:dyDescent="0.3">
      <c r="B66" s="19" t="s">
        <v>34</v>
      </c>
      <c r="C66" s="19">
        <v>4</v>
      </c>
      <c r="D66" s="19"/>
      <c r="E66" s="19"/>
      <c r="F66" s="19"/>
      <c r="G66" s="19"/>
      <c r="H66" s="19"/>
      <c r="I66" s="19"/>
      <c r="J66" s="19"/>
      <c r="K66" s="19">
        <v>3</v>
      </c>
      <c r="L66">
        <f>K66/$K$70</f>
        <v>0.14285714285714285</v>
      </c>
      <c r="N66">
        <f>L66*300</f>
        <v>42.857142857142854</v>
      </c>
    </row>
    <row r="67" spans="2:14" x14ac:dyDescent="0.3">
      <c r="B67" s="19" t="s">
        <v>40</v>
      </c>
      <c r="C67" s="19">
        <v>6</v>
      </c>
      <c r="D67" s="19"/>
      <c r="E67" s="19"/>
      <c r="F67" s="19"/>
      <c r="G67" s="19"/>
      <c r="H67" s="19"/>
      <c r="I67" s="19"/>
      <c r="J67" s="19"/>
      <c r="K67" s="19">
        <v>2</v>
      </c>
      <c r="L67">
        <f>K67/$K$70</f>
        <v>9.5238095238095233E-2</v>
      </c>
      <c r="N67">
        <f>L67*300</f>
        <v>28.571428571428569</v>
      </c>
    </row>
    <row r="68" spans="2:14" x14ac:dyDescent="0.3">
      <c r="B68" s="23" t="s">
        <v>45</v>
      </c>
      <c r="C68" s="23">
        <v>14</v>
      </c>
      <c r="D68" s="19"/>
      <c r="E68" s="19"/>
      <c r="F68" s="19"/>
      <c r="G68" s="19" t="s">
        <v>0</v>
      </c>
      <c r="H68" s="19"/>
      <c r="I68" s="19"/>
      <c r="J68" s="19" t="s">
        <v>0</v>
      </c>
      <c r="K68" s="19">
        <v>3</v>
      </c>
      <c r="L68">
        <f>K68/$K$70</f>
        <v>0.14285714285714285</v>
      </c>
      <c r="N68">
        <f>L68*300</f>
        <v>42.857142857142854</v>
      </c>
    </row>
    <row r="70" spans="2:14" x14ac:dyDescent="0.3">
      <c r="K70">
        <f>SUM(K59:K68)</f>
        <v>21</v>
      </c>
    </row>
    <row r="73" spans="2:14" x14ac:dyDescent="0.3">
      <c r="B73" t="s">
        <v>86</v>
      </c>
      <c r="C73" t="s">
        <v>87</v>
      </c>
    </row>
    <row r="1048414" spans="19:19" x14ac:dyDescent="0.3">
      <c r="S1048414" t="s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5C785-3DB0-450C-A909-DE8FFA796FDD}">
  <dimension ref="A1:W1048384"/>
  <sheetViews>
    <sheetView zoomScale="79" workbookViewId="0">
      <selection activeCell="Y14" sqref="Y14"/>
    </sheetView>
  </sheetViews>
  <sheetFormatPr defaultRowHeight="14.4" x14ac:dyDescent="0.3"/>
  <cols>
    <col min="2" max="2" width="21.77734375" customWidth="1"/>
    <col min="3" max="3" width="16.44140625" customWidth="1"/>
    <col min="4" max="4" width="4.33203125" customWidth="1"/>
    <col min="5" max="5" width="14.5546875" customWidth="1"/>
    <col min="6" max="6" width="3.88671875" customWidth="1"/>
    <col min="7" max="7" width="10.77734375" customWidth="1"/>
    <col min="10" max="11" width="11" customWidth="1"/>
    <col min="12" max="12" width="3.5546875" customWidth="1"/>
    <col min="14" max="14" width="11.109375" customWidth="1"/>
    <col min="15" max="15" width="11.44140625" customWidth="1"/>
    <col min="17" max="17" width="10.21875" customWidth="1"/>
    <col min="19" max="19" width="2.88671875" customWidth="1"/>
    <col min="20" max="20" width="13.21875" customWidth="1"/>
    <col min="21" max="21" width="10.5546875" customWidth="1"/>
  </cols>
  <sheetData>
    <row r="1" spans="1:23" x14ac:dyDescent="0.3">
      <c r="F1" s="18"/>
      <c r="G1" s="14" t="s">
        <v>39</v>
      </c>
      <c r="H1" s="15"/>
      <c r="I1" s="15"/>
      <c r="J1" s="15"/>
      <c r="K1" s="29"/>
      <c r="L1" s="28"/>
      <c r="M1" s="30" t="s">
        <v>42</v>
      </c>
      <c r="N1" s="28"/>
    </row>
    <row r="2" spans="1:23" ht="15" thickBot="1" x14ac:dyDescent="0.35">
      <c r="G2" t="s">
        <v>0</v>
      </c>
      <c r="H2" t="s">
        <v>0</v>
      </c>
      <c r="I2" t="s">
        <v>0</v>
      </c>
      <c r="J2" t="s">
        <v>0</v>
      </c>
      <c r="L2" t="s">
        <v>0</v>
      </c>
      <c r="M2" t="s">
        <v>0</v>
      </c>
      <c r="N2" t="s">
        <v>0</v>
      </c>
      <c r="O2" t="s">
        <v>0</v>
      </c>
    </row>
    <row r="3" spans="1:23" x14ac:dyDescent="0.3">
      <c r="E3" s="6"/>
      <c r="F3" s="8" t="s">
        <v>0</v>
      </c>
      <c r="G3" s="8"/>
      <c r="H3" s="8" t="s">
        <v>12</v>
      </c>
      <c r="I3" s="8" t="s">
        <v>4</v>
      </c>
      <c r="J3" s="8" t="s">
        <v>37</v>
      </c>
      <c r="K3" s="8" t="s">
        <v>38</v>
      </c>
      <c r="L3" s="8" t="s">
        <v>0</v>
      </c>
      <c r="M3" s="8" t="s">
        <v>0</v>
      </c>
      <c r="N3" s="8" t="s">
        <v>165</v>
      </c>
      <c r="O3" s="8" t="s">
        <v>96</v>
      </c>
      <c r="P3" s="8" t="s">
        <v>164</v>
      </c>
      <c r="Q3" s="8" t="s">
        <v>0</v>
      </c>
      <c r="R3" s="8" t="s">
        <v>0</v>
      </c>
    </row>
    <row r="4" spans="1:23" x14ac:dyDescent="0.3">
      <c r="E4" s="7"/>
      <c r="F4" s="9"/>
      <c r="G4" s="10"/>
      <c r="H4" s="10"/>
      <c r="I4" s="10"/>
      <c r="J4" s="9" t="s">
        <v>0</v>
      </c>
      <c r="K4" s="9"/>
      <c r="L4" s="9"/>
      <c r="M4" s="9"/>
      <c r="N4" s="9"/>
      <c r="O4" s="9"/>
      <c r="P4" s="9"/>
      <c r="Q4" s="21"/>
      <c r="R4" s="11" t="s">
        <v>0</v>
      </c>
    </row>
    <row r="5" spans="1:23" x14ac:dyDescent="0.3">
      <c r="E5" s="5"/>
      <c r="F5" s="2"/>
      <c r="G5" s="1"/>
      <c r="H5" s="1"/>
      <c r="I5" s="1"/>
      <c r="J5" s="2" t="s">
        <v>0</v>
      </c>
      <c r="K5" s="2"/>
      <c r="L5" s="2"/>
      <c r="M5" s="13" t="s">
        <v>0</v>
      </c>
      <c r="N5" s="2"/>
      <c r="O5" s="2"/>
      <c r="P5" s="2"/>
      <c r="Q5" s="22"/>
      <c r="R5" s="12" t="s">
        <v>0</v>
      </c>
    </row>
    <row r="6" spans="1:23" x14ac:dyDescent="0.3">
      <c r="C6" t="s">
        <v>3</v>
      </c>
      <c r="E6" s="24"/>
      <c r="F6" s="25"/>
      <c r="G6" s="3" t="s">
        <v>0</v>
      </c>
      <c r="H6" s="3" t="s">
        <v>0</v>
      </c>
      <c r="I6" s="1" t="s">
        <v>0</v>
      </c>
      <c r="J6" s="25" t="s">
        <v>0</v>
      </c>
      <c r="K6" s="25"/>
      <c r="L6" s="25" t="s">
        <v>0</v>
      </c>
      <c r="M6" s="25" t="s">
        <v>0</v>
      </c>
      <c r="N6" s="25" t="s">
        <v>0</v>
      </c>
      <c r="O6" s="25" t="s">
        <v>0</v>
      </c>
      <c r="P6" s="25" t="s">
        <v>0</v>
      </c>
      <c r="Q6" s="26"/>
      <c r="R6" s="27" t="s">
        <v>0</v>
      </c>
      <c r="T6" s="3" t="s">
        <v>5</v>
      </c>
      <c r="U6" s="3" t="s">
        <v>6</v>
      </c>
    </row>
    <row r="7" spans="1:23" x14ac:dyDescent="0.3">
      <c r="A7" s="19"/>
      <c r="B7" s="19"/>
      <c r="C7" s="19"/>
      <c r="D7" s="19"/>
      <c r="E7" s="19"/>
      <c r="F7" s="19"/>
      <c r="G7" s="19"/>
      <c r="H7" s="19"/>
      <c r="I7" s="19"/>
      <c r="J7" s="19" t="s">
        <v>0</v>
      </c>
      <c r="K7" s="19" t="s">
        <v>0</v>
      </c>
      <c r="L7" s="19"/>
      <c r="M7" s="19"/>
      <c r="N7" s="19"/>
      <c r="O7" s="19"/>
      <c r="P7" s="19"/>
      <c r="Q7" s="19"/>
      <c r="R7" s="19"/>
      <c r="S7" s="19"/>
      <c r="T7" s="19" t="s">
        <v>0</v>
      </c>
      <c r="U7" s="19"/>
    </row>
    <row r="8" spans="1:23" x14ac:dyDescent="0.3">
      <c r="A8" s="19">
        <v>2021</v>
      </c>
      <c r="B8" t="s">
        <v>97</v>
      </c>
      <c r="C8" s="19">
        <v>10</v>
      </c>
      <c r="D8" s="19" t="s">
        <v>0</v>
      </c>
      <c r="E8" s="19"/>
      <c r="F8" s="19"/>
      <c r="G8" s="19" t="s">
        <v>0</v>
      </c>
      <c r="H8" s="35">
        <v>1</v>
      </c>
      <c r="I8" s="19">
        <v>0</v>
      </c>
      <c r="J8" s="35">
        <v>6</v>
      </c>
      <c r="K8" s="35">
        <v>2</v>
      </c>
      <c r="L8" s="19"/>
      <c r="M8" s="19"/>
      <c r="N8" s="19" t="s">
        <v>0</v>
      </c>
      <c r="O8" s="19" t="s">
        <v>0</v>
      </c>
      <c r="P8" s="35">
        <v>1</v>
      </c>
      <c r="Q8" s="19"/>
      <c r="R8" s="19"/>
      <c r="S8" s="19"/>
      <c r="T8" s="19">
        <f t="shared" ref="T8:T15" si="0">SUM(E8:R8)</f>
        <v>10</v>
      </c>
      <c r="U8" s="19">
        <f t="shared" ref="U8:U15" si="1">C8-T8</f>
        <v>0</v>
      </c>
      <c r="W8" t="s">
        <v>0</v>
      </c>
    </row>
    <row r="9" spans="1:23" x14ac:dyDescent="0.3">
      <c r="A9" s="19">
        <v>2021</v>
      </c>
      <c r="B9" s="19" t="s">
        <v>98</v>
      </c>
      <c r="C9" s="19">
        <v>10</v>
      </c>
      <c r="D9" s="19" t="s">
        <v>0</v>
      </c>
      <c r="E9" s="19"/>
      <c r="F9" s="19"/>
      <c r="G9" s="19"/>
      <c r="H9" s="19">
        <v>2</v>
      </c>
      <c r="I9" s="19">
        <v>2</v>
      </c>
      <c r="J9" s="19">
        <v>2</v>
      </c>
      <c r="K9" s="19">
        <v>1</v>
      </c>
      <c r="L9" s="19" t="s">
        <v>0</v>
      </c>
      <c r="M9" s="19"/>
      <c r="N9" s="19" t="s">
        <v>0</v>
      </c>
      <c r="O9" s="19" t="s">
        <v>0</v>
      </c>
      <c r="P9" s="19">
        <v>3</v>
      </c>
      <c r="Q9" s="19"/>
      <c r="R9" s="19"/>
      <c r="S9" s="19"/>
      <c r="T9" s="19">
        <f t="shared" si="0"/>
        <v>10</v>
      </c>
      <c r="U9" s="19">
        <f t="shared" si="1"/>
        <v>0</v>
      </c>
      <c r="W9" t="s">
        <v>0</v>
      </c>
    </row>
    <row r="10" spans="1:23" x14ac:dyDescent="0.3">
      <c r="A10" s="19">
        <v>2021</v>
      </c>
      <c r="B10" s="19" t="s">
        <v>99</v>
      </c>
      <c r="C10" s="19">
        <v>10</v>
      </c>
      <c r="D10" s="19" t="s">
        <v>0</v>
      </c>
      <c r="E10" s="19"/>
      <c r="F10" s="19"/>
      <c r="G10" s="19"/>
      <c r="H10" s="19">
        <v>0</v>
      </c>
      <c r="I10" s="35">
        <v>4</v>
      </c>
      <c r="J10" s="35">
        <v>1</v>
      </c>
      <c r="K10" s="35">
        <v>1</v>
      </c>
      <c r="L10" s="19"/>
      <c r="M10" s="19" t="s">
        <v>0</v>
      </c>
      <c r="N10" s="19" t="s">
        <v>0</v>
      </c>
      <c r="O10" s="19" t="s">
        <v>0</v>
      </c>
      <c r="P10" s="35">
        <v>4</v>
      </c>
      <c r="Q10" s="19" t="s">
        <v>0</v>
      </c>
      <c r="R10" s="19"/>
      <c r="S10" s="19"/>
      <c r="T10" s="19">
        <f t="shared" si="0"/>
        <v>10</v>
      </c>
      <c r="U10" s="19">
        <f t="shared" si="1"/>
        <v>0</v>
      </c>
    </row>
    <row r="11" spans="1:23" x14ac:dyDescent="0.3">
      <c r="A11" s="19">
        <v>2021</v>
      </c>
      <c r="B11" s="19" t="s">
        <v>100</v>
      </c>
      <c r="C11" s="19">
        <v>11</v>
      </c>
      <c r="D11" s="19" t="s">
        <v>0</v>
      </c>
      <c r="E11" s="19"/>
      <c r="F11" s="19"/>
      <c r="G11" s="19"/>
      <c r="H11" s="19">
        <v>0</v>
      </c>
      <c r="I11" s="19">
        <v>0</v>
      </c>
      <c r="J11" s="35">
        <v>5</v>
      </c>
      <c r="K11" s="35">
        <v>2</v>
      </c>
      <c r="L11" s="19"/>
      <c r="M11" s="19" t="s">
        <v>0</v>
      </c>
      <c r="N11" s="19" t="s">
        <v>0</v>
      </c>
      <c r="O11" s="19" t="s">
        <v>0</v>
      </c>
      <c r="P11" s="35">
        <v>4</v>
      </c>
      <c r="Q11" s="19" t="s">
        <v>0</v>
      </c>
      <c r="R11" s="19"/>
      <c r="S11" s="19"/>
      <c r="T11" s="19">
        <f t="shared" si="0"/>
        <v>11</v>
      </c>
      <c r="U11" s="19">
        <f t="shared" si="1"/>
        <v>0</v>
      </c>
    </row>
    <row r="12" spans="1:23" x14ac:dyDescent="0.3">
      <c r="A12" s="19">
        <v>2021</v>
      </c>
      <c r="B12" s="23" t="s">
        <v>101</v>
      </c>
      <c r="C12" s="23">
        <v>9</v>
      </c>
      <c r="D12" s="19" t="s">
        <v>0</v>
      </c>
      <c r="E12" s="19"/>
      <c r="F12" s="19"/>
      <c r="G12" s="19"/>
      <c r="H12" s="19">
        <v>0</v>
      </c>
      <c r="I12" s="19">
        <v>0</v>
      </c>
      <c r="J12" s="35">
        <v>1</v>
      </c>
      <c r="K12" s="35">
        <v>4</v>
      </c>
      <c r="L12" s="19"/>
      <c r="M12" s="19"/>
      <c r="N12" s="19" t="s">
        <v>0</v>
      </c>
      <c r="O12" s="19" t="s">
        <v>0</v>
      </c>
      <c r="P12" s="35">
        <v>4</v>
      </c>
      <c r="Q12" s="19"/>
      <c r="R12" s="19"/>
      <c r="S12" s="19"/>
      <c r="T12" s="19">
        <f t="shared" si="0"/>
        <v>9</v>
      </c>
      <c r="U12" s="19">
        <f t="shared" si="1"/>
        <v>0</v>
      </c>
      <c r="W12" t="s">
        <v>0</v>
      </c>
    </row>
    <row r="13" spans="1:23" x14ac:dyDescent="0.3">
      <c r="A13" s="19">
        <v>2020</v>
      </c>
      <c r="B13" s="19" t="s">
        <v>102</v>
      </c>
      <c r="C13" s="19">
        <v>9</v>
      </c>
      <c r="D13" s="19" t="s">
        <v>0</v>
      </c>
      <c r="E13" s="19" t="s">
        <v>140</v>
      </c>
      <c r="F13" s="19"/>
      <c r="G13" s="19"/>
      <c r="H13" s="35">
        <v>1</v>
      </c>
      <c r="I13" s="19">
        <v>0</v>
      </c>
      <c r="J13" s="35">
        <v>2</v>
      </c>
      <c r="K13" s="35">
        <v>3</v>
      </c>
      <c r="L13" s="19"/>
      <c r="M13" s="19"/>
      <c r="N13" s="19" t="s">
        <v>0</v>
      </c>
      <c r="O13" s="19" t="s">
        <v>0</v>
      </c>
      <c r="P13" s="35">
        <v>3</v>
      </c>
      <c r="Q13" s="19"/>
      <c r="R13" s="19"/>
      <c r="S13" s="19"/>
      <c r="T13" s="19">
        <f t="shared" si="0"/>
        <v>9</v>
      </c>
      <c r="U13" s="19">
        <f t="shared" si="1"/>
        <v>0</v>
      </c>
    </row>
    <row r="14" spans="1:23" x14ac:dyDescent="0.3">
      <c r="A14" s="19">
        <v>2021</v>
      </c>
      <c r="B14" s="19" t="s">
        <v>12</v>
      </c>
      <c r="C14" s="19">
        <v>16</v>
      </c>
      <c r="D14" s="19" t="s">
        <v>0</v>
      </c>
      <c r="E14" s="19"/>
      <c r="F14" s="19"/>
      <c r="G14" s="19"/>
      <c r="H14" s="35">
        <v>14</v>
      </c>
      <c r="I14" s="19">
        <v>0</v>
      </c>
      <c r="J14" s="19">
        <v>0</v>
      </c>
      <c r="K14" s="19">
        <v>1</v>
      </c>
      <c r="L14" s="19"/>
      <c r="M14" s="19" t="s">
        <v>0</v>
      </c>
      <c r="N14" s="19" t="s">
        <v>0</v>
      </c>
      <c r="O14" s="19" t="s">
        <v>0</v>
      </c>
      <c r="P14" s="19">
        <v>1</v>
      </c>
      <c r="Q14" s="19"/>
      <c r="R14" s="19"/>
      <c r="S14" s="19"/>
      <c r="T14" s="19">
        <f t="shared" si="0"/>
        <v>16</v>
      </c>
      <c r="U14" s="19">
        <f t="shared" si="1"/>
        <v>0</v>
      </c>
    </row>
    <row r="15" spans="1:23" x14ac:dyDescent="0.3">
      <c r="A15" s="23">
        <v>2021</v>
      </c>
      <c r="B15" s="19" t="s">
        <v>103</v>
      </c>
      <c r="C15" s="19">
        <v>8</v>
      </c>
      <c r="D15" s="19" t="s">
        <v>0</v>
      </c>
      <c r="E15" s="19" t="s">
        <v>140</v>
      </c>
      <c r="F15" s="19"/>
      <c r="G15" s="19"/>
      <c r="H15" s="19">
        <v>0</v>
      </c>
      <c r="I15" s="19">
        <v>0</v>
      </c>
      <c r="J15" s="19">
        <v>0</v>
      </c>
      <c r="K15" s="19">
        <v>0</v>
      </c>
      <c r="L15" s="19"/>
      <c r="M15" s="19"/>
      <c r="N15" s="19">
        <v>6</v>
      </c>
      <c r="O15" s="19" t="s">
        <v>0</v>
      </c>
      <c r="P15" s="19">
        <v>2</v>
      </c>
      <c r="Q15" s="19"/>
      <c r="R15" s="19" t="s">
        <v>0</v>
      </c>
      <c r="S15" s="19"/>
      <c r="T15" s="19">
        <f t="shared" si="0"/>
        <v>8</v>
      </c>
      <c r="U15" s="19">
        <f t="shared" si="1"/>
        <v>0</v>
      </c>
    </row>
    <row r="16" spans="1:23" x14ac:dyDescent="0.3">
      <c r="A16" s="23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</row>
    <row r="17" spans="1:23" x14ac:dyDescent="0.3">
      <c r="A17" s="23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</row>
    <row r="18" spans="1:23" x14ac:dyDescent="0.3">
      <c r="A18" s="19">
        <v>2021</v>
      </c>
      <c r="B18" s="19" t="s">
        <v>96</v>
      </c>
      <c r="C18" s="19">
        <v>5.5</v>
      </c>
      <c r="D18" s="19" t="s">
        <v>0</v>
      </c>
      <c r="E18" s="19"/>
      <c r="F18" s="19"/>
      <c r="G18" s="19"/>
      <c r="H18" s="19" t="s">
        <v>0</v>
      </c>
      <c r="I18" s="19"/>
      <c r="J18" s="19"/>
      <c r="K18" s="19" t="s">
        <v>0</v>
      </c>
      <c r="L18" s="19"/>
      <c r="M18" s="19"/>
      <c r="N18" s="19"/>
      <c r="O18" s="19">
        <v>5.5</v>
      </c>
      <c r="P18" s="19"/>
      <c r="Q18" s="19"/>
      <c r="R18" s="19"/>
      <c r="S18" s="19"/>
      <c r="T18" s="19">
        <f t="shared" ref="T18" si="2">SUM(E18:R18)</f>
        <v>5.5</v>
      </c>
      <c r="U18" s="19">
        <f t="shared" ref="U18" si="3">C18-T18</f>
        <v>0</v>
      </c>
    </row>
    <row r="19" spans="1:23" x14ac:dyDescent="0.3">
      <c r="C19" s="23" t="s">
        <v>0</v>
      </c>
    </row>
    <row r="20" spans="1:23" x14ac:dyDescent="0.3">
      <c r="C20" s="4">
        <f>SUM(C8:C18)</f>
        <v>88.5</v>
      </c>
      <c r="G20" t="s">
        <v>0</v>
      </c>
      <c r="H20">
        <f>SUM(H8:H18)</f>
        <v>18</v>
      </c>
      <c r="I20">
        <f>SUM(I8:I18)</f>
        <v>6</v>
      </c>
      <c r="J20">
        <f>SUM(J8:J18)</f>
        <v>17</v>
      </c>
      <c r="K20">
        <f>SUM(K8:K18)</f>
        <v>14</v>
      </c>
      <c r="L20" t="s">
        <v>0</v>
      </c>
      <c r="M20" t="s">
        <v>0</v>
      </c>
      <c r="N20">
        <f>SUM(N8:N18)</f>
        <v>6</v>
      </c>
      <c r="O20">
        <f>SUM(O8:O18)</f>
        <v>5.5</v>
      </c>
      <c r="P20">
        <f>SUM(P8:P18)</f>
        <v>22</v>
      </c>
      <c r="Q20">
        <f>SUM(Q8:Q18)</f>
        <v>0</v>
      </c>
      <c r="R20">
        <f>SUM(R8:R18)</f>
        <v>0</v>
      </c>
      <c r="T20">
        <f>SUM(T8:T19)</f>
        <v>88.5</v>
      </c>
      <c r="U20">
        <f>SUM(U8:U19)</f>
        <v>0</v>
      </c>
    </row>
    <row r="21" spans="1:23" x14ac:dyDescent="0.3">
      <c r="M21" t="s">
        <v>0</v>
      </c>
    </row>
    <row r="22" spans="1:23" x14ac:dyDescent="0.3">
      <c r="E22" t="s">
        <v>35</v>
      </c>
      <c r="G22" t="s">
        <v>0</v>
      </c>
      <c r="H22" s="31">
        <f>H20*60/2.4</f>
        <v>450</v>
      </c>
      <c r="I22" s="31">
        <f>I20*60/2.4</f>
        <v>150</v>
      </c>
      <c r="J22" s="31">
        <f>J20*60/2.4</f>
        <v>425</v>
      </c>
      <c r="K22" s="31">
        <f>K20*60/2.4</f>
        <v>350</v>
      </c>
      <c r="L22" s="31" t="s">
        <v>0</v>
      </c>
      <c r="M22" s="31" t="s">
        <v>0</v>
      </c>
      <c r="N22" s="31">
        <f>N20*60/2.4</f>
        <v>150</v>
      </c>
      <c r="O22" s="31">
        <f t="shared" ref="O22:R22" si="4">O20*60/2.4</f>
        <v>137.5</v>
      </c>
      <c r="P22" s="31">
        <f t="shared" si="4"/>
        <v>550</v>
      </c>
      <c r="Q22" s="31">
        <f t="shared" si="4"/>
        <v>0</v>
      </c>
      <c r="R22" s="31">
        <f t="shared" si="4"/>
        <v>0</v>
      </c>
      <c r="S22" s="31"/>
      <c r="T22" s="31">
        <f>SUM(H22:R22)</f>
        <v>2212.5</v>
      </c>
      <c r="W22" s="31">
        <f>T22-N22</f>
        <v>2062.5</v>
      </c>
    </row>
    <row r="23" spans="1:23" x14ac:dyDescent="0.3">
      <c r="A23" t="s">
        <v>0</v>
      </c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</row>
    <row r="24" spans="1:23" x14ac:dyDescent="0.3">
      <c r="A24">
        <v>14</v>
      </c>
      <c r="E24" t="s">
        <v>36</v>
      </c>
      <c r="G24" t="s">
        <v>0</v>
      </c>
      <c r="H24" s="31">
        <v>450</v>
      </c>
      <c r="I24" s="31">
        <v>138</v>
      </c>
      <c r="J24" s="31">
        <v>300</v>
      </c>
      <c r="K24" s="31">
        <v>350</v>
      </c>
      <c r="L24" s="31"/>
      <c r="M24" s="31"/>
      <c r="N24" s="31">
        <v>150</v>
      </c>
      <c r="O24" s="31">
        <v>138</v>
      </c>
      <c r="P24" s="31">
        <v>600</v>
      </c>
      <c r="Q24" s="31"/>
      <c r="R24" s="31" t="s">
        <v>0</v>
      </c>
      <c r="S24" s="31"/>
      <c r="T24" s="31">
        <f>SUM(H24:R24)</f>
        <v>2126</v>
      </c>
    </row>
    <row r="25" spans="1:23" x14ac:dyDescent="0.3">
      <c r="J25" t="s">
        <v>0</v>
      </c>
      <c r="T25" s="31" t="s">
        <v>0</v>
      </c>
    </row>
    <row r="26" spans="1:23" x14ac:dyDescent="0.3">
      <c r="E26" t="s">
        <v>53</v>
      </c>
      <c r="H26">
        <f>H22*2.38</f>
        <v>1071</v>
      </c>
      <c r="I26">
        <f>I22*2.38</f>
        <v>357</v>
      </c>
      <c r="J26">
        <f>J22*2.38</f>
        <v>1011.5</v>
      </c>
      <c r="K26">
        <f>K22*2.38</f>
        <v>833</v>
      </c>
      <c r="N26">
        <f>N22*2.38</f>
        <v>357</v>
      </c>
      <c r="O26">
        <f>O22*2.38</f>
        <v>327.25</v>
      </c>
      <c r="P26">
        <f>P22*2.38</f>
        <v>1309</v>
      </c>
    </row>
    <row r="27" spans="1:23" x14ac:dyDescent="0.3">
      <c r="O27" t="s">
        <v>0</v>
      </c>
    </row>
    <row r="28" spans="1:23" x14ac:dyDescent="0.3">
      <c r="B28" t="s">
        <v>0</v>
      </c>
      <c r="C28" t="s">
        <v>0</v>
      </c>
      <c r="E28" t="s">
        <v>85</v>
      </c>
      <c r="K28" t="s">
        <v>0</v>
      </c>
      <c r="O28">
        <f>275+275+330</f>
        <v>880</v>
      </c>
    </row>
    <row r="29" spans="1:23" x14ac:dyDescent="0.3">
      <c r="N29" t="s">
        <v>0</v>
      </c>
    </row>
    <row r="30" spans="1:23" x14ac:dyDescent="0.3">
      <c r="K30" t="s">
        <v>0</v>
      </c>
    </row>
    <row r="32" spans="1:23" x14ac:dyDescent="0.3">
      <c r="E32" t="s">
        <v>166</v>
      </c>
      <c r="T32" t="s">
        <v>0</v>
      </c>
    </row>
    <row r="33" spans="1:16" x14ac:dyDescent="0.3">
      <c r="C33" t="s">
        <v>0</v>
      </c>
    </row>
    <row r="34" spans="1:16" x14ac:dyDescent="0.3">
      <c r="E34">
        <f>23*25</f>
        <v>575</v>
      </c>
      <c r="G34" t="s">
        <v>0</v>
      </c>
    </row>
    <row r="40" spans="1:16" x14ac:dyDescent="0.3">
      <c r="D40" s="40"/>
      <c r="E40" s="40"/>
      <c r="F40" s="40"/>
      <c r="G40" s="40"/>
      <c r="H40" s="41"/>
      <c r="I40" s="41"/>
      <c r="J40" s="41"/>
      <c r="K40" s="41"/>
      <c r="N40" s="41"/>
      <c r="P40" s="41"/>
    </row>
    <row r="41" spans="1:16" x14ac:dyDescent="0.3">
      <c r="A41" t="s">
        <v>0</v>
      </c>
      <c r="D41" s="40"/>
      <c r="E41" s="40" t="s">
        <v>96</v>
      </c>
      <c r="F41" s="40"/>
      <c r="G41" s="40"/>
      <c r="H41" s="41">
        <f>H8/H$20</f>
        <v>5.5555555555555552E-2</v>
      </c>
      <c r="I41" s="41">
        <f>I8/I$20</f>
        <v>0</v>
      </c>
      <c r="J41" s="41">
        <f>J8/J$20</f>
        <v>0.35294117647058826</v>
      </c>
      <c r="K41" s="41">
        <f>K8/K$20</f>
        <v>0.14285714285714285</v>
      </c>
      <c r="N41" s="41" t="s">
        <v>0</v>
      </c>
      <c r="P41" s="41">
        <f>P8/P$20</f>
        <v>4.5454545454545456E-2</v>
      </c>
    </row>
    <row r="42" spans="1:16" x14ac:dyDescent="0.3">
      <c r="A42" t="s">
        <v>0</v>
      </c>
      <c r="D42" s="40"/>
      <c r="E42" s="40" t="s">
        <v>4</v>
      </c>
      <c r="F42" s="40"/>
      <c r="G42" s="40"/>
      <c r="H42" s="41">
        <f>((H9+H10))/H$20</f>
        <v>0.1111111111111111</v>
      </c>
      <c r="I42" s="41">
        <f>((I9+I10))/I$20</f>
        <v>1</v>
      </c>
      <c r="J42" s="41">
        <f>((J9+J10))/J$20</f>
        <v>0.17647058823529413</v>
      </c>
      <c r="K42" s="41">
        <f>((K9+K10))/K$20</f>
        <v>0.14285714285714285</v>
      </c>
      <c r="N42" s="41" t="s">
        <v>0</v>
      </c>
      <c r="P42" s="41">
        <f>((P9+P10))/P$20</f>
        <v>0.31818181818181818</v>
      </c>
    </row>
    <row r="43" spans="1:16" x14ac:dyDescent="0.3">
      <c r="A43" t="s">
        <v>0</v>
      </c>
      <c r="B43" s="41" t="s">
        <v>0</v>
      </c>
      <c r="D43" s="40"/>
      <c r="E43" s="40" t="s">
        <v>1</v>
      </c>
      <c r="F43" s="40"/>
      <c r="G43" s="40"/>
      <c r="H43" s="41">
        <f>((H11+H12))/H$20</f>
        <v>0</v>
      </c>
      <c r="I43" s="41">
        <f>((I11+I12))/I$20</f>
        <v>0</v>
      </c>
      <c r="J43" s="41">
        <f>((J11+J12))/J$20</f>
        <v>0.35294117647058826</v>
      </c>
      <c r="K43" s="41">
        <f>((K11+K12))/K$20</f>
        <v>0.42857142857142855</v>
      </c>
      <c r="N43" s="41" t="s">
        <v>0</v>
      </c>
      <c r="P43" s="41">
        <f>((P11+P12))/P$20</f>
        <v>0.36363636363636365</v>
      </c>
    </row>
    <row r="44" spans="1:16" x14ac:dyDescent="0.3">
      <c r="A44" t="s">
        <v>0</v>
      </c>
      <c r="D44" s="40"/>
      <c r="E44" s="40" t="s">
        <v>8</v>
      </c>
      <c r="F44" s="41"/>
      <c r="G44" s="40"/>
      <c r="H44" s="41">
        <f t="shared" ref="H44:K46" si="5">H13/H$20</f>
        <v>5.5555555555555552E-2</v>
      </c>
      <c r="I44" s="41">
        <f t="shared" si="5"/>
        <v>0</v>
      </c>
      <c r="J44" s="41">
        <f t="shared" si="5"/>
        <v>0.11764705882352941</v>
      </c>
      <c r="K44" s="41">
        <f t="shared" si="5"/>
        <v>0.21428571428571427</v>
      </c>
      <c r="N44" s="41" t="s">
        <v>0</v>
      </c>
      <c r="P44" s="41">
        <f>P13/P$20</f>
        <v>0.13636363636363635</v>
      </c>
    </row>
    <row r="45" spans="1:16" x14ac:dyDescent="0.3">
      <c r="A45" t="s">
        <v>0</v>
      </c>
      <c r="D45" s="40"/>
      <c r="E45" s="40" t="s">
        <v>12</v>
      </c>
      <c r="F45" s="41"/>
      <c r="G45" s="40"/>
      <c r="H45" s="41">
        <f t="shared" si="5"/>
        <v>0.77777777777777779</v>
      </c>
      <c r="I45" s="41">
        <f t="shared" si="5"/>
        <v>0</v>
      </c>
      <c r="J45" s="41">
        <f t="shared" si="5"/>
        <v>0</v>
      </c>
      <c r="K45" s="41">
        <f t="shared" si="5"/>
        <v>7.1428571428571425E-2</v>
      </c>
      <c r="N45" s="41" t="s">
        <v>0</v>
      </c>
      <c r="P45" s="41">
        <f>P14/P$20</f>
        <v>4.5454545454545456E-2</v>
      </c>
    </row>
    <row r="46" spans="1:16" x14ac:dyDescent="0.3">
      <c r="E46" s="40" t="s">
        <v>104</v>
      </c>
      <c r="H46" s="40">
        <f t="shared" si="5"/>
        <v>0</v>
      </c>
      <c r="I46" s="40">
        <f t="shared" si="5"/>
        <v>0</v>
      </c>
      <c r="J46" s="40">
        <f t="shared" si="5"/>
        <v>0</v>
      </c>
      <c r="K46" s="40">
        <f t="shared" si="5"/>
        <v>0</v>
      </c>
      <c r="N46" s="32">
        <f>N15/N$20</f>
        <v>1</v>
      </c>
      <c r="P46" s="40">
        <f>P15/P$20</f>
        <v>9.0909090909090912E-2</v>
      </c>
    </row>
    <row r="47" spans="1:16" x14ac:dyDescent="0.3">
      <c r="E47" s="40"/>
    </row>
    <row r="48" spans="1:16" x14ac:dyDescent="0.3">
      <c r="D48" s="33"/>
      <c r="E48" s="33"/>
      <c r="F48" s="33"/>
      <c r="G48" s="33"/>
      <c r="H48" s="33">
        <f>SUM(H41:H46)</f>
        <v>1</v>
      </c>
      <c r="I48" s="33">
        <f t="shared" ref="I48:K48" si="6">SUM(I41:I46)</f>
        <v>1</v>
      </c>
      <c r="J48" s="33">
        <f t="shared" si="6"/>
        <v>1</v>
      </c>
      <c r="K48" s="33">
        <f t="shared" si="6"/>
        <v>0.99999999999999989</v>
      </c>
      <c r="P48" s="33">
        <f>SUM(P41:P46)</f>
        <v>1</v>
      </c>
    </row>
    <row r="52" spans="7:17" x14ac:dyDescent="0.3">
      <c r="G52">
        <f>4/12</f>
        <v>0.33333333333333331</v>
      </c>
    </row>
    <row r="53" spans="7:17" x14ac:dyDescent="0.3">
      <c r="G53">
        <f>8/12</f>
        <v>0.66666666666666663</v>
      </c>
      <c r="N53">
        <v>27</v>
      </c>
      <c r="O53">
        <v>70</v>
      </c>
      <c r="P53">
        <f>N53*O53</f>
        <v>1890</v>
      </c>
      <c r="Q53">
        <f>P53/330</f>
        <v>5.7272727272727275</v>
      </c>
    </row>
    <row r="1048384" spans="18:18" x14ac:dyDescent="0.3">
      <c r="R1048384" t="s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38"/>
  <sheetViews>
    <sheetView topLeftCell="AE4" zoomScale="98" zoomScaleNormal="98" workbookViewId="0">
      <pane xSplit="10704" topLeftCell="Z1"/>
      <selection activeCell="AO27" sqref="AO27"/>
      <selection pane="topRight" activeCell="A19" sqref="A19"/>
    </sheetView>
  </sheetViews>
  <sheetFormatPr defaultRowHeight="14.4" x14ac:dyDescent="0.3"/>
  <cols>
    <col min="2" max="2" width="22.5546875" customWidth="1"/>
    <col min="3" max="3" width="16.44140625" customWidth="1"/>
    <col min="4" max="4" width="3" customWidth="1"/>
    <col min="7" max="7" width="9.5546875" customWidth="1"/>
    <col min="11" max="13" width="11.109375" customWidth="1"/>
    <col min="15" max="15" width="11.6640625" customWidth="1"/>
    <col min="16" max="16" width="10.21875" customWidth="1"/>
    <col min="17" max="23" width="10.77734375" customWidth="1"/>
    <col min="24" max="24" width="10.44140625" customWidth="1"/>
    <col min="26" max="26" width="3.88671875" customWidth="1"/>
    <col min="27" max="27" width="10.77734375" customWidth="1"/>
    <col min="30" max="30" width="11.33203125" customWidth="1"/>
    <col min="32" max="32" width="3.5546875" customWidth="1"/>
    <col min="36" max="36" width="10.33203125" customWidth="1"/>
    <col min="37" max="37" width="10.21875" customWidth="1"/>
    <col min="39" max="39" width="2.88671875" customWidth="1"/>
    <col min="40" max="40" width="13.21875" customWidth="1"/>
    <col min="41" max="41" width="12.6640625" customWidth="1"/>
  </cols>
  <sheetData>
    <row r="1" spans="1:44" x14ac:dyDescent="0.3">
      <c r="A1" s="19">
        <v>2021</v>
      </c>
    </row>
    <row r="2" spans="1:44" ht="28.8" x14ac:dyDescent="0.3">
      <c r="C2" t="s">
        <v>0</v>
      </c>
      <c r="E2" s="37" t="s">
        <v>123</v>
      </c>
      <c r="F2" s="20" t="s">
        <v>13</v>
      </c>
      <c r="G2" s="20" t="s">
        <v>13</v>
      </c>
      <c r="H2" s="20" t="s">
        <v>107</v>
      </c>
      <c r="I2" s="20" t="s">
        <v>107</v>
      </c>
      <c r="J2" s="20" t="s">
        <v>17</v>
      </c>
      <c r="K2" s="20" t="s">
        <v>17</v>
      </c>
      <c r="L2" s="20" t="s">
        <v>131</v>
      </c>
      <c r="M2" s="20" t="s">
        <v>132</v>
      </c>
      <c r="N2" s="37" t="s">
        <v>114</v>
      </c>
      <c r="O2" s="37" t="s">
        <v>111</v>
      </c>
      <c r="P2" s="37" t="s">
        <v>112</v>
      </c>
      <c r="Q2" s="37" t="s">
        <v>115</v>
      </c>
      <c r="R2" s="37" t="s">
        <v>116</v>
      </c>
      <c r="S2" s="37" t="s">
        <v>122</v>
      </c>
      <c r="T2" s="37" t="s">
        <v>124</v>
      </c>
      <c r="U2" s="37" t="s">
        <v>136</v>
      </c>
      <c r="V2" s="37" t="s">
        <v>129</v>
      </c>
      <c r="W2" s="37" t="s">
        <v>129</v>
      </c>
      <c r="X2" s="37" t="s">
        <v>129</v>
      </c>
      <c r="Y2" s="37" t="s">
        <v>39</v>
      </c>
      <c r="Z2" s="18"/>
      <c r="AA2" s="38" t="s">
        <v>2</v>
      </c>
      <c r="AB2" s="39"/>
      <c r="AC2" s="39"/>
      <c r="AD2" s="39"/>
      <c r="AE2" s="39"/>
      <c r="AF2" s="16"/>
      <c r="AG2" s="16"/>
      <c r="AH2" s="17"/>
      <c r="AK2" s="36"/>
      <c r="AL2" s="36"/>
    </row>
    <row r="3" spans="1:44" ht="15" thickBot="1" x14ac:dyDescent="0.35">
      <c r="C3" t="s">
        <v>0</v>
      </c>
      <c r="F3" t="s">
        <v>0</v>
      </c>
      <c r="I3" t="s">
        <v>0</v>
      </c>
      <c r="O3" s="44" t="s">
        <v>110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</row>
    <row r="4" spans="1:44" ht="29.4" thickBot="1" x14ac:dyDescent="0.35">
      <c r="E4" s="45" t="s">
        <v>121</v>
      </c>
      <c r="F4" s="8" t="s">
        <v>84</v>
      </c>
      <c r="G4" s="43" t="s">
        <v>109</v>
      </c>
      <c r="H4" s="8" t="s">
        <v>84</v>
      </c>
      <c r="I4" s="8" t="s">
        <v>11</v>
      </c>
      <c r="J4" s="8" t="s">
        <v>11</v>
      </c>
      <c r="K4" s="8" t="s">
        <v>91</v>
      </c>
      <c r="L4" s="8" t="s">
        <v>11</v>
      </c>
      <c r="M4" s="8" t="s">
        <v>133</v>
      </c>
      <c r="N4" s="8" t="s">
        <v>11</v>
      </c>
      <c r="O4" s="43" t="s">
        <v>109</v>
      </c>
      <c r="P4" s="43" t="s">
        <v>109</v>
      </c>
      <c r="Q4" s="8" t="s">
        <v>96</v>
      </c>
      <c r="R4" s="8" t="s">
        <v>96</v>
      </c>
      <c r="S4" s="8" t="s">
        <v>121</v>
      </c>
      <c r="T4" s="8" t="s">
        <v>121</v>
      </c>
      <c r="U4" s="8" t="s">
        <v>121</v>
      </c>
      <c r="V4" s="8" t="s">
        <v>9</v>
      </c>
      <c r="W4" s="8" t="s">
        <v>8</v>
      </c>
      <c r="X4" s="8" t="s">
        <v>121</v>
      </c>
      <c r="Y4" s="8" t="s">
        <v>9</v>
      </c>
      <c r="Z4" s="8" t="s">
        <v>0</v>
      </c>
      <c r="AA4" s="8" t="s">
        <v>137</v>
      </c>
      <c r="AB4" s="8" t="s">
        <v>4</v>
      </c>
      <c r="AC4" s="8" t="s">
        <v>8</v>
      </c>
      <c r="AD4" s="8" t="s">
        <v>1</v>
      </c>
      <c r="AE4" s="8" t="s">
        <v>10</v>
      </c>
      <c r="AF4" s="8" t="s">
        <v>0</v>
      </c>
      <c r="AG4" s="8" t="s">
        <v>84</v>
      </c>
      <c r="AH4" s="8" t="s">
        <v>7</v>
      </c>
      <c r="AI4" s="8" t="s">
        <v>12</v>
      </c>
      <c r="AJ4" s="8" t="s">
        <v>46</v>
      </c>
      <c r="AK4" s="8" t="s">
        <v>18</v>
      </c>
      <c r="AL4" s="8" t="s">
        <v>20</v>
      </c>
    </row>
    <row r="5" spans="1:44" x14ac:dyDescent="0.3">
      <c r="E5" s="34" t="s">
        <v>135</v>
      </c>
      <c r="F5" s="34" t="s">
        <v>135</v>
      </c>
      <c r="G5" s="9"/>
      <c r="H5" s="34" t="s">
        <v>135</v>
      </c>
      <c r="I5" s="34" t="s">
        <v>134</v>
      </c>
      <c r="J5" s="47" t="s">
        <v>0</v>
      </c>
      <c r="K5" s="47" t="s">
        <v>134</v>
      </c>
      <c r="L5" s="34" t="s">
        <v>135</v>
      </c>
      <c r="M5" s="47" t="s">
        <v>134</v>
      </c>
      <c r="N5" s="34" t="s">
        <v>135</v>
      </c>
      <c r="O5" s="34" t="s">
        <v>135</v>
      </c>
      <c r="P5" s="34" t="s">
        <v>135</v>
      </c>
      <c r="Q5" s="47" t="s">
        <v>134</v>
      </c>
      <c r="R5" s="47" t="s">
        <v>134</v>
      </c>
      <c r="S5" s="34" t="s">
        <v>135</v>
      </c>
      <c r="T5" s="34" t="s">
        <v>135</v>
      </c>
      <c r="U5" s="34" t="s">
        <v>135</v>
      </c>
      <c r="V5" s="9"/>
      <c r="W5" s="9"/>
      <c r="X5" s="9"/>
      <c r="Y5" s="9"/>
      <c r="Z5" s="9"/>
      <c r="AA5" s="10"/>
      <c r="AB5" s="10"/>
      <c r="AC5" s="10"/>
      <c r="AD5" s="10"/>
      <c r="AE5" s="9" t="s">
        <v>0</v>
      </c>
      <c r="AF5" s="9"/>
      <c r="AG5" s="9"/>
      <c r="AH5" s="9"/>
      <c r="AI5" s="9"/>
      <c r="AJ5" s="21"/>
      <c r="AK5" s="21"/>
      <c r="AL5" s="11" t="s">
        <v>0</v>
      </c>
    </row>
    <row r="6" spans="1:44" x14ac:dyDescent="0.3">
      <c r="E6" s="5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1"/>
      <c r="AB6" s="1"/>
      <c r="AC6" s="1"/>
      <c r="AD6" s="1"/>
      <c r="AE6" s="2" t="s">
        <v>0</v>
      </c>
      <c r="AF6" s="2"/>
      <c r="AG6" s="13" t="s">
        <v>0</v>
      </c>
      <c r="AH6" s="2"/>
      <c r="AI6" s="2"/>
      <c r="AJ6" s="22"/>
      <c r="AK6" s="22"/>
      <c r="AL6" s="12" t="s">
        <v>0</v>
      </c>
    </row>
    <row r="7" spans="1:44" x14ac:dyDescent="0.3">
      <c r="C7" t="s">
        <v>3</v>
      </c>
      <c r="E7" s="24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3" t="s">
        <v>0</v>
      </c>
      <c r="AB7" s="3" t="s">
        <v>0</v>
      </c>
      <c r="AC7" s="1" t="s">
        <v>0</v>
      </c>
      <c r="AD7" s="1" t="s">
        <v>0</v>
      </c>
      <c r="AE7" s="25" t="s">
        <v>0</v>
      </c>
      <c r="AF7" s="25" t="s">
        <v>0</v>
      </c>
      <c r="AG7" s="25" t="s">
        <v>0</v>
      </c>
      <c r="AH7" s="25" t="s">
        <v>0</v>
      </c>
      <c r="AI7" s="25" t="s">
        <v>0</v>
      </c>
      <c r="AJ7" s="26"/>
      <c r="AK7" s="26"/>
      <c r="AL7" s="27" t="s">
        <v>0</v>
      </c>
      <c r="AN7" s="3" t="s">
        <v>5</v>
      </c>
      <c r="AO7" s="3" t="s">
        <v>6</v>
      </c>
    </row>
    <row r="8" spans="1:44" x14ac:dyDescent="0.3">
      <c r="A8" s="19">
        <v>2021</v>
      </c>
      <c r="B8" s="19" t="s">
        <v>106</v>
      </c>
      <c r="C8" s="46">
        <v>3</v>
      </c>
      <c r="D8" s="19"/>
      <c r="E8" s="19"/>
      <c r="F8" s="19"/>
      <c r="G8" s="19"/>
      <c r="H8" s="19" t="s">
        <v>0</v>
      </c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 t="s">
        <v>0</v>
      </c>
      <c r="AB8" s="19"/>
      <c r="AC8" s="19"/>
      <c r="AD8" s="19"/>
      <c r="AE8" s="19" t="s">
        <v>0</v>
      </c>
      <c r="AF8" s="19"/>
      <c r="AG8" s="19"/>
      <c r="AH8" s="19"/>
      <c r="AI8" s="19"/>
      <c r="AJ8" s="19"/>
      <c r="AK8" s="19"/>
      <c r="AL8" s="19">
        <v>3</v>
      </c>
      <c r="AM8" s="19"/>
      <c r="AN8" s="19">
        <f t="shared" ref="AN8:AN23" si="0">SUM(E8:AL8)</f>
        <v>3</v>
      </c>
      <c r="AO8" s="19">
        <f t="shared" ref="AO8:AO23" si="1">C8-AN8</f>
        <v>0</v>
      </c>
    </row>
    <row r="9" spans="1:44" x14ac:dyDescent="0.3">
      <c r="A9" s="19">
        <v>2021</v>
      </c>
      <c r="B9" s="19" t="s">
        <v>16</v>
      </c>
      <c r="C9" s="46">
        <v>4</v>
      </c>
      <c r="D9" s="19"/>
      <c r="E9" s="19" t="s">
        <v>0</v>
      </c>
      <c r="F9" s="19">
        <v>1</v>
      </c>
      <c r="G9" s="19"/>
      <c r="H9" s="19">
        <v>1</v>
      </c>
      <c r="I9" s="19"/>
      <c r="J9" s="19"/>
      <c r="K9" s="19"/>
      <c r="L9" s="19"/>
      <c r="M9" s="19"/>
      <c r="N9" s="19"/>
      <c r="O9" s="19"/>
      <c r="P9" s="19" t="s">
        <v>0</v>
      </c>
      <c r="Q9" s="19" t="s">
        <v>0</v>
      </c>
      <c r="R9" s="19"/>
      <c r="S9" s="19"/>
      <c r="T9" s="19"/>
      <c r="U9" s="19"/>
      <c r="V9" s="19"/>
      <c r="W9" s="19"/>
      <c r="X9" s="19" t="s">
        <v>0</v>
      </c>
      <c r="Y9" s="19"/>
      <c r="Z9" s="19"/>
      <c r="AA9" s="19" t="s">
        <v>0</v>
      </c>
      <c r="AB9" s="19"/>
      <c r="AC9" s="19"/>
      <c r="AD9" s="19"/>
      <c r="AE9" s="19" t="s">
        <v>0</v>
      </c>
      <c r="AF9" s="19"/>
      <c r="AG9" s="19">
        <v>2</v>
      </c>
      <c r="AH9" s="19"/>
      <c r="AI9" s="19"/>
      <c r="AJ9" s="19"/>
      <c r="AK9" s="19"/>
      <c r="AL9" s="19"/>
      <c r="AM9" s="19"/>
      <c r="AN9" s="19">
        <f t="shared" si="0"/>
        <v>4</v>
      </c>
      <c r="AO9" s="19">
        <f t="shared" si="1"/>
        <v>0</v>
      </c>
    </row>
    <row r="10" spans="1:44" x14ac:dyDescent="0.3">
      <c r="A10" s="19">
        <v>2021</v>
      </c>
      <c r="B10" s="19" t="s">
        <v>95</v>
      </c>
      <c r="C10" s="46">
        <v>1</v>
      </c>
      <c r="D10" s="19"/>
      <c r="E10" s="19"/>
      <c r="F10" s="19"/>
      <c r="G10" s="19"/>
      <c r="H10" s="19"/>
      <c r="I10" s="19">
        <v>0.35</v>
      </c>
      <c r="J10" s="19">
        <v>0.15</v>
      </c>
      <c r="L10">
        <v>0.22500000000000001</v>
      </c>
      <c r="N10" s="19">
        <v>0.3</v>
      </c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>
        <f t="shared" si="0"/>
        <v>1.0249999999999999</v>
      </c>
      <c r="AO10" s="19">
        <f t="shared" si="1"/>
        <v>-2.4999999999999911E-2</v>
      </c>
    </row>
    <row r="11" spans="1:44" x14ac:dyDescent="0.3">
      <c r="A11" s="19">
        <v>2021</v>
      </c>
      <c r="B11" s="19" t="s">
        <v>89</v>
      </c>
      <c r="C11" s="49">
        <v>6</v>
      </c>
      <c r="D11" s="19"/>
      <c r="E11" s="19"/>
      <c r="F11" s="19"/>
      <c r="G11" s="19"/>
      <c r="H11" s="19"/>
      <c r="I11" s="19"/>
      <c r="J11" s="19"/>
      <c r="K11" s="19" t="s">
        <v>0</v>
      </c>
      <c r="L11" s="19"/>
      <c r="M11" s="19"/>
      <c r="N11" s="19"/>
      <c r="O11" s="19"/>
      <c r="P11" s="19">
        <v>0.3</v>
      </c>
      <c r="Q11" s="19" t="s">
        <v>0</v>
      </c>
      <c r="R11" s="19"/>
      <c r="S11" s="19"/>
      <c r="T11" s="19"/>
      <c r="U11" s="19"/>
      <c r="V11" s="19"/>
      <c r="W11" s="19"/>
      <c r="X11" s="19" t="s">
        <v>0</v>
      </c>
      <c r="Y11" s="19"/>
      <c r="Z11" s="19"/>
      <c r="AA11" s="19"/>
      <c r="AB11" s="19" t="s">
        <v>0</v>
      </c>
      <c r="AC11" s="19"/>
      <c r="AD11" s="19"/>
      <c r="AE11" s="19" t="s">
        <v>0</v>
      </c>
      <c r="AF11" s="19"/>
      <c r="AG11" s="19"/>
      <c r="AH11" s="19">
        <v>5.2</v>
      </c>
      <c r="AI11" s="19" t="s">
        <v>0</v>
      </c>
      <c r="AJ11" s="19" t="s">
        <v>0</v>
      </c>
      <c r="AK11" s="19">
        <v>0.5</v>
      </c>
      <c r="AL11" s="19"/>
      <c r="AM11" s="19"/>
      <c r="AN11" s="19">
        <f t="shared" si="0"/>
        <v>6</v>
      </c>
      <c r="AO11" s="19">
        <f t="shared" si="1"/>
        <v>0</v>
      </c>
    </row>
    <row r="12" spans="1:44" x14ac:dyDescent="0.3">
      <c r="A12">
        <v>2021</v>
      </c>
      <c r="B12" s="19" t="s">
        <v>90</v>
      </c>
      <c r="C12" s="48">
        <v>4</v>
      </c>
      <c r="D12" s="19"/>
      <c r="E12" s="19"/>
      <c r="F12" s="19" t="s">
        <v>0</v>
      </c>
      <c r="G12" s="19"/>
      <c r="H12" s="19" t="s">
        <v>0</v>
      </c>
      <c r="I12" s="19">
        <v>0.3</v>
      </c>
      <c r="J12" s="19">
        <v>0.6</v>
      </c>
      <c r="K12" s="19" t="s">
        <v>0</v>
      </c>
      <c r="L12" s="19">
        <v>0.42499999999999999</v>
      </c>
      <c r="M12" s="19">
        <f>28.5/60</f>
        <v>0.47499999999999998</v>
      </c>
      <c r="N12" s="19">
        <v>0.4</v>
      </c>
      <c r="O12" s="19">
        <v>0.3</v>
      </c>
      <c r="P12" s="19"/>
      <c r="Q12" s="19" t="s">
        <v>0</v>
      </c>
      <c r="R12" s="19" t="s">
        <v>0</v>
      </c>
      <c r="S12" s="19"/>
      <c r="T12" s="19"/>
      <c r="U12" s="19"/>
      <c r="V12" s="19"/>
      <c r="W12" s="19"/>
      <c r="X12" s="19" t="s">
        <v>0</v>
      </c>
      <c r="Y12" s="19"/>
      <c r="Z12" s="19"/>
      <c r="AA12" s="19" t="s">
        <v>0</v>
      </c>
      <c r="AB12" s="19" t="s">
        <v>0</v>
      </c>
      <c r="AC12" s="19"/>
      <c r="AD12" s="19"/>
      <c r="AE12" s="19" t="s">
        <v>0</v>
      </c>
      <c r="AF12" s="19"/>
      <c r="AG12" s="19"/>
      <c r="AH12" s="19"/>
      <c r="AI12" s="19" t="s">
        <v>0</v>
      </c>
      <c r="AJ12" s="19" t="s">
        <v>0</v>
      </c>
      <c r="AK12" s="19">
        <v>1.5</v>
      </c>
      <c r="AL12" s="19"/>
      <c r="AM12" s="19"/>
      <c r="AN12" s="19">
        <f t="shared" si="0"/>
        <v>3.9999999999999996</v>
      </c>
      <c r="AO12" s="19">
        <f t="shared" si="1"/>
        <v>0</v>
      </c>
      <c r="AQ12" t="s">
        <v>0</v>
      </c>
    </row>
    <row r="13" spans="1:44" x14ac:dyDescent="0.3">
      <c r="A13" s="19">
        <v>2021</v>
      </c>
      <c r="B13" s="19" t="s">
        <v>91</v>
      </c>
      <c r="C13" s="46">
        <v>3</v>
      </c>
      <c r="D13" s="19"/>
      <c r="E13" s="19"/>
      <c r="F13" s="19"/>
      <c r="G13" s="19"/>
      <c r="H13" s="19"/>
      <c r="I13" s="19">
        <v>0.35</v>
      </c>
      <c r="J13" s="19">
        <v>0.25</v>
      </c>
      <c r="K13" s="19">
        <v>0.5</v>
      </c>
      <c r="L13" s="19">
        <v>0.35</v>
      </c>
      <c r="M13" s="19">
        <f>28.5/60</f>
        <v>0.47499999999999998</v>
      </c>
      <c r="N13" s="19">
        <v>0.3</v>
      </c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 t="s">
        <v>0</v>
      </c>
      <c r="AI13" s="19"/>
      <c r="AJ13" s="19"/>
      <c r="AK13" s="19"/>
      <c r="AL13" s="19"/>
      <c r="AM13" s="19"/>
      <c r="AN13" s="19">
        <f t="shared" si="0"/>
        <v>2.2250000000000001</v>
      </c>
      <c r="AO13" s="19">
        <f t="shared" si="1"/>
        <v>0.77499999999999991</v>
      </c>
      <c r="AR13" t="s">
        <v>130</v>
      </c>
    </row>
    <row r="14" spans="1:44" x14ac:dyDescent="0.3">
      <c r="A14" s="19">
        <v>2021</v>
      </c>
      <c r="B14" s="19" t="s">
        <v>88</v>
      </c>
      <c r="C14" s="51">
        <v>5</v>
      </c>
      <c r="D14" s="19"/>
      <c r="E14" s="19" t="s">
        <v>0</v>
      </c>
      <c r="F14" s="19"/>
      <c r="G14" s="19"/>
      <c r="H14" s="19" t="s">
        <v>0</v>
      </c>
      <c r="I14" s="19" t="s">
        <v>0</v>
      </c>
      <c r="J14" s="19"/>
      <c r="K14" s="19" t="s">
        <v>0</v>
      </c>
      <c r="L14" s="19"/>
      <c r="M14" s="19" t="s">
        <v>0</v>
      </c>
      <c r="N14" s="19"/>
      <c r="O14" s="19">
        <v>0.7</v>
      </c>
      <c r="P14" s="19">
        <v>0.7</v>
      </c>
      <c r="Q14" s="19"/>
      <c r="R14" s="19"/>
      <c r="S14" s="19"/>
      <c r="T14" s="19"/>
      <c r="U14" s="19"/>
      <c r="V14" s="19"/>
      <c r="W14" s="19"/>
      <c r="X14" s="19" t="s">
        <v>0</v>
      </c>
      <c r="Y14" s="19"/>
      <c r="Z14" s="19"/>
      <c r="AA14" s="19" t="s">
        <v>0</v>
      </c>
      <c r="AB14" s="19" t="s">
        <v>0</v>
      </c>
      <c r="AC14" s="19"/>
      <c r="AD14" s="19"/>
      <c r="AE14" s="19" t="s">
        <v>0</v>
      </c>
      <c r="AF14" s="19"/>
      <c r="AG14" s="19"/>
      <c r="AH14" s="19">
        <v>0.6</v>
      </c>
      <c r="AI14" s="19" t="s">
        <v>0</v>
      </c>
      <c r="AJ14" s="19" t="s">
        <v>0</v>
      </c>
      <c r="AK14" s="19">
        <v>3</v>
      </c>
      <c r="AL14" s="19"/>
      <c r="AM14" s="19"/>
      <c r="AN14" s="19">
        <f t="shared" si="0"/>
        <v>5</v>
      </c>
      <c r="AO14" s="19">
        <f t="shared" si="1"/>
        <v>0</v>
      </c>
      <c r="AQ14" t="s">
        <v>0</v>
      </c>
    </row>
    <row r="15" spans="1:44" x14ac:dyDescent="0.3">
      <c r="A15" s="19">
        <v>2021</v>
      </c>
      <c r="B15" t="s">
        <v>108</v>
      </c>
      <c r="C15" s="48">
        <v>1</v>
      </c>
      <c r="E15" s="19"/>
      <c r="F15" s="19"/>
      <c r="G15" s="19">
        <v>1</v>
      </c>
      <c r="H15" s="19"/>
      <c r="I15" s="19"/>
      <c r="J15" s="19"/>
      <c r="K15" s="19"/>
      <c r="L15" s="19"/>
      <c r="M15" s="19">
        <v>0.05</v>
      </c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AN15" s="19">
        <f t="shared" si="0"/>
        <v>1.05</v>
      </c>
      <c r="AO15" s="19">
        <f t="shared" si="1"/>
        <v>-5.0000000000000044E-2</v>
      </c>
    </row>
    <row r="16" spans="1:44" x14ac:dyDescent="0.3">
      <c r="A16" s="23">
        <v>2021</v>
      </c>
      <c r="B16" t="s">
        <v>12</v>
      </c>
      <c r="C16" s="50">
        <v>2</v>
      </c>
      <c r="D16" s="19"/>
      <c r="E16" s="19">
        <v>0.08</v>
      </c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 t="s">
        <v>0</v>
      </c>
      <c r="AC16" s="19"/>
      <c r="AD16" s="19" t="s">
        <v>0</v>
      </c>
      <c r="AE16" s="19" t="s">
        <v>0</v>
      </c>
      <c r="AF16" s="19"/>
      <c r="AG16" s="19"/>
      <c r="AH16" s="19"/>
      <c r="AI16" s="19">
        <v>2</v>
      </c>
      <c r="AJ16" s="19"/>
      <c r="AK16" s="19" t="s">
        <v>0</v>
      </c>
      <c r="AL16" s="19"/>
      <c r="AM16" s="19"/>
      <c r="AN16" s="19">
        <f t="shared" si="0"/>
        <v>2.08</v>
      </c>
      <c r="AO16" s="19">
        <f t="shared" si="1"/>
        <v>-8.0000000000000071E-2</v>
      </c>
    </row>
    <row r="17" spans="1:44" x14ac:dyDescent="0.3">
      <c r="A17" s="23">
        <v>2021</v>
      </c>
      <c r="B17" t="s">
        <v>113</v>
      </c>
      <c r="C17" s="23">
        <v>3</v>
      </c>
      <c r="D17" s="19"/>
      <c r="E17" s="19">
        <v>0.92</v>
      </c>
      <c r="F17" s="19" t="s">
        <v>0</v>
      </c>
      <c r="G17" s="19"/>
      <c r="H17" s="19" t="s">
        <v>0</v>
      </c>
      <c r="I17" s="19" t="s">
        <v>0</v>
      </c>
      <c r="J17" s="19"/>
      <c r="K17" s="19" t="s">
        <v>0</v>
      </c>
      <c r="L17" s="19"/>
      <c r="M17" s="19"/>
      <c r="N17" s="19"/>
      <c r="O17" s="19"/>
      <c r="P17" s="19" t="s">
        <v>0</v>
      </c>
      <c r="Q17" s="19"/>
      <c r="R17" s="19"/>
      <c r="S17" s="19">
        <v>1</v>
      </c>
      <c r="T17" s="19"/>
      <c r="U17" s="19"/>
      <c r="V17" s="19"/>
      <c r="W17" s="19"/>
      <c r="X17" s="19" t="s">
        <v>0</v>
      </c>
      <c r="Y17" s="19">
        <v>1</v>
      </c>
      <c r="Z17" s="19"/>
      <c r="AA17" s="19" t="s">
        <v>0</v>
      </c>
      <c r="AB17" s="19" t="s">
        <v>0</v>
      </c>
      <c r="AC17" s="19" t="s">
        <v>0</v>
      </c>
      <c r="AD17" s="19" t="s">
        <v>0</v>
      </c>
      <c r="AE17" s="19" t="s">
        <v>0</v>
      </c>
      <c r="AF17" s="19"/>
      <c r="AG17" s="19"/>
      <c r="AH17" s="19"/>
      <c r="AI17" s="19"/>
      <c r="AJ17" s="19"/>
      <c r="AK17" s="19" t="s">
        <v>0</v>
      </c>
      <c r="AL17" s="19"/>
      <c r="AM17" s="19"/>
      <c r="AN17" s="19">
        <f t="shared" si="0"/>
        <v>2.92</v>
      </c>
      <c r="AO17" s="19">
        <f t="shared" si="1"/>
        <v>8.0000000000000071E-2</v>
      </c>
      <c r="AQ17" t="s">
        <v>0</v>
      </c>
    </row>
    <row r="18" spans="1:44" x14ac:dyDescent="0.3">
      <c r="A18" s="19">
        <v>2021</v>
      </c>
      <c r="B18" s="19" t="s">
        <v>117</v>
      </c>
      <c r="C18" s="19">
        <v>6</v>
      </c>
      <c r="D18" s="19"/>
      <c r="E18" s="19" t="s">
        <v>0</v>
      </c>
      <c r="F18" s="19"/>
      <c r="G18" s="19"/>
      <c r="H18" s="19" t="s">
        <v>0</v>
      </c>
      <c r="I18" s="19" t="s">
        <v>0</v>
      </c>
      <c r="J18" s="19"/>
      <c r="K18" s="19" t="s">
        <v>0</v>
      </c>
      <c r="L18" s="19"/>
      <c r="M18" s="19"/>
      <c r="N18" s="19"/>
      <c r="O18" s="19" t="s">
        <v>0</v>
      </c>
      <c r="P18" s="19"/>
      <c r="Q18" s="19">
        <v>0.5</v>
      </c>
      <c r="S18" s="19"/>
      <c r="X18" s="19"/>
      <c r="Y18" s="19">
        <v>3</v>
      </c>
      <c r="Z18" s="19"/>
      <c r="AA18" s="19">
        <v>1</v>
      </c>
      <c r="AB18" s="19"/>
      <c r="AC18" s="19" t="s">
        <v>0</v>
      </c>
      <c r="AD18" s="19"/>
      <c r="AE18" s="19">
        <v>1</v>
      </c>
      <c r="AF18" s="19"/>
      <c r="AG18" s="19"/>
      <c r="AH18" s="19"/>
      <c r="AI18" s="19" t="s">
        <v>0</v>
      </c>
      <c r="AJ18" s="19"/>
      <c r="AK18" s="19"/>
      <c r="AL18" s="19"/>
      <c r="AM18" s="19"/>
      <c r="AN18" s="19">
        <f t="shared" si="0"/>
        <v>5.5</v>
      </c>
      <c r="AO18" s="19">
        <f t="shared" si="1"/>
        <v>0.5</v>
      </c>
      <c r="AQ18" t="s">
        <v>0</v>
      </c>
      <c r="AR18" t="s">
        <v>139</v>
      </c>
    </row>
    <row r="19" spans="1:44" x14ac:dyDescent="0.3">
      <c r="A19" s="19">
        <v>2021</v>
      </c>
      <c r="B19" s="19" t="s">
        <v>118</v>
      </c>
      <c r="C19" s="19">
        <v>9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>
        <v>0.5</v>
      </c>
      <c r="S19" s="19" t="s">
        <v>0</v>
      </c>
      <c r="T19" s="19">
        <f>0.31</f>
        <v>0.31</v>
      </c>
      <c r="U19" s="19">
        <v>0.22</v>
      </c>
      <c r="V19" s="19">
        <v>2</v>
      </c>
      <c r="W19" s="19" t="s">
        <v>0</v>
      </c>
      <c r="X19" s="19" t="s">
        <v>0</v>
      </c>
      <c r="Y19" s="19">
        <v>1</v>
      </c>
      <c r="Z19" s="19"/>
      <c r="AA19" s="19">
        <v>4.5</v>
      </c>
      <c r="AB19" s="19"/>
      <c r="AC19" s="19"/>
      <c r="AD19" s="19"/>
      <c r="AE19" s="19" t="s">
        <v>0</v>
      </c>
      <c r="AF19" s="19"/>
      <c r="AG19" s="19" t="s">
        <v>0</v>
      </c>
      <c r="AH19" s="19" t="s">
        <v>0</v>
      </c>
      <c r="AI19" s="19"/>
      <c r="AJ19" s="19"/>
      <c r="AK19" s="19" t="s">
        <v>0</v>
      </c>
      <c r="AL19" s="19"/>
      <c r="AM19" s="19"/>
      <c r="AN19" s="19">
        <f t="shared" si="0"/>
        <v>8.5300000000000011</v>
      </c>
      <c r="AO19" s="19">
        <f t="shared" si="1"/>
        <v>0.46999999999999886</v>
      </c>
      <c r="AR19" t="s">
        <v>138</v>
      </c>
    </row>
    <row r="20" spans="1:44" x14ac:dyDescent="0.3">
      <c r="A20" s="19">
        <v>2021</v>
      </c>
      <c r="B20" s="19" t="s">
        <v>119</v>
      </c>
      <c r="C20" s="42">
        <v>4</v>
      </c>
      <c r="D20" s="19"/>
      <c r="E20" s="19"/>
      <c r="F20" s="19"/>
      <c r="G20" s="19"/>
      <c r="H20" s="19"/>
      <c r="I20" s="19"/>
      <c r="J20" s="19" t="s">
        <v>0</v>
      </c>
      <c r="K20" s="19"/>
      <c r="L20" s="19"/>
      <c r="M20" s="19"/>
      <c r="N20" s="19"/>
      <c r="O20" s="19"/>
      <c r="P20" s="19"/>
      <c r="Q20" s="19"/>
      <c r="R20" s="19"/>
      <c r="S20" s="19"/>
      <c r="T20" s="19">
        <v>0.31</v>
      </c>
      <c r="U20" s="19">
        <v>0.2</v>
      </c>
      <c r="V20" s="19"/>
      <c r="W20" s="19"/>
      <c r="X20" s="19">
        <v>1</v>
      </c>
      <c r="Y20" s="19">
        <v>0.5</v>
      </c>
      <c r="Z20" s="19"/>
      <c r="AA20" s="19"/>
      <c r="AB20" s="19" t="s">
        <v>0</v>
      </c>
      <c r="AC20" s="19"/>
      <c r="AD20" s="19"/>
      <c r="AE20" s="19">
        <v>2</v>
      </c>
      <c r="AF20" s="19"/>
      <c r="AG20" s="19" t="s">
        <v>0</v>
      </c>
      <c r="AH20" s="19" t="s">
        <v>0</v>
      </c>
      <c r="AI20" s="19"/>
      <c r="AJ20" s="19"/>
      <c r="AK20" s="19"/>
      <c r="AL20" s="19"/>
      <c r="AM20" s="19"/>
      <c r="AN20" s="19">
        <f t="shared" si="0"/>
        <v>4.01</v>
      </c>
      <c r="AO20" s="19">
        <f t="shared" si="1"/>
        <v>-9.9999999999997868E-3</v>
      </c>
    </row>
    <row r="21" spans="1:44" x14ac:dyDescent="0.3">
      <c r="A21" s="19">
        <v>2021</v>
      </c>
      <c r="B21" s="19" t="s">
        <v>120</v>
      </c>
      <c r="C21" s="42">
        <v>5</v>
      </c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 t="s">
        <v>0</v>
      </c>
      <c r="U21" s="19"/>
      <c r="V21" s="19"/>
      <c r="W21" s="19"/>
      <c r="X21" s="19"/>
      <c r="Y21" s="19"/>
      <c r="Z21" s="19"/>
      <c r="AA21" s="19"/>
      <c r="AB21" s="19" t="s">
        <v>0</v>
      </c>
      <c r="AC21" s="19"/>
      <c r="AD21" s="19" t="s">
        <v>0</v>
      </c>
      <c r="AE21" s="19" t="s">
        <v>0</v>
      </c>
      <c r="AF21" s="19"/>
      <c r="AG21" s="19"/>
      <c r="AH21" s="19"/>
      <c r="AI21" s="19"/>
      <c r="AJ21" s="19"/>
      <c r="AK21" s="19"/>
      <c r="AL21" s="19"/>
      <c r="AM21" s="19"/>
      <c r="AN21" s="19">
        <f t="shared" si="0"/>
        <v>0</v>
      </c>
      <c r="AO21" s="19">
        <f t="shared" si="1"/>
        <v>5</v>
      </c>
    </row>
    <row r="22" spans="1:44" x14ac:dyDescent="0.3">
      <c r="A22" s="19">
        <v>2021</v>
      </c>
      <c r="B22" s="19" t="s">
        <v>105</v>
      </c>
      <c r="C22" s="48">
        <v>5</v>
      </c>
      <c r="D22" s="19"/>
      <c r="E22" s="19"/>
      <c r="F22" s="19"/>
      <c r="G22" s="19"/>
      <c r="H22" s="19"/>
      <c r="I22" s="19"/>
      <c r="J22" s="19" t="s">
        <v>0</v>
      </c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>
        <v>5</v>
      </c>
      <c r="AE22" s="19"/>
      <c r="AF22" s="19"/>
      <c r="AG22" s="19" t="s">
        <v>0</v>
      </c>
      <c r="AH22" s="19" t="s">
        <v>0</v>
      </c>
      <c r="AI22" s="19"/>
      <c r="AJ22" s="19"/>
      <c r="AK22" s="19" t="s">
        <v>0</v>
      </c>
      <c r="AL22" s="19"/>
      <c r="AM22" s="19"/>
      <c r="AN22" s="19">
        <f t="shared" si="0"/>
        <v>5</v>
      </c>
      <c r="AO22" s="19">
        <f t="shared" si="1"/>
        <v>0</v>
      </c>
    </row>
    <row r="23" spans="1:44" x14ac:dyDescent="0.3">
      <c r="A23" s="19">
        <v>2021</v>
      </c>
      <c r="B23" s="19" t="s">
        <v>125</v>
      </c>
      <c r="C23" s="48">
        <v>6</v>
      </c>
      <c r="D23" s="19"/>
      <c r="E23" s="19"/>
      <c r="F23" s="19"/>
      <c r="G23" s="19"/>
      <c r="H23" s="19"/>
      <c r="I23" s="19"/>
      <c r="J23" s="19" t="s">
        <v>0</v>
      </c>
      <c r="K23" s="19"/>
      <c r="L23" s="19"/>
      <c r="M23" s="19"/>
      <c r="N23" s="19"/>
      <c r="O23" s="19"/>
      <c r="P23" s="19"/>
      <c r="Q23" s="19"/>
      <c r="R23" s="19"/>
      <c r="S23" s="19"/>
      <c r="T23" s="19">
        <v>0.25</v>
      </c>
      <c r="U23" s="19">
        <v>0.5</v>
      </c>
      <c r="V23" s="19"/>
      <c r="W23" s="19"/>
      <c r="X23" s="19">
        <v>1</v>
      </c>
      <c r="Y23" s="19"/>
      <c r="Z23" s="19"/>
      <c r="AA23" s="19"/>
      <c r="AB23" s="19"/>
      <c r="AC23" s="19"/>
      <c r="AD23" s="19">
        <v>1</v>
      </c>
      <c r="AE23" s="19">
        <v>3</v>
      </c>
      <c r="AF23" s="19"/>
      <c r="AG23" s="19" t="s">
        <v>0</v>
      </c>
      <c r="AH23" s="19" t="s">
        <v>0</v>
      </c>
      <c r="AI23" s="19"/>
      <c r="AJ23" s="19"/>
      <c r="AK23" s="19" t="s">
        <v>0</v>
      </c>
      <c r="AL23" s="19"/>
      <c r="AM23" s="19"/>
      <c r="AN23" s="19">
        <f t="shared" si="0"/>
        <v>5.75</v>
      </c>
      <c r="AO23" s="19">
        <f t="shared" si="1"/>
        <v>0.25</v>
      </c>
    </row>
    <row r="24" spans="1:44" x14ac:dyDescent="0.3">
      <c r="A24" s="19">
        <v>2021</v>
      </c>
      <c r="B24" s="19" t="s">
        <v>126</v>
      </c>
      <c r="C24" s="48">
        <v>3</v>
      </c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>
        <v>2</v>
      </c>
      <c r="X24" s="19">
        <v>1</v>
      </c>
      <c r="Y24" s="19"/>
      <c r="Z24" s="19"/>
      <c r="AA24" s="19"/>
      <c r="AB24" s="19"/>
      <c r="AC24" s="19" t="s">
        <v>0</v>
      </c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</row>
    <row r="25" spans="1:44" x14ac:dyDescent="0.3">
      <c r="A25" s="19">
        <v>2021</v>
      </c>
      <c r="B25" s="19" t="s">
        <v>127</v>
      </c>
      <c r="C25" s="19">
        <v>5</v>
      </c>
      <c r="D25" s="19"/>
      <c r="E25" s="19"/>
      <c r="F25" s="19" t="s">
        <v>0</v>
      </c>
      <c r="G25" s="19"/>
      <c r="H25" s="19" t="s">
        <v>0</v>
      </c>
      <c r="I25" s="19" t="s">
        <v>0</v>
      </c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>
        <v>0.08</v>
      </c>
      <c r="V25" s="19"/>
      <c r="W25" s="19"/>
      <c r="X25" s="19" t="s">
        <v>0</v>
      </c>
      <c r="Y25" s="19"/>
      <c r="Z25" s="19"/>
      <c r="AA25" s="19"/>
      <c r="AB25" s="19"/>
      <c r="AC25" s="19">
        <v>3</v>
      </c>
      <c r="AD25" s="19" t="s">
        <v>0</v>
      </c>
      <c r="AE25" s="19">
        <v>1</v>
      </c>
      <c r="AF25" s="19"/>
      <c r="AG25" s="19"/>
      <c r="AH25" s="19"/>
      <c r="AI25" s="19" t="s">
        <v>0</v>
      </c>
      <c r="AJ25" s="19"/>
      <c r="AK25" s="19"/>
      <c r="AL25" s="19"/>
      <c r="AM25" s="19"/>
      <c r="AN25" s="19">
        <f>SUM(E25:AL25)</f>
        <v>4.08</v>
      </c>
      <c r="AO25" s="19">
        <f>C25-AN25</f>
        <v>0.91999999999999993</v>
      </c>
    </row>
    <row r="26" spans="1:44" x14ac:dyDescent="0.3">
      <c r="A26" s="19">
        <v>2021</v>
      </c>
      <c r="B26" s="19" t="s">
        <v>128</v>
      </c>
      <c r="C26" s="19">
        <v>5</v>
      </c>
      <c r="D26" s="19"/>
      <c r="E26" s="19"/>
      <c r="F26" s="19" t="s">
        <v>0</v>
      </c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>
        <v>0.13</v>
      </c>
      <c r="U26" s="19"/>
      <c r="V26" s="19"/>
      <c r="W26" s="19"/>
      <c r="X26" s="19"/>
      <c r="Y26" s="19"/>
      <c r="Z26" s="19"/>
      <c r="AA26" s="19"/>
      <c r="AB26" s="19"/>
      <c r="AC26" s="19">
        <v>1</v>
      </c>
      <c r="AD26" s="19" t="s">
        <v>0</v>
      </c>
      <c r="AE26" s="19" t="s">
        <v>0</v>
      </c>
      <c r="AF26" s="19"/>
      <c r="AG26" s="19"/>
      <c r="AH26" s="19"/>
      <c r="AI26" s="19"/>
      <c r="AJ26" s="19" t="s">
        <v>0</v>
      </c>
      <c r="AK26" s="19"/>
      <c r="AL26" s="19"/>
      <c r="AM26" s="19"/>
      <c r="AN26" s="19">
        <f>SUM(E26:AL26)</f>
        <v>1.1299999999999999</v>
      </c>
      <c r="AO26" s="19">
        <f>C26-AN26</f>
        <v>3.87</v>
      </c>
    </row>
    <row r="27" spans="1:44" x14ac:dyDescent="0.3">
      <c r="C27" s="23" t="s">
        <v>0</v>
      </c>
      <c r="F27" t="s">
        <v>0</v>
      </c>
    </row>
    <row r="28" spans="1:44" x14ac:dyDescent="0.3">
      <c r="C28" s="4">
        <f>SUM(C8:C26)</f>
        <v>80</v>
      </c>
      <c r="E28">
        <f t="shared" ref="E28:U28" si="2">SUM(E8:E26)</f>
        <v>1</v>
      </c>
      <c r="F28">
        <f t="shared" si="2"/>
        <v>1</v>
      </c>
      <c r="G28">
        <f t="shared" si="2"/>
        <v>1</v>
      </c>
      <c r="H28">
        <f t="shared" si="2"/>
        <v>1</v>
      </c>
      <c r="I28">
        <f t="shared" si="2"/>
        <v>0.99999999999999989</v>
      </c>
      <c r="J28">
        <f t="shared" si="2"/>
        <v>1</v>
      </c>
      <c r="K28">
        <f t="shared" si="2"/>
        <v>0.5</v>
      </c>
      <c r="L28">
        <f t="shared" ref="L28" si="3">SUM(L8:L26)</f>
        <v>1</v>
      </c>
      <c r="M28">
        <v>0.5</v>
      </c>
      <c r="N28">
        <f t="shared" si="2"/>
        <v>1</v>
      </c>
      <c r="O28">
        <f t="shared" si="2"/>
        <v>1</v>
      </c>
      <c r="P28">
        <f t="shared" si="2"/>
        <v>1</v>
      </c>
      <c r="Q28">
        <f t="shared" si="2"/>
        <v>0.5</v>
      </c>
      <c r="R28">
        <f t="shared" si="2"/>
        <v>0.5</v>
      </c>
      <c r="S28">
        <f t="shared" si="2"/>
        <v>1</v>
      </c>
      <c r="T28">
        <f t="shared" si="2"/>
        <v>1</v>
      </c>
      <c r="U28">
        <f t="shared" si="2"/>
        <v>1</v>
      </c>
      <c r="V28">
        <f t="shared" ref="V28:W28" si="4">SUM(V8:V26)</f>
        <v>2</v>
      </c>
      <c r="W28">
        <f t="shared" si="4"/>
        <v>2</v>
      </c>
      <c r="X28">
        <f>SUM(X8:X26)</f>
        <v>3</v>
      </c>
      <c r="Y28">
        <f>SUM(Y8:Y26)</f>
        <v>5.5</v>
      </c>
      <c r="AA28">
        <f>SUM(AA8:AA26)</f>
        <v>5.5</v>
      </c>
      <c r="AB28">
        <f>SUM(AB8:AB26)</f>
        <v>0</v>
      </c>
      <c r="AC28">
        <f>SUM(AC8:AC26)</f>
        <v>4</v>
      </c>
      <c r="AD28">
        <f>SUM(AD8:AD26)</f>
        <v>6</v>
      </c>
      <c r="AE28">
        <f>SUM(AE8:AE26)</f>
        <v>7</v>
      </c>
      <c r="AF28" t="s">
        <v>0</v>
      </c>
      <c r="AG28">
        <f t="shared" ref="AG28:AL28" si="5">SUM(AG8:AG26)</f>
        <v>2</v>
      </c>
      <c r="AH28">
        <f t="shared" si="5"/>
        <v>5.8</v>
      </c>
      <c r="AI28">
        <f t="shared" si="5"/>
        <v>2</v>
      </c>
      <c r="AJ28">
        <f t="shared" si="5"/>
        <v>0</v>
      </c>
      <c r="AK28">
        <f t="shared" si="5"/>
        <v>5</v>
      </c>
      <c r="AL28">
        <f t="shared" si="5"/>
        <v>3</v>
      </c>
      <c r="AN28">
        <f>SUM(AN12:AN27)</f>
        <v>51.274999999999999</v>
      </c>
      <c r="AO28">
        <f>SUM(AO12:AO27)</f>
        <v>11.724999999999998</v>
      </c>
    </row>
    <row r="30" spans="1:44" x14ac:dyDescent="0.3">
      <c r="C30" t="s">
        <v>92</v>
      </c>
      <c r="E30">
        <v>24</v>
      </c>
      <c r="F30">
        <v>24</v>
      </c>
      <c r="G30">
        <v>24</v>
      </c>
      <c r="H30">
        <v>24</v>
      </c>
      <c r="I30">
        <v>12</v>
      </c>
      <c r="J30">
        <v>24</v>
      </c>
      <c r="K30">
        <v>12</v>
      </c>
      <c r="L30">
        <v>24</v>
      </c>
      <c r="M30">
        <v>12</v>
      </c>
      <c r="N30">
        <v>24</v>
      </c>
      <c r="O30">
        <v>24</v>
      </c>
      <c r="P30">
        <v>24</v>
      </c>
      <c r="Q30">
        <v>12</v>
      </c>
      <c r="R30">
        <v>12</v>
      </c>
      <c r="S30">
        <v>24</v>
      </c>
      <c r="T30">
        <v>24</v>
      </c>
      <c r="U30">
        <v>24</v>
      </c>
      <c r="V30">
        <v>50</v>
      </c>
      <c r="W30">
        <v>50</v>
      </c>
      <c r="X30">
        <f t="shared" ref="X30:AL30" si="6">X28*60/2.4</f>
        <v>75</v>
      </c>
      <c r="Y30">
        <f t="shared" ref="Y30" si="7">Y28*60/2.4</f>
        <v>137.5</v>
      </c>
      <c r="Z30" t="s">
        <v>0</v>
      </c>
      <c r="AA30">
        <f t="shared" si="6"/>
        <v>137.5</v>
      </c>
      <c r="AB30">
        <f t="shared" si="6"/>
        <v>0</v>
      </c>
      <c r="AC30">
        <f t="shared" si="6"/>
        <v>100</v>
      </c>
      <c r="AD30">
        <f t="shared" si="6"/>
        <v>150</v>
      </c>
      <c r="AE30">
        <f t="shared" si="6"/>
        <v>175</v>
      </c>
      <c r="AF30" t="s">
        <v>0</v>
      </c>
      <c r="AG30">
        <f t="shared" si="6"/>
        <v>50</v>
      </c>
      <c r="AH30">
        <f t="shared" si="6"/>
        <v>145</v>
      </c>
      <c r="AI30">
        <f t="shared" si="6"/>
        <v>50</v>
      </c>
      <c r="AJ30">
        <f t="shared" si="6"/>
        <v>0</v>
      </c>
      <c r="AK30">
        <f t="shared" si="6"/>
        <v>125</v>
      </c>
      <c r="AL30">
        <f t="shared" si="6"/>
        <v>75</v>
      </c>
      <c r="AN30">
        <f>SUM(E28:AL28)</f>
        <v>67.8</v>
      </c>
    </row>
    <row r="31" spans="1:44" x14ac:dyDescent="0.3">
      <c r="A31" t="s">
        <v>0</v>
      </c>
      <c r="F31" t="s">
        <v>0</v>
      </c>
    </row>
    <row r="32" spans="1:44" x14ac:dyDescent="0.3">
      <c r="H32" t="s">
        <v>22</v>
      </c>
      <c r="K32" t="s">
        <v>0</v>
      </c>
      <c r="U32">
        <f>SUM(E30:U30)</f>
        <v>348</v>
      </c>
      <c r="X32" t="s">
        <v>0</v>
      </c>
      <c r="AH32" t="s">
        <v>21</v>
      </c>
      <c r="AL32">
        <f>SUM(AA30:AL30)</f>
        <v>1007.5</v>
      </c>
    </row>
    <row r="33" spans="2:35" x14ac:dyDescent="0.3">
      <c r="C33" t="s">
        <v>0</v>
      </c>
      <c r="T33" t="s">
        <v>0</v>
      </c>
      <c r="AE33" t="s">
        <v>0</v>
      </c>
      <c r="AI33" t="s">
        <v>0</v>
      </c>
    </row>
    <row r="34" spans="2:35" x14ac:dyDescent="0.3">
      <c r="Y34" t="s">
        <v>0</v>
      </c>
    </row>
    <row r="37" spans="2:35" x14ac:dyDescent="0.3">
      <c r="B37" t="s">
        <v>0</v>
      </c>
      <c r="C37" t="s">
        <v>0</v>
      </c>
      <c r="Y37">
        <v>4</v>
      </c>
    </row>
    <row r="38" spans="2:35" x14ac:dyDescent="0.3">
      <c r="B38" t="s">
        <v>0</v>
      </c>
      <c r="C38" t="s">
        <v>0</v>
      </c>
      <c r="Y38" t="s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7435DA-8696-4D2F-943E-57A050C0A3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 Target Blends - White Wine</vt:lpstr>
      <vt:lpstr>2021 Target Blends - PC</vt:lpstr>
      <vt:lpstr>2021 Target Blends -EFF</vt:lpstr>
      <vt:lpstr>2021 Target Blends - 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Smyth</dc:creator>
  <cp:lastModifiedBy>MMW</cp:lastModifiedBy>
  <cp:lastPrinted>2021-05-06T16:29:55Z</cp:lastPrinted>
  <dcterms:created xsi:type="dcterms:W3CDTF">2018-07-24T13:21:20Z</dcterms:created>
  <dcterms:modified xsi:type="dcterms:W3CDTF">2022-09-08T15:25:21Z</dcterms:modified>
</cp:coreProperties>
</file>