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Z:\Shared\PEARMUNDPIRE\Wine Production and Inventories\Inventories\"/>
    </mc:Choice>
  </mc:AlternateContent>
  <xr:revisionPtr revIDLastSave="0" documentId="13_ncr:1_{9C227F72-BA9B-46F4-BE9D-8E31749E421B}" xr6:coauthVersionLast="47" xr6:coauthVersionMax="47" xr10:uidLastSave="{00000000-0000-0000-0000-000000000000}"/>
  <bookViews>
    <workbookView xWindow="-120" yWindow="-120" windowWidth="20730" windowHeight="11310" firstSheet="8" activeTab="14" xr2:uid="{00000000-000D-0000-FFFF-FFFF00000000}"/>
  </bookViews>
  <sheets>
    <sheet name="2009" sheetId="1" r:id="rId1"/>
    <sheet name="2010" sheetId="2" r:id="rId2"/>
    <sheet name="2011" sheetId="3" r:id="rId3"/>
    <sheet name="hp" sheetId="4" r:id="rId4"/>
    <sheet name="2013" sheetId="5" r:id="rId5"/>
    <sheet name="2014" sheetId="6" r:id="rId6"/>
    <sheet name="2015" sheetId="7" r:id="rId7"/>
    <sheet name="2015 Tasting Room and Bulk Wine" sheetId="8" r:id="rId8"/>
    <sheet name="2016" sheetId="9" r:id="rId9"/>
    <sheet name="2017" sheetId="10" r:id="rId10"/>
    <sheet name="2018" sheetId="11" r:id="rId11"/>
    <sheet name="2019" sheetId="12" r:id="rId12"/>
    <sheet name="2020" sheetId="13" r:id="rId13"/>
    <sheet name="2021" sheetId="14" r:id="rId14"/>
    <sheet name="2022" sheetId="15" r:id="rId15"/>
  </sheets>
  <definedNames>
    <definedName name="_xlnm.Print_Area" localSheetId="1">'2010'!$A$5:$Q$41</definedName>
    <definedName name="_xlnm.Print_Area" localSheetId="11">'2019'!$A$8:$T$46</definedName>
    <definedName name="_xlnm.Print_Area" localSheetId="13">'2021'!$A$1:$Q$54</definedName>
    <definedName name="_xlnm.Print_Area" localSheetId="14">'2022'!$A$1:$M$62</definedName>
  </definedNames>
  <calcPr calcId="191029"/>
  <fileRecoveryPr autoRecover="0"/>
</workbook>
</file>

<file path=xl/calcChain.xml><?xml version="1.0" encoding="utf-8"?>
<calcChain xmlns="http://schemas.openxmlformats.org/spreadsheetml/2006/main">
  <c r="M62" i="15" l="1"/>
  <c r="M61" i="15" l="1"/>
  <c r="M60" i="15"/>
  <c r="M59" i="15"/>
  <c r="M58" i="15"/>
  <c r="M57" i="15"/>
  <c r="X54" i="15"/>
  <c r="W54" i="15"/>
  <c r="T54" i="15"/>
  <c r="S54" i="15"/>
  <c r="V54" i="15" s="1"/>
  <c r="U54" i="15" s="1"/>
  <c r="X53" i="15"/>
  <c r="W53" i="15"/>
  <c r="T53" i="15"/>
  <c r="S53" i="15"/>
  <c r="V53" i="15" s="1"/>
  <c r="U53" i="15" s="1"/>
  <c r="X52" i="15"/>
  <c r="W52" i="15"/>
  <c r="T52" i="15"/>
  <c r="S52" i="15"/>
  <c r="V52" i="15" s="1"/>
  <c r="U52" i="15" s="1"/>
  <c r="X66" i="15"/>
  <c r="W66" i="15"/>
  <c r="T66" i="15"/>
  <c r="S66" i="15"/>
  <c r="V66" i="15" s="1"/>
  <c r="U66" i="15" s="1"/>
  <c r="X65" i="15"/>
  <c r="W65" i="15"/>
  <c r="T65" i="15"/>
  <c r="S65" i="15"/>
  <c r="V65" i="15" s="1"/>
  <c r="U65" i="15" s="1"/>
  <c r="X64" i="15"/>
  <c r="W64" i="15"/>
  <c r="T64" i="15"/>
  <c r="S64" i="15"/>
  <c r="V64" i="15" s="1"/>
  <c r="U64" i="15" s="1"/>
  <c r="X55" i="15" l="1"/>
  <c r="T55" i="15"/>
  <c r="S55" i="15"/>
  <c r="V55" i="15" s="1"/>
  <c r="X47" i="15"/>
  <c r="W47" i="15"/>
  <c r="T47" i="15"/>
  <c r="S47" i="15"/>
  <c r="V47" i="15" s="1"/>
  <c r="E57" i="15"/>
  <c r="S43" i="15"/>
  <c r="V43" i="15" s="1"/>
  <c r="T43" i="15"/>
  <c r="G61" i="15"/>
  <c r="G60" i="15"/>
  <c r="G59" i="15"/>
  <c r="G58" i="15"/>
  <c r="G57" i="15"/>
  <c r="R61" i="15"/>
  <c r="Q61" i="15"/>
  <c r="P61" i="15"/>
  <c r="O61" i="15"/>
  <c r="N61" i="15"/>
  <c r="L61" i="15"/>
  <c r="K61" i="15"/>
  <c r="J61" i="15"/>
  <c r="I61" i="15"/>
  <c r="H61" i="15"/>
  <c r="E61" i="15"/>
  <c r="X51" i="15"/>
  <c r="W51" i="15"/>
  <c r="T51" i="15"/>
  <c r="S51" i="15"/>
  <c r="V51" i="15" s="1"/>
  <c r="X50" i="15"/>
  <c r="W50" i="15"/>
  <c r="T50" i="15"/>
  <c r="S50" i="15"/>
  <c r="V50" i="15" s="1"/>
  <c r="X49" i="15"/>
  <c r="W49" i="15"/>
  <c r="T49" i="15"/>
  <c r="S49" i="15"/>
  <c r="V49" i="15" s="1"/>
  <c r="X48" i="15"/>
  <c r="W48" i="15"/>
  <c r="T48" i="15"/>
  <c r="S48" i="15"/>
  <c r="V48" i="15" s="1"/>
  <c r="U55" i="15" l="1"/>
  <c r="U47" i="15"/>
  <c r="U43" i="15"/>
  <c r="U49" i="15"/>
  <c r="U50" i="15"/>
  <c r="G62" i="15"/>
  <c r="S61" i="15"/>
  <c r="U51" i="15"/>
  <c r="U48" i="15"/>
  <c r="T61" i="15"/>
  <c r="S68" i="15" l="1"/>
  <c r="X46" i="15"/>
  <c r="W46" i="15"/>
  <c r="T46" i="15"/>
  <c r="S46" i="15"/>
  <c r="V46" i="15" s="1"/>
  <c r="X45" i="15"/>
  <c r="W45" i="15"/>
  <c r="T45" i="15"/>
  <c r="S45" i="15"/>
  <c r="V45" i="15" s="1"/>
  <c r="X44" i="15"/>
  <c r="W44" i="15"/>
  <c r="T44" i="15"/>
  <c r="S44" i="15"/>
  <c r="V44" i="15" s="1"/>
  <c r="T42" i="15"/>
  <c r="S42" i="15"/>
  <c r="V42" i="15" s="1"/>
  <c r="R57" i="15"/>
  <c r="Q57" i="15"/>
  <c r="P57" i="15"/>
  <c r="O57" i="15"/>
  <c r="N57" i="15"/>
  <c r="L57" i="15"/>
  <c r="K57" i="15"/>
  <c r="J57" i="15"/>
  <c r="I57" i="15"/>
  <c r="H57" i="15"/>
  <c r="K99" i="15"/>
  <c r="K100" i="15" s="1"/>
  <c r="M97" i="15" s="1"/>
  <c r="O97" i="15" s="1"/>
  <c r="J99" i="15"/>
  <c r="J100" i="15" s="1"/>
  <c r="M96" i="15" s="1"/>
  <c r="O96" i="15" s="1"/>
  <c r="I99" i="15"/>
  <c r="I100" i="15" s="1"/>
  <c r="M91" i="15" s="1"/>
  <c r="N91" i="15" s="1"/>
  <c r="H99" i="15"/>
  <c r="H100" i="15" s="1"/>
  <c r="M93" i="15" s="1"/>
  <c r="N93" i="15" s="1"/>
  <c r="G99" i="15"/>
  <c r="G100" i="15" s="1"/>
  <c r="M95" i="15" s="1"/>
  <c r="N95" i="15" s="1"/>
  <c r="E99" i="15"/>
  <c r="E100" i="15" s="1"/>
  <c r="M90" i="15" s="1"/>
  <c r="D99" i="15"/>
  <c r="L97" i="15"/>
  <c r="L96" i="15"/>
  <c r="L95" i="15"/>
  <c r="N94" i="15"/>
  <c r="L94" i="15"/>
  <c r="L93" i="15"/>
  <c r="N92" i="15"/>
  <c r="L92" i="15"/>
  <c r="L91" i="15"/>
  <c r="L90" i="15"/>
  <c r="G86" i="15"/>
  <c r="E86" i="15"/>
  <c r="D86" i="15"/>
  <c r="R60" i="15"/>
  <c r="Q60" i="15"/>
  <c r="P60" i="15"/>
  <c r="O60" i="15"/>
  <c r="N60" i="15"/>
  <c r="L60" i="15"/>
  <c r="K60" i="15"/>
  <c r="J60" i="15"/>
  <c r="I60" i="15"/>
  <c r="H60" i="15"/>
  <c r="E60" i="15"/>
  <c r="R59" i="15"/>
  <c r="Q59" i="15"/>
  <c r="P59" i="15"/>
  <c r="O59" i="15"/>
  <c r="N59" i="15"/>
  <c r="L59" i="15"/>
  <c r="K59" i="15"/>
  <c r="J59" i="15"/>
  <c r="I59" i="15"/>
  <c r="H59" i="15"/>
  <c r="E59" i="15"/>
  <c r="R58" i="15"/>
  <c r="Q58" i="15"/>
  <c r="P58" i="15"/>
  <c r="O58" i="15"/>
  <c r="N58" i="15"/>
  <c r="L58" i="15"/>
  <c r="K58" i="15"/>
  <c r="J58" i="15"/>
  <c r="I58" i="15"/>
  <c r="H58" i="15"/>
  <c r="E58" i="15"/>
  <c r="E62" i="15" s="1"/>
  <c r="S41" i="15"/>
  <c r="V41" i="15" s="1"/>
  <c r="U41" i="15" s="1"/>
  <c r="X40" i="15"/>
  <c r="T40" i="15"/>
  <c r="S40" i="15"/>
  <c r="V40" i="15" s="1"/>
  <c r="X39" i="15"/>
  <c r="W39" i="15"/>
  <c r="T39" i="15"/>
  <c r="S39" i="15"/>
  <c r="V39" i="15" s="1"/>
  <c r="X38" i="15"/>
  <c r="W38" i="15"/>
  <c r="T38" i="15"/>
  <c r="S38" i="15"/>
  <c r="V38" i="15" s="1"/>
  <c r="X37" i="15"/>
  <c r="T37" i="15"/>
  <c r="S37" i="15"/>
  <c r="V37" i="15" s="1"/>
  <c r="X36" i="15"/>
  <c r="W36" i="15"/>
  <c r="T36" i="15"/>
  <c r="S36" i="15"/>
  <c r="V36" i="15" s="1"/>
  <c r="X35" i="15"/>
  <c r="W35" i="15"/>
  <c r="T35" i="15"/>
  <c r="S35" i="15"/>
  <c r="V35" i="15" s="1"/>
  <c r="X34" i="15"/>
  <c r="W34" i="15"/>
  <c r="T34" i="15"/>
  <c r="S34" i="15"/>
  <c r="V34" i="15" s="1"/>
  <c r="X33" i="15"/>
  <c r="W33" i="15"/>
  <c r="T33" i="15"/>
  <c r="S33" i="15"/>
  <c r="V33" i="15" s="1"/>
  <c r="X32" i="15"/>
  <c r="W32" i="15"/>
  <c r="T32" i="15"/>
  <c r="S32" i="15"/>
  <c r="V32" i="15" s="1"/>
  <c r="X31" i="15"/>
  <c r="W31" i="15"/>
  <c r="T31" i="15"/>
  <c r="S31" i="15"/>
  <c r="V31" i="15" s="1"/>
  <c r="X30" i="15"/>
  <c r="W30" i="15"/>
  <c r="T30" i="15"/>
  <c r="S30" i="15"/>
  <c r="V30" i="15" s="1"/>
  <c r="T29" i="15"/>
  <c r="S29" i="15"/>
  <c r="V29" i="15" s="1"/>
  <c r="X27" i="15"/>
  <c r="W27" i="15"/>
  <c r="T27" i="15"/>
  <c r="S27" i="15"/>
  <c r="V27" i="15" s="1"/>
  <c r="X26" i="15"/>
  <c r="W26" i="15"/>
  <c r="T26" i="15"/>
  <c r="S26" i="15"/>
  <c r="V26" i="15" s="1"/>
  <c r="X25" i="15"/>
  <c r="T25" i="15"/>
  <c r="S25" i="15"/>
  <c r="V25" i="15" s="1"/>
  <c r="X24" i="15"/>
  <c r="W24" i="15"/>
  <c r="T24" i="15"/>
  <c r="S24" i="15"/>
  <c r="V24" i="15" s="1"/>
  <c r="X23" i="15"/>
  <c r="W23" i="15"/>
  <c r="T23" i="15"/>
  <c r="S23" i="15"/>
  <c r="V23" i="15" s="1"/>
  <c r="X22" i="15"/>
  <c r="W22" i="15"/>
  <c r="T22" i="15"/>
  <c r="S22" i="15"/>
  <c r="V22" i="15" s="1"/>
  <c r="X21" i="15"/>
  <c r="W21" i="15"/>
  <c r="T21" i="15"/>
  <c r="S21" i="15"/>
  <c r="V21" i="15" s="1"/>
  <c r="X20" i="15"/>
  <c r="W20" i="15"/>
  <c r="T20" i="15"/>
  <c r="S20" i="15"/>
  <c r="V20" i="15" s="1"/>
  <c r="X19" i="15"/>
  <c r="W19" i="15"/>
  <c r="T19" i="15"/>
  <c r="S19" i="15"/>
  <c r="V19" i="15" s="1"/>
  <c r="X18" i="15"/>
  <c r="W18" i="15"/>
  <c r="T18" i="15"/>
  <c r="S18" i="15"/>
  <c r="V18" i="15" s="1"/>
  <c r="X16" i="15"/>
  <c r="W16" i="15"/>
  <c r="T16" i="15"/>
  <c r="S16" i="15"/>
  <c r="V16" i="15" s="1"/>
  <c r="X15" i="15"/>
  <c r="W15" i="15"/>
  <c r="T15" i="15"/>
  <c r="S15" i="15"/>
  <c r="V15" i="15" s="1"/>
  <c r="X14" i="15"/>
  <c r="W14" i="15"/>
  <c r="T14" i="15"/>
  <c r="S14" i="15"/>
  <c r="V14" i="15" s="1"/>
  <c r="X13" i="15"/>
  <c r="W13" i="15"/>
  <c r="T13" i="15"/>
  <c r="S13" i="15"/>
  <c r="V13" i="15" s="1"/>
  <c r="X12" i="15"/>
  <c r="W12" i="15"/>
  <c r="T12" i="15"/>
  <c r="S12" i="15"/>
  <c r="V12" i="15" s="1"/>
  <c r="X10" i="15"/>
  <c r="T10" i="15"/>
  <c r="S10" i="15"/>
  <c r="V10" i="15" s="1"/>
  <c r="F78" i="14"/>
  <c r="E78" i="14"/>
  <c r="R10" i="14"/>
  <c r="Q53" i="14"/>
  <c r="Q52" i="14"/>
  <c r="Q51" i="14"/>
  <c r="Q50" i="14"/>
  <c r="W46" i="14"/>
  <c r="V46" i="14"/>
  <c r="S46" i="14"/>
  <c r="R46" i="14"/>
  <c r="E53" i="14"/>
  <c r="P53" i="14"/>
  <c r="O53" i="14"/>
  <c r="O52" i="14"/>
  <c r="O51" i="14"/>
  <c r="O50" i="14"/>
  <c r="N53" i="14"/>
  <c r="N52" i="14"/>
  <c r="N51" i="14"/>
  <c r="N50" i="14"/>
  <c r="S48" i="14"/>
  <c r="R48" i="14"/>
  <c r="U48" i="14" s="1"/>
  <c r="W48" i="14"/>
  <c r="L52" i="14"/>
  <c r="L51" i="14"/>
  <c r="L50" i="14"/>
  <c r="L53" i="14"/>
  <c r="W31" i="14"/>
  <c r="V31" i="14"/>
  <c r="S31" i="14"/>
  <c r="R31" i="14"/>
  <c r="U31" i="14" s="1"/>
  <c r="Y50" i="15" l="1"/>
  <c r="Y49" i="15"/>
  <c r="Y48" i="15"/>
  <c r="Y51" i="15"/>
  <c r="U44" i="15"/>
  <c r="L62" i="15"/>
  <c r="L86" i="15" s="1"/>
  <c r="I62" i="15"/>
  <c r="I86" i="15" s="1"/>
  <c r="M86" i="15"/>
  <c r="Q62" i="15"/>
  <c r="Q86" i="15" s="1"/>
  <c r="H62" i="15"/>
  <c r="H86" i="15" s="1"/>
  <c r="P62" i="15"/>
  <c r="P86" i="15" s="1"/>
  <c r="J62" i="15"/>
  <c r="J86" i="15" s="1"/>
  <c r="N62" i="15"/>
  <c r="N86" i="15" s="1"/>
  <c r="R62" i="15"/>
  <c r="K62" i="15"/>
  <c r="O62" i="15"/>
  <c r="O86" i="15" s="1"/>
  <c r="V61" i="15"/>
  <c r="U61" i="15" s="1"/>
  <c r="U46" i="15"/>
  <c r="U45" i="15"/>
  <c r="U42" i="15"/>
  <c r="T57" i="15"/>
  <c r="U39" i="15"/>
  <c r="U10" i="15"/>
  <c r="U27" i="15"/>
  <c r="U30" i="15"/>
  <c r="U32" i="15"/>
  <c r="U34" i="15"/>
  <c r="U36" i="15"/>
  <c r="U40" i="15"/>
  <c r="S60" i="15"/>
  <c r="V60" i="15" s="1"/>
  <c r="L99" i="15"/>
  <c r="O99" i="15"/>
  <c r="U38" i="15"/>
  <c r="T60" i="15"/>
  <c r="U12" i="15"/>
  <c r="U13" i="15"/>
  <c r="U14" i="15"/>
  <c r="U15" i="15"/>
  <c r="U16" i="15"/>
  <c r="U18" i="15"/>
  <c r="U19" i="15"/>
  <c r="U20" i="15"/>
  <c r="U21" i="15"/>
  <c r="U22" i="15"/>
  <c r="U23" i="15"/>
  <c r="U24" i="15"/>
  <c r="U25" i="15"/>
  <c r="S58" i="15"/>
  <c r="V58" i="15" s="1"/>
  <c r="T58" i="15"/>
  <c r="T59" i="15"/>
  <c r="M99" i="15"/>
  <c r="N90" i="15"/>
  <c r="N99" i="15" s="1"/>
  <c r="U26" i="15"/>
  <c r="U29" i="15"/>
  <c r="U31" i="15"/>
  <c r="U33" i="15"/>
  <c r="U35" i="15"/>
  <c r="U37" i="15"/>
  <c r="K86" i="15"/>
  <c r="S57" i="15"/>
  <c r="V57" i="15" s="1"/>
  <c r="S59" i="15"/>
  <c r="V59" i="15" s="1"/>
  <c r="Q54" i="14"/>
  <c r="T46" i="14"/>
  <c r="T48" i="14"/>
  <c r="O54" i="14"/>
  <c r="N54" i="14"/>
  <c r="L54" i="14"/>
  <c r="T31" i="14"/>
  <c r="R49" i="14"/>
  <c r="U49" i="14" s="1"/>
  <c r="T49" i="14" s="1"/>
  <c r="F53" i="14"/>
  <c r="G53" i="14"/>
  <c r="H53" i="14"/>
  <c r="I53" i="14"/>
  <c r="J53" i="14"/>
  <c r="K53" i="14"/>
  <c r="M53" i="14"/>
  <c r="F52" i="14"/>
  <c r="G52" i="14"/>
  <c r="H52" i="14"/>
  <c r="I52" i="14"/>
  <c r="J52" i="14"/>
  <c r="K52" i="14"/>
  <c r="M52" i="14"/>
  <c r="P52" i="14"/>
  <c r="F51" i="14"/>
  <c r="G51" i="14"/>
  <c r="H51" i="14"/>
  <c r="I51" i="14"/>
  <c r="J51" i="14"/>
  <c r="K51" i="14"/>
  <c r="M51" i="14"/>
  <c r="P51" i="14"/>
  <c r="G50" i="14"/>
  <c r="H50" i="14"/>
  <c r="I50" i="14"/>
  <c r="J50" i="14"/>
  <c r="K50" i="14"/>
  <c r="M50" i="14"/>
  <c r="P50" i="14"/>
  <c r="F50" i="14"/>
  <c r="E52" i="14"/>
  <c r="E51" i="14"/>
  <c r="E50" i="14"/>
  <c r="S62" i="15" l="1"/>
  <c r="V62" i="15" s="1"/>
  <c r="U57" i="15"/>
  <c r="U60" i="15"/>
  <c r="U59" i="15"/>
  <c r="U58" i="15"/>
  <c r="T62" i="15"/>
  <c r="S53" i="14"/>
  <c r="J54" i="14"/>
  <c r="M54" i="14"/>
  <c r="K54" i="14"/>
  <c r="I54" i="14"/>
  <c r="S51" i="14"/>
  <c r="R50" i="14"/>
  <c r="U50" i="14" s="1"/>
  <c r="P54" i="14"/>
  <c r="H54" i="14"/>
  <c r="H78" i="14" s="1"/>
  <c r="G54" i="14"/>
  <c r="R53" i="14"/>
  <c r="U53" i="14" s="1"/>
  <c r="R52" i="14"/>
  <c r="U52" i="14" s="1"/>
  <c r="E54" i="14"/>
  <c r="R51" i="14"/>
  <c r="U51" i="14" s="1"/>
  <c r="F54" i="14"/>
  <c r="S50" i="14"/>
  <c r="S52" i="14"/>
  <c r="U62" i="15" l="1"/>
  <c r="T53" i="14"/>
  <c r="T51" i="14"/>
  <c r="T52" i="14"/>
  <c r="R54" i="14"/>
  <c r="U54" i="14" s="1"/>
  <c r="T50" i="14"/>
  <c r="S54" i="14"/>
  <c r="R36" i="14" l="1"/>
  <c r="U36" i="14" s="1"/>
  <c r="S36" i="14"/>
  <c r="R37" i="14"/>
  <c r="U37" i="14" s="1"/>
  <c r="S37" i="14"/>
  <c r="V37" i="14"/>
  <c r="W37" i="14"/>
  <c r="R38" i="14"/>
  <c r="U38" i="14" s="1"/>
  <c r="S38" i="14"/>
  <c r="V38" i="14"/>
  <c r="W38" i="14"/>
  <c r="R39" i="14"/>
  <c r="S39" i="14"/>
  <c r="V39" i="14"/>
  <c r="W39" i="14"/>
  <c r="R40" i="14"/>
  <c r="U40" i="14" s="1"/>
  <c r="S40" i="14"/>
  <c r="V40" i="14"/>
  <c r="W40" i="14"/>
  <c r="R41" i="14"/>
  <c r="U41" i="14" s="1"/>
  <c r="S41" i="14"/>
  <c r="V41" i="14"/>
  <c r="W41" i="14"/>
  <c r="R42" i="14"/>
  <c r="U42" i="14" s="1"/>
  <c r="S42" i="14"/>
  <c r="V42" i="14"/>
  <c r="W42" i="14"/>
  <c r="R43" i="14"/>
  <c r="U43" i="14" s="1"/>
  <c r="S43" i="14"/>
  <c r="V43" i="14"/>
  <c r="W43" i="14"/>
  <c r="R44" i="14"/>
  <c r="U44" i="14" s="1"/>
  <c r="S44" i="14"/>
  <c r="W44" i="14"/>
  <c r="R45" i="14"/>
  <c r="U45" i="14" s="1"/>
  <c r="S45" i="14"/>
  <c r="V45" i="14"/>
  <c r="W45" i="14"/>
  <c r="R47" i="14"/>
  <c r="S47" i="14"/>
  <c r="V47" i="14"/>
  <c r="W47" i="14"/>
  <c r="S35" i="14"/>
  <c r="R35" i="14"/>
  <c r="U35" i="14" s="1"/>
  <c r="W33" i="14"/>
  <c r="V33" i="14"/>
  <c r="S33" i="14"/>
  <c r="R33" i="14"/>
  <c r="J91" i="14"/>
  <c r="J92" i="14" s="1"/>
  <c r="L89" i="14" s="1"/>
  <c r="N89" i="14" s="1"/>
  <c r="I91" i="14"/>
  <c r="I92" i="14" s="1"/>
  <c r="L88" i="14" s="1"/>
  <c r="N88" i="14" s="1"/>
  <c r="H91" i="14"/>
  <c r="H92" i="14" s="1"/>
  <c r="L83" i="14" s="1"/>
  <c r="M83" i="14" s="1"/>
  <c r="G91" i="14"/>
  <c r="G92" i="14" s="1"/>
  <c r="L85" i="14" s="1"/>
  <c r="M85" i="14" s="1"/>
  <c r="F91" i="14"/>
  <c r="F92" i="14" s="1"/>
  <c r="L87" i="14" s="1"/>
  <c r="M87" i="14" s="1"/>
  <c r="E91" i="14"/>
  <c r="E92" i="14" s="1"/>
  <c r="L82" i="14" s="1"/>
  <c r="D91" i="14"/>
  <c r="K89" i="14"/>
  <c r="K88" i="14"/>
  <c r="K87" i="14"/>
  <c r="M86" i="14"/>
  <c r="K86" i="14"/>
  <c r="K85" i="14"/>
  <c r="M84" i="14"/>
  <c r="K84" i="14"/>
  <c r="K83" i="14"/>
  <c r="K82" i="14"/>
  <c r="P78" i="14"/>
  <c r="O78" i="14"/>
  <c r="N78" i="14"/>
  <c r="M78" i="14"/>
  <c r="L78" i="14"/>
  <c r="K78" i="14"/>
  <c r="J78" i="14"/>
  <c r="I78" i="14"/>
  <c r="G78" i="14"/>
  <c r="D78" i="14"/>
  <c r="W32" i="14"/>
  <c r="V32" i="14"/>
  <c r="S32" i="14"/>
  <c r="R32" i="14"/>
  <c r="U32" i="14" s="1"/>
  <c r="W30" i="14"/>
  <c r="S30" i="14"/>
  <c r="R30" i="14"/>
  <c r="U30" i="14" s="1"/>
  <c r="W29" i="14"/>
  <c r="V29" i="14"/>
  <c r="S29" i="14"/>
  <c r="R29" i="14"/>
  <c r="U29" i="14" s="1"/>
  <c r="W28" i="14"/>
  <c r="V28" i="14"/>
  <c r="S28" i="14"/>
  <c r="R28" i="14"/>
  <c r="U28" i="14" s="1"/>
  <c r="W27" i="14"/>
  <c r="V27" i="14"/>
  <c r="S27" i="14"/>
  <c r="R27" i="14"/>
  <c r="U27" i="14" s="1"/>
  <c r="W26" i="14"/>
  <c r="V26" i="14"/>
  <c r="S26" i="14"/>
  <c r="R26" i="14"/>
  <c r="U26" i="14" s="1"/>
  <c r="W25" i="14"/>
  <c r="V25" i="14"/>
  <c r="S25" i="14"/>
  <c r="R25" i="14"/>
  <c r="W24" i="14"/>
  <c r="V24" i="14"/>
  <c r="S24" i="14"/>
  <c r="R24" i="14"/>
  <c r="U24" i="14" s="1"/>
  <c r="W23" i="14"/>
  <c r="V23" i="14"/>
  <c r="S23" i="14"/>
  <c r="R23" i="14"/>
  <c r="U23" i="14" s="1"/>
  <c r="W22" i="14"/>
  <c r="V22" i="14"/>
  <c r="S22" i="14"/>
  <c r="R22" i="14"/>
  <c r="U22" i="14" s="1"/>
  <c r="W20" i="14"/>
  <c r="V20" i="14"/>
  <c r="S20" i="14"/>
  <c r="R20" i="14"/>
  <c r="U20" i="14" s="1"/>
  <c r="W19" i="14"/>
  <c r="V19" i="14"/>
  <c r="S19" i="14"/>
  <c r="R19" i="14"/>
  <c r="W18" i="14"/>
  <c r="V18" i="14"/>
  <c r="S18" i="14"/>
  <c r="R18" i="14"/>
  <c r="U18" i="14" s="1"/>
  <c r="W17" i="14"/>
  <c r="V17" i="14"/>
  <c r="S17" i="14"/>
  <c r="R17" i="14"/>
  <c r="U17" i="14" s="1"/>
  <c r="W16" i="14"/>
  <c r="V16" i="14"/>
  <c r="S16" i="14"/>
  <c r="R16" i="14"/>
  <c r="U16" i="14" s="1"/>
  <c r="W15" i="14"/>
  <c r="V15" i="14"/>
  <c r="S15" i="14"/>
  <c r="R15" i="14"/>
  <c r="U15" i="14" s="1"/>
  <c r="W14" i="14"/>
  <c r="V14" i="14"/>
  <c r="S14" i="14"/>
  <c r="R14" i="14"/>
  <c r="U14" i="14" s="1"/>
  <c r="W12" i="14"/>
  <c r="S12" i="14"/>
  <c r="R12" i="14"/>
  <c r="U12" i="14" s="1"/>
  <c r="S11" i="14"/>
  <c r="R11" i="14"/>
  <c r="U11" i="14" s="1"/>
  <c r="S10" i="14"/>
  <c r="W45" i="13"/>
  <c r="S45" i="13"/>
  <c r="R45" i="13"/>
  <c r="U45" i="13" s="1"/>
  <c r="T45" i="13" l="1"/>
  <c r="U19" i="14"/>
  <c r="T19" i="14" s="1"/>
  <c r="U10" i="14"/>
  <c r="T10" i="14" s="1"/>
  <c r="T36" i="14"/>
  <c r="U39" i="14"/>
  <c r="T39" i="14" s="1"/>
  <c r="N91" i="14"/>
  <c r="U33" i="14"/>
  <c r="T33" i="14" s="1"/>
  <c r="T17" i="14"/>
  <c r="T24" i="14"/>
  <c r="T41" i="14"/>
  <c r="U47" i="14"/>
  <c r="T47" i="14" s="1"/>
  <c r="T44" i="14"/>
  <c r="T20" i="14"/>
  <c r="T30" i="14"/>
  <c r="T37" i="14"/>
  <c r="T42" i="14"/>
  <c r="T40" i="14"/>
  <c r="T35" i="14"/>
  <c r="T38" i="14"/>
  <c r="T11" i="14"/>
  <c r="T45" i="14"/>
  <c r="T43" i="14"/>
  <c r="K91" i="14"/>
  <c r="T22" i="14"/>
  <c r="T29" i="14"/>
  <c r="T32" i="14"/>
  <c r="T12" i="14"/>
  <c r="T27" i="14"/>
  <c r="T14" i="14"/>
  <c r="T15" i="14"/>
  <c r="T26" i="14"/>
  <c r="T28" i="14"/>
  <c r="T23" i="14"/>
  <c r="T16" i="14"/>
  <c r="T18" i="14"/>
  <c r="L91" i="14"/>
  <c r="M82" i="14"/>
  <c r="M91" i="14" s="1"/>
  <c r="U25" i="14"/>
  <c r="T25" i="14" s="1"/>
  <c r="R30" i="13"/>
  <c r="F102" i="13" l="1"/>
  <c r="F103" i="13" s="1"/>
  <c r="L98" i="13" s="1"/>
  <c r="G102" i="13"/>
  <c r="G103" i="13" s="1"/>
  <c r="L96" i="13" s="1"/>
  <c r="H102" i="13"/>
  <c r="H103" i="13" s="1"/>
  <c r="L94" i="13" s="1"/>
  <c r="I102" i="13"/>
  <c r="I103" i="13" s="1"/>
  <c r="L99" i="13" s="1"/>
  <c r="J102" i="13"/>
  <c r="J103" i="13" s="1"/>
  <c r="L100" i="13" s="1"/>
  <c r="E102" i="13"/>
  <c r="E103" i="13" s="1"/>
  <c r="L93" i="13" s="1"/>
  <c r="T54" i="14" l="1"/>
  <c r="K93" i="13"/>
  <c r="K95" i="13"/>
  <c r="M95" i="13" s="1"/>
  <c r="K96" i="13"/>
  <c r="M96" i="13" s="1"/>
  <c r="K97" i="13"/>
  <c r="M97" i="13" s="1"/>
  <c r="K98" i="13"/>
  <c r="M98" i="13" s="1"/>
  <c r="K99" i="13"/>
  <c r="N99" i="13" s="1"/>
  <c r="K100" i="13"/>
  <c r="N100" i="13" s="1"/>
  <c r="K94" i="13"/>
  <c r="M94" i="13" s="1"/>
  <c r="D102" i="13"/>
  <c r="N102" i="13" l="1"/>
  <c r="K102" i="13"/>
  <c r="L102" i="13"/>
  <c r="E47" i="13"/>
  <c r="E40" i="13"/>
  <c r="R41" i="13"/>
  <c r="M93" i="13" l="1"/>
  <c r="M102" i="13" s="1"/>
  <c r="S47" i="13"/>
  <c r="R47" i="13"/>
  <c r="U47" i="13" s="1"/>
  <c r="T47" i="13" l="1"/>
  <c r="W41" i="13"/>
  <c r="V41" i="13"/>
  <c r="S41" i="13"/>
  <c r="U41" i="13"/>
  <c r="T41" i="13" l="1"/>
  <c r="S34" i="13"/>
  <c r="R34" i="13"/>
  <c r="U34" i="13" s="1"/>
  <c r="W34" i="13"/>
  <c r="V34" i="13"/>
  <c r="T34" i="13" l="1"/>
  <c r="P41" i="12"/>
  <c r="P40" i="12"/>
  <c r="P39" i="12"/>
  <c r="P38" i="12"/>
  <c r="P36" i="12"/>
  <c r="P32" i="12"/>
  <c r="P31" i="12"/>
  <c r="P30" i="12"/>
  <c r="P26" i="12"/>
  <c r="P22" i="12"/>
  <c r="P20" i="12"/>
  <c r="E89" i="13" l="1"/>
  <c r="F89" i="13"/>
  <c r="G89" i="13"/>
  <c r="H89" i="13"/>
  <c r="I89" i="13"/>
  <c r="J89" i="13"/>
  <c r="K89" i="13"/>
  <c r="L89" i="13"/>
  <c r="M89" i="13"/>
  <c r="N89" i="13"/>
  <c r="O89" i="13"/>
  <c r="P89" i="13"/>
  <c r="D89" i="13"/>
  <c r="Q53" i="13"/>
  <c r="P53" i="13"/>
  <c r="O53" i="13"/>
  <c r="N53" i="13"/>
  <c r="M53" i="13"/>
  <c r="L53" i="13"/>
  <c r="K53" i="13"/>
  <c r="J53" i="13"/>
  <c r="I53" i="13"/>
  <c r="H53" i="13"/>
  <c r="G53" i="13"/>
  <c r="F53" i="13"/>
  <c r="E53" i="13"/>
  <c r="O52" i="13"/>
  <c r="M52" i="13"/>
  <c r="L52" i="13"/>
  <c r="K52" i="13"/>
  <c r="I52" i="13"/>
  <c r="H52" i="13"/>
  <c r="G52" i="13"/>
  <c r="F52" i="13"/>
  <c r="E52" i="13"/>
  <c r="O51" i="13"/>
  <c r="M51" i="13"/>
  <c r="L51" i="13"/>
  <c r="K51" i="13"/>
  <c r="I51" i="13"/>
  <c r="H51" i="13"/>
  <c r="G51" i="13"/>
  <c r="F51" i="13"/>
  <c r="E51" i="13"/>
  <c r="O50" i="13"/>
  <c r="M50" i="13"/>
  <c r="L50" i="13"/>
  <c r="K50" i="13"/>
  <c r="I50" i="13"/>
  <c r="H50" i="13"/>
  <c r="G50" i="13"/>
  <c r="F50" i="13"/>
  <c r="E50" i="13"/>
  <c r="Q49" i="13"/>
  <c r="P49" i="13"/>
  <c r="O49" i="13"/>
  <c r="N49" i="13"/>
  <c r="M49" i="13"/>
  <c r="L49" i="13"/>
  <c r="K49" i="13"/>
  <c r="J49" i="13"/>
  <c r="I49" i="13"/>
  <c r="H49" i="13"/>
  <c r="G49" i="13"/>
  <c r="F49" i="13"/>
  <c r="E49" i="13"/>
  <c r="W47" i="13"/>
  <c r="V47" i="13"/>
  <c r="W46" i="13"/>
  <c r="V46" i="13"/>
  <c r="S46" i="13"/>
  <c r="R46" i="13"/>
  <c r="U46" i="13" s="1"/>
  <c r="W44" i="13"/>
  <c r="V44" i="13"/>
  <c r="S44" i="13"/>
  <c r="R44" i="13"/>
  <c r="U44" i="13" s="1"/>
  <c r="W43" i="13"/>
  <c r="V43" i="13"/>
  <c r="S43" i="13"/>
  <c r="R43" i="13"/>
  <c r="U43" i="13" s="1"/>
  <c r="W42" i="13"/>
  <c r="V42" i="13"/>
  <c r="S42" i="13"/>
  <c r="R42" i="13"/>
  <c r="U42" i="13" s="1"/>
  <c r="W40" i="13"/>
  <c r="V40" i="13"/>
  <c r="S40" i="13"/>
  <c r="R40" i="13"/>
  <c r="U40" i="13" s="1"/>
  <c r="W39" i="13"/>
  <c r="V39" i="13"/>
  <c r="S39" i="13"/>
  <c r="R39" i="13"/>
  <c r="U39" i="13" s="1"/>
  <c r="W38" i="13"/>
  <c r="V38" i="13"/>
  <c r="S38" i="13"/>
  <c r="R38" i="13"/>
  <c r="U38" i="13" s="1"/>
  <c r="W37" i="13"/>
  <c r="V37" i="13"/>
  <c r="S37" i="13"/>
  <c r="R37" i="13"/>
  <c r="U37" i="13" s="1"/>
  <c r="S36" i="13"/>
  <c r="R36" i="13"/>
  <c r="W33" i="13"/>
  <c r="V33" i="13"/>
  <c r="S33" i="13"/>
  <c r="R33" i="13"/>
  <c r="U33" i="13" s="1"/>
  <c r="W32" i="13"/>
  <c r="V32" i="13"/>
  <c r="S32" i="13"/>
  <c r="R32" i="13"/>
  <c r="U32" i="13" s="1"/>
  <c r="W31" i="13"/>
  <c r="V31" i="13"/>
  <c r="S31" i="13"/>
  <c r="R31" i="13"/>
  <c r="U31" i="13" s="1"/>
  <c r="W30" i="13"/>
  <c r="V30" i="13"/>
  <c r="W29" i="13"/>
  <c r="V29" i="13"/>
  <c r="W28" i="13"/>
  <c r="V28" i="13"/>
  <c r="W27" i="13"/>
  <c r="V27" i="13"/>
  <c r="R27" i="13"/>
  <c r="U27" i="13" s="1"/>
  <c r="W26" i="13"/>
  <c r="V26" i="13"/>
  <c r="S26" i="13"/>
  <c r="R26" i="13"/>
  <c r="U26" i="13" s="1"/>
  <c r="W25" i="13"/>
  <c r="V25" i="13"/>
  <c r="J52" i="13"/>
  <c r="W22" i="13"/>
  <c r="S22" i="13"/>
  <c r="R22" i="13"/>
  <c r="U22" i="13" s="1"/>
  <c r="P51" i="13"/>
  <c r="S19" i="13"/>
  <c r="R19" i="13"/>
  <c r="U19" i="13" s="1"/>
  <c r="S18" i="13"/>
  <c r="R18" i="13"/>
  <c r="U18" i="13" s="1"/>
  <c r="S17" i="13"/>
  <c r="R17" i="13"/>
  <c r="U17" i="13" s="1"/>
  <c r="P50" i="13"/>
  <c r="W10" i="13"/>
  <c r="V10" i="13"/>
  <c r="S10" i="13"/>
  <c r="R10" i="13"/>
  <c r="U10" i="13" s="1"/>
  <c r="L54" i="13" l="1"/>
  <c r="G54" i="13"/>
  <c r="O54" i="13"/>
  <c r="K54" i="13"/>
  <c r="H54" i="13"/>
  <c r="I54" i="13"/>
  <c r="M54" i="13"/>
  <c r="F54" i="13"/>
  <c r="T19" i="13"/>
  <c r="T32" i="13"/>
  <c r="E54" i="13"/>
  <c r="T43" i="13"/>
  <c r="T46" i="13"/>
  <c r="S28" i="13"/>
  <c r="S30" i="13"/>
  <c r="T31" i="13"/>
  <c r="T33" i="13"/>
  <c r="R25" i="13"/>
  <c r="U25" i="13" s="1"/>
  <c r="R29" i="13"/>
  <c r="U29" i="13" s="1"/>
  <c r="T10" i="13"/>
  <c r="T22" i="13"/>
  <c r="T26" i="13"/>
  <c r="S14" i="13"/>
  <c r="S29" i="13"/>
  <c r="S12" i="13"/>
  <c r="S16" i="13"/>
  <c r="T42" i="13"/>
  <c r="T44" i="13"/>
  <c r="S13" i="13"/>
  <c r="S21" i="13"/>
  <c r="Q52" i="13"/>
  <c r="T37" i="13"/>
  <c r="T38" i="13"/>
  <c r="T40" i="13"/>
  <c r="T17" i="13"/>
  <c r="R16" i="13"/>
  <c r="U16" i="13" s="1"/>
  <c r="T18" i="13"/>
  <c r="S24" i="13"/>
  <c r="R28" i="13"/>
  <c r="U28" i="13" s="1"/>
  <c r="R13" i="13"/>
  <c r="U13" i="13" s="1"/>
  <c r="R21" i="13"/>
  <c r="U21" i="13" s="1"/>
  <c r="U30" i="13"/>
  <c r="Q51" i="13"/>
  <c r="R14" i="13"/>
  <c r="U14" i="13" s="1"/>
  <c r="R12" i="13"/>
  <c r="U12" i="13" s="1"/>
  <c r="J51" i="13"/>
  <c r="S27" i="13"/>
  <c r="T27" i="13" s="1"/>
  <c r="N50" i="13"/>
  <c r="R20" i="13"/>
  <c r="U20" i="13" s="1"/>
  <c r="R53" i="13"/>
  <c r="U53" i="13" s="1"/>
  <c r="T39" i="13"/>
  <c r="S49" i="13"/>
  <c r="S53" i="13"/>
  <c r="N52" i="13"/>
  <c r="R49" i="13"/>
  <c r="Q50" i="13"/>
  <c r="R24" i="13"/>
  <c r="S25" i="13"/>
  <c r="J50" i="13"/>
  <c r="P52" i="13"/>
  <c r="P54" i="13" s="1"/>
  <c r="N51" i="13"/>
  <c r="S20" i="13"/>
  <c r="U36" i="13"/>
  <c r="T36" i="13" s="1"/>
  <c r="V59" i="12"/>
  <c r="U59" i="12"/>
  <c r="U49" i="13" l="1"/>
  <c r="Q54" i="13"/>
  <c r="N54" i="13"/>
  <c r="J54" i="13"/>
  <c r="T28" i="13"/>
  <c r="T20" i="13"/>
  <c r="T14" i="13"/>
  <c r="T30" i="13"/>
  <c r="T16" i="13"/>
  <c r="T13" i="13"/>
  <c r="T29" i="13"/>
  <c r="S52" i="13"/>
  <c r="T25" i="13"/>
  <c r="T12" i="13"/>
  <c r="T21" i="13"/>
  <c r="T53" i="13"/>
  <c r="S50" i="13"/>
  <c r="R50" i="13"/>
  <c r="U50" i="13" s="1"/>
  <c r="T49" i="13"/>
  <c r="S51" i="13"/>
  <c r="R51" i="13"/>
  <c r="U51" i="13" s="1"/>
  <c r="U24" i="13"/>
  <c r="T24" i="13" s="1"/>
  <c r="R52" i="13"/>
  <c r="U52" i="13" s="1"/>
  <c r="U46" i="12"/>
  <c r="R46" i="12"/>
  <c r="Q46" i="12"/>
  <c r="T46" i="12" s="1"/>
  <c r="V46" i="12"/>
  <c r="P35" i="12"/>
  <c r="P18" i="12"/>
  <c r="R54" i="13" l="1"/>
  <c r="S46" i="12"/>
  <c r="T52" i="13"/>
  <c r="T50" i="13"/>
  <c r="S54" i="13"/>
  <c r="U54" i="13"/>
  <c r="T51" i="13"/>
  <c r="E66" i="12"/>
  <c r="F66" i="12"/>
  <c r="G66" i="12"/>
  <c r="H66" i="12"/>
  <c r="I66" i="12"/>
  <c r="J66" i="12"/>
  <c r="K66" i="12"/>
  <c r="L66" i="12"/>
  <c r="M66" i="12"/>
  <c r="N66" i="12"/>
  <c r="O66" i="12"/>
  <c r="P66" i="12"/>
  <c r="D66" i="12"/>
  <c r="D65" i="12"/>
  <c r="Q49" i="12"/>
  <c r="T49" i="12" s="1"/>
  <c r="Q48" i="12"/>
  <c r="T48" i="12" s="1"/>
  <c r="V58" i="12"/>
  <c r="U58" i="12"/>
  <c r="R58" i="12"/>
  <c r="Q58" i="12"/>
  <c r="T58" i="12" s="1"/>
  <c r="V57" i="12"/>
  <c r="U57" i="12"/>
  <c r="R57" i="12"/>
  <c r="Q57" i="12"/>
  <c r="T57" i="12" s="1"/>
  <c r="V56" i="12"/>
  <c r="U56" i="12"/>
  <c r="R56" i="12"/>
  <c r="Q56" i="12"/>
  <c r="T56" i="12" s="1"/>
  <c r="V55" i="12"/>
  <c r="U55" i="12"/>
  <c r="R55" i="12"/>
  <c r="Q55" i="12"/>
  <c r="T55" i="12" s="1"/>
  <c r="V54" i="12"/>
  <c r="U54" i="12"/>
  <c r="R54" i="12"/>
  <c r="Q54" i="12"/>
  <c r="T54" i="12" s="1"/>
  <c r="V53" i="12"/>
  <c r="U53" i="12"/>
  <c r="R53" i="12"/>
  <c r="V52" i="12"/>
  <c r="U52" i="12"/>
  <c r="Q52" i="12"/>
  <c r="T52" i="12" s="1"/>
  <c r="V51" i="12"/>
  <c r="U51" i="12"/>
  <c r="R51" i="12"/>
  <c r="V50" i="12"/>
  <c r="U50" i="12"/>
  <c r="R50" i="12"/>
  <c r="Q50" i="12"/>
  <c r="T50" i="12" s="1"/>
  <c r="V49" i="12"/>
  <c r="U49" i="12"/>
  <c r="R49" i="12"/>
  <c r="R48" i="12"/>
  <c r="T54" i="13" l="1"/>
  <c r="R66" i="12"/>
  <c r="S55" i="12"/>
  <c r="S57" i="12"/>
  <c r="S56" i="12"/>
  <c r="S58" i="12"/>
  <c r="S54" i="12"/>
  <c r="S49" i="12"/>
  <c r="S50" i="12"/>
  <c r="S48" i="12"/>
  <c r="Q53" i="12"/>
  <c r="T53" i="12" s="1"/>
  <c r="S53" i="12" s="1"/>
  <c r="Q51" i="12"/>
  <c r="T51" i="12" s="1"/>
  <c r="S51" i="12" s="1"/>
  <c r="R52" i="12"/>
  <c r="S52" i="12" s="1"/>
  <c r="D63" i="12"/>
  <c r="Q66" i="12" l="1"/>
  <c r="T66" i="12" s="1"/>
  <c r="S66" i="12" s="1"/>
  <c r="O35" i="12"/>
  <c r="O32" i="12"/>
  <c r="O22" i="12"/>
  <c r="O101" i="12"/>
  <c r="K65" i="12" l="1"/>
  <c r="J65" i="12"/>
  <c r="H65" i="12"/>
  <c r="G65" i="12"/>
  <c r="F65" i="12"/>
  <c r="E65" i="12"/>
  <c r="L65" i="12"/>
  <c r="P65" i="12"/>
  <c r="O65" i="12"/>
  <c r="N65" i="12"/>
  <c r="Q35" i="12"/>
  <c r="T35" i="12" s="1"/>
  <c r="R35" i="12" l="1"/>
  <c r="S35" i="12" s="1"/>
  <c r="M26" i="12"/>
  <c r="M38" i="12" l="1"/>
  <c r="M41" i="12"/>
  <c r="M31" i="12"/>
  <c r="M39" i="12"/>
  <c r="M18" i="12"/>
  <c r="M19" i="12"/>
  <c r="M22" i="12"/>
  <c r="M20" i="12"/>
  <c r="M40" i="12"/>
  <c r="M36" i="12"/>
  <c r="M65" i="12" l="1"/>
  <c r="F64" i="12"/>
  <c r="G64" i="12"/>
  <c r="H64" i="12"/>
  <c r="J64" i="12"/>
  <c r="K64" i="12"/>
  <c r="L64" i="12"/>
  <c r="M64" i="12"/>
  <c r="N64" i="12"/>
  <c r="O64" i="12"/>
  <c r="P64" i="12"/>
  <c r="F63" i="12"/>
  <c r="G63" i="12"/>
  <c r="H63" i="12"/>
  <c r="J63" i="12"/>
  <c r="K63" i="12"/>
  <c r="L63" i="12"/>
  <c r="M63" i="12"/>
  <c r="N63" i="12"/>
  <c r="O63" i="12"/>
  <c r="P63" i="12"/>
  <c r="E64" i="12"/>
  <c r="E63" i="12"/>
  <c r="V33" i="12" l="1"/>
  <c r="R33" i="12"/>
  <c r="Q33" i="12"/>
  <c r="T33" i="12" s="1"/>
  <c r="S33" i="12" l="1"/>
  <c r="V45" i="12"/>
  <c r="U45" i="12"/>
  <c r="V44" i="12"/>
  <c r="U44" i="12"/>
  <c r="V43" i="12"/>
  <c r="U43" i="12"/>
  <c r="V42" i="12"/>
  <c r="U42" i="12"/>
  <c r="V41" i="12"/>
  <c r="U41" i="12"/>
  <c r="V40" i="12"/>
  <c r="U40" i="12"/>
  <c r="V39" i="12"/>
  <c r="U39" i="12"/>
  <c r="V38" i="12"/>
  <c r="U38" i="12"/>
  <c r="V37" i="12"/>
  <c r="U37" i="12"/>
  <c r="I24" i="12" l="1"/>
  <c r="I32" i="12" l="1"/>
  <c r="I64" i="12" s="1"/>
  <c r="R64" i="12" s="1"/>
  <c r="I21" i="12"/>
  <c r="I36" i="12"/>
  <c r="I65" i="12" s="1"/>
  <c r="R65" i="12" s="1"/>
  <c r="I19" i="12"/>
  <c r="I18" i="12"/>
  <c r="I22" i="12"/>
  <c r="I63" i="12" l="1"/>
  <c r="R63" i="12" s="1"/>
  <c r="H105" i="12"/>
  <c r="H99" i="12"/>
  <c r="H101" i="12"/>
  <c r="D64" i="12" l="1"/>
  <c r="P62" i="12"/>
  <c r="O62" i="12"/>
  <c r="N62" i="12"/>
  <c r="M62" i="12"/>
  <c r="L62" i="12"/>
  <c r="K62" i="12"/>
  <c r="J62" i="12"/>
  <c r="I62" i="12"/>
  <c r="H62" i="12"/>
  <c r="G62" i="12"/>
  <c r="F62" i="12"/>
  <c r="D62" i="12"/>
  <c r="E62" i="12"/>
  <c r="Q15" i="12"/>
  <c r="T15" i="12" s="1"/>
  <c r="R15" i="12"/>
  <c r="V15" i="12"/>
  <c r="U15" i="12"/>
  <c r="Q36" i="12"/>
  <c r="V36" i="12"/>
  <c r="U36" i="12"/>
  <c r="R45" i="12"/>
  <c r="Q45" i="12"/>
  <c r="T45" i="12" s="1"/>
  <c r="R44" i="12"/>
  <c r="Q44" i="12"/>
  <c r="T44" i="12" s="1"/>
  <c r="R43" i="12"/>
  <c r="Q43" i="12"/>
  <c r="T43" i="12" s="1"/>
  <c r="R42" i="12"/>
  <c r="Q42" i="12"/>
  <c r="T42" i="12" s="1"/>
  <c r="R41" i="12"/>
  <c r="Q41" i="12"/>
  <c r="R40" i="12"/>
  <c r="Q40" i="12"/>
  <c r="T40" i="12" s="1"/>
  <c r="R39" i="12"/>
  <c r="Q39" i="12"/>
  <c r="T39" i="12" s="1"/>
  <c r="R38" i="12"/>
  <c r="Q38" i="12"/>
  <c r="T38" i="12" s="1"/>
  <c r="R37" i="12"/>
  <c r="Q37" i="12"/>
  <c r="T37" i="12" s="1"/>
  <c r="R36" i="12"/>
  <c r="T36" i="12" l="1"/>
  <c r="S36" i="12" s="1"/>
  <c r="Q65" i="12"/>
  <c r="T65" i="12" s="1"/>
  <c r="T41" i="12"/>
  <c r="S41" i="12" s="1"/>
  <c r="S42" i="12"/>
  <c r="S15" i="12"/>
  <c r="S44" i="12"/>
  <c r="S38" i="12"/>
  <c r="S40" i="12"/>
  <c r="S37" i="12"/>
  <c r="S39" i="12"/>
  <c r="S45" i="12"/>
  <c r="S65" i="12" l="1"/>
  <c r="P61" i="12"/>
  <c r="O61" i="12"/>
  <c r="N61" i="12"/>
  <c r="M61" i="12"/>
  <c r="L61" i="12"/>
  <c r="K61" i="12"/>
  <c r="J61" i="12"/>
  <c r="I61" i="12"/>
  <c r="H61" i="12"/>
  <c r="G61" i="12"/>
  <c r="F61" i="12"/>
  <c r="E61" i="12"/>
  <c r="D61" i="12"/>
  <c r="R32" i="12"/>
  <c r="Q32" i="12"/>
  <c r="T32" i="12" s="1"/>
  <c r="R31" i="12"/>
  <c r="Q31" i="12"/>
  <c r="T31" i="12" s="1"/>
  <c r="R30" i="12"/>
  <c r="Q30" i="12"/>
  <c r="T30" i="12" s="1"/>
  <c r="R29" i="12"/>
  <c r="Q29" i="12"/>
  <c r="T29" i="12" s="1"/>
  <c r="R28" i="12"/>
  <c r="Q28" i="12"/>
  <c r="T28" i="12" s="1"/>
  <c r="R27" i="12"/>
  <c r="Q27" i="12"/>
  <c r="T27" i="12" s="1"/>
  <c r="R26" i="12"/>
  <c r="Q26" i="12"/>
  <c r="R25" i="12"/>
  <c r="Q25" i="12"/>
  <c r="T25" i="12" s="1"/>
  <c r="R24" i="12"/>
  <c r="Q24" i="12"/>
  <c r="T24" i="12" s="1"/>
  <c r="R22" i="12"/>
  <c r="Q22" i="12"/>
  <c r="R21" i="12"/>
  <c r="Q21" i="12"/>
  <c r="T21" i="12" s="1"/>
  <c r="R20" i="12"/>
  <c r="Q20" i="12"/>
  <c r="T20" i="12" s="1"/>
  <c r="R19" i="12"/>
  <c r="Q19" i="12"/>
  <c r="T19" i="12" s="1"/>
  <c r="R18" i="12"/>
  <c r="Q18" i="12"/>
  <c r="T18" i="12" s="1"/>
  <c r="R17" i="12"/>
  <c r="Q17" i="12"/>
  <c r="T17" i="12" s="1"/>
  <c r="R14" i="12"/>
  <c r="Q14" i="12"/>
  <c r="T14" i="12" s="1"/>
  <c r="R13" i="12"/>
  <c r="Q13" i="12"/>
  <c r="T13" i="12" s="1"/>
  <c r="R12" i="12"/>
  <c r="Q12" i="12"/>
  <c r="R10" i="12"/>
  <c r="Q10" i="12"/>
  <c r="T10" i="12" s="1"/>
  <c r="J67" i="12" l="1"/>
  <c r="L67" i="12"/>
  <c r="E67" i="12"/>
  <c r="F67" i="12"/>
  <c r="N67" i="12"/>
  <c r="I67" i="12"/>
  <c r="H67" i="12"/>
  <c r="P67" i="12"/>
  <c r="K67" i="12"/>
  <c r="M67" i="12"/>
  <c r="G67" i="12"/>
  <c r="O67" i="12"/>
  <c r="T26" i="12"/>
  <c r="S26" i="12" s="1"/>
  <c r="Q64" i="12"/>
  <c r="T64" i="12" s="1"/>
  <c r="S64" i="12" s="1"/>
  <c r="T22" i="12"/>
  <c r="S22" i="12" s="1"/>
  <c r="Q63" i="12"/>
  <c r="T63" i="12" s="1"/>
  <c r="S63" i="12" s="1"/>
  <c r="Q62" i="12"/>
  <c r="S21" i="12"/>
  <c r="R61" i="12"/>
  <c r="S24" i="12"/>
  <c r="S18" i="12"/>
  <c r="S14" i="12"/>
  <c r="S10" i="12"/>
  <c r="S28" i="12"/>
  <c r="S32" i="12"/>
  <c r="S13" i="12"/>
  <c r="S17" i="12"/>
  <c r="S19" i="12"/>
  <c r="S20" i="12"/>
  <c r="S25" i="12"/>
  <c r="S27" i="12"/>
  <c r="S29" i="12"/>
  <c r="D67" i="12"/>
  <c r="Q61" i="12"/>
  <c r="T12" i="12"/>
  <c r="S12" i="12" s="1"/>
  <c r="R62" i="12"/>
  <c r="Q45" i="11"/>
  <c r="T45" i="11" s="1"/>
  <c r="R45" i="11"/>
  <c r="Q44" i="11"/>
  <c r="T44" i="11" s="1"/>
  <c r="R44" i="11"/>
  <c r="Q33" i="11"/>
  <c r="T33" i="11" s="1"/>
  <c r="R33" i="11"/>
  <c r="R39" i="11"/>
  <c r="Q39" i="11"/>
  <c r="T39" i="11" s="1"/>
  <c r="R32" i="11"/>
  <c r="Q32" i="11"/>
  <c r="T32" i="11" s="1"/>
  <c r="R17" i="11"/>
  <c r="Q17" i="11"/>
  <c r="T17" i="11" s="1"/>
  <c r="F83" i="11"/>
  <c r="F84" i="11"/>
  <c r="F85" i="11"/>
  <c r="F86" i="11"/>
  <c r="F87" i="11"/>
  <c r="E83" i="11"/>
  <c r="E84" i="11"/>
  <c r="E85" i="11"/>
  <c r="E86" i="11"/>
  <c r="E87" i="11"/>
  <c r="F82" i="11"/>
  <c r="E82" i="11"/>
  <c r="D88" i="11"/>
  <c r="R43" i="11"/>
  <c r="Q43" i="11"/>
  <c r="T43" i="11" s="1"/>
  <c r="R42" i="11"/>
  <c r="Q42" i="11"/>
  <c r="T42" i="11" s="1"/>
  <c r="R41" i="11"/>
  <c r="Q41" i="11"/>
  <c r="T41" i="11" s="1"/>
  <c r="R40" i="11"/>
  <c r="Q40" i="11"/>
  <c r="T40" i="11" s="1"/>
  <c r="R38" i="11"/>
  <c r="Q38" i="11"/>
  <c r="T38" i="11" s="1"/>
  <c r="R37" i="11"/>
  <c r="Q37" i="11"/>
  <c r="T37" i="11" s="1"/>
  <c r="R36" i="11"/>
  <c r="Q36" i="11"/>
  <c r="T36" i="11" s="1"/>
  <c r="R35" i="11"/>
  <c r="Q35" i="11"/>
  <c r="T35" i="11" s="1"/>
  <c r="D51" i="11"/>
  <c r="D50" i="11"/>
  <c r="Q58" i="11"/>
  <c r="P58" i="11"/>
  <c r="O58" i="11"/>
  <c r="N58" i="11"/>
  <c r="M58" i="11"/>
  <c r="L58" i="11"/>
  <c r="K58" i="11"/>
  <c r="J58" i="11"/>
  <c r="I58" i="11"/>
  <c r="H58" i="11"/>
  <c r="G58" i="11"/>
  <c r="F58" i="11"/>
  <c r="E58" i="11"/>
  <c r="R58" i="11" s="1"/>
  <c r="D58" i="11"/>
  <c r="Q57" i="11"/>
  <c r="Q61" i="11" s="1"/>
  <c r="P57" i="11"/>
  <c r="P61" i="11" s="1"/>
  <c r="O57" i="11"/>
  <c r="O61" i="11" s="1"/>
  <c r="N57" i="11"/>
  <c r="N61" i="11" s="1"/>
  <c r="M57" i="11"/>
  <c r="M61" i="11" s="1"/>
  <c r="L57" i="11"/>
  <c r="L61" i="11" s="1"/>
  <c r="K57" i="11"/>
  <c r="K61" i="11" s="1"/>
  <c r="J57" i="11"/>
  <c r="J61" i="11" s="1"/>
  <c r="I57" i="11"/>
  <c r="I61" i="11" s="1"/>
  <c r="H57" i="11"/>
  <c r="H61" i="11" s="1"/>
  <c r="G57" i="11"/>
  <c r="G61" i="11" s="1"/>
  <c r="F57" i="11"/>
  <c r="F61" i="11" s="1"/>
  <c r="E57" i="11"/>
  <c r="E61" i="11" s="1"/>
  <c r="D57" i="11"/>
  <c r="D61" i="11" s="1"/>
  <c r="P49" i="11"/>
  <c r="P60" i="11" s="1"/>
  <c r="P48" i="11"/>
  <c r="P59" i="11" s="1"/>
  <c r="O49" i="11"/>
  <c r="N49" i="11"/>
  <c r="N60" i="11" s="1"/>
  <c r="M49" i="11"/>
  <c r="M60" i="11" s="1"/>
  <c r="L49" i="11"/>
  <c r="L60" i="11" s="1"/>
  <c r="K49" i="11"/>
  <c r="J49" i="11"/>
  <c r="J60" i="11" s="1"/>
  <c r="I49" i="11"/>
  <c r="H49" i="11"/>
  <c r="H60" i="11" s="1"/>
  <c r="G49" i="11"/>
  <c r="G60" i="11" s="1"/>
  <c r="F49" i="11"/>
  <c r="F60" i="11" s="1"/>
  <c r="E49" i="11"/>
  <c r="E60" i="11" s="1"/>
  <c r="R60" i="11" s="1"/>
  <c r="D49" i="11"/>
  <c r="O48" i="11"/>
  <c r="O59" i="11" s="1"/>
  <c r="N48" i="11"/>
  <c r="N59" i="11" s="1"/>
  <c r="M48" i="11"/>
  <c r="L48" i="11"/>
  <c r="L59" i="11" s="1"/>
  <c r="K48" i="11"/>
  <c r="K59" i="11" s="1"/>
  <c r="J48" i="11"/>
  <c r="I48" i="11"/>
  <c r="I59" i="11" s="1"/>
  <c r="H48" i="11"/>
  <c r="H59" i="11" s="1"/>
  <c r="G48" i="11"/>
  <c r="F48" i="11"/>
  <c r="E48" i="11"/>
  <c r="E59" i="11" s="1"/>
  <c r="R59" i="11" s="1"/>
  <c r="D48" i="11"/>
  <c r="D59" i="11" s="1"/>
  <c r="R31" i="11"/>
  <c r="Q31" i="11"/>
  <c r="T31" i="11" s="1"/>
  <c r="R30" i="11"/>
  <c r="Q30" i="11"/>
  <c r="T30" i="11" s="1"/>
  <c r="R29" i="11"/>
  <c r="Q29" i="11"/>
  <c r="T29" i="11" s="1"/>
  <c r="R28" i="11"/>
  <c r="Q28" i="11"/>
  <c r="T28" i="11" s="1"/>
  <c r="R27" i="11"/>
  <c r="Q27" i="11"/>
  <c r="T27" i="11" s="1"/>
  <c r="R26" i="11"/>
  <c r="Q26" i="11"/>
  <c r="T26" i="11" s="1"/>
  <c r="R24" i="11"/>
  <c r="Q24" i="11"/>
  <c r="T24" i="11" s="1"/>
  <c r="R23" i="11"/>
  <c r="Q23" i="11"/>
  <c r="T23" i="11" s="1"/>
  <c r="R22" i="11"/>
  <c r="Q22" i="11"/>
  <c r="T22" i="11" s="1"/>
  <c r="R21" i="11"/>
  <c r="Q21" i="11"/>
  <c r="T21" i="11" s="1"/>
  <c r="R20" i="11"/>
  <c r="Q20" i="11"/>
  <c r="T20" i="11" s="1"/>
  <c r="R19" i="11"/>
  <c r="Q19" i="11"/>
  <c r="T19" i="11" s="1"/>
  <c r="R16" i="11"/>
  <c r="Q16" i="11"/>
  <c r="T16" i="11" s="1"/>
  <c r="R15" i="11"/>
  <c r="Q15" i="11"/>
  <c r="R14" i="11"/>
  <c r="Q14" i="11"/>
  <c r="T14" i="11" s="1"/>
  <c r="R13" i="11"/>
  <c r="Q13" i="11"/>
  <c r="T13" i="11" s="1"/>
  <c r="S30" i="10"/>
  <c r="R30" i="10"/>
  <c r="U30" i="10" s="1"/>
  <c r="S32" i="10"/>
  <c r="R32" i="10"/>
  <c r="U32" i="10" s="1"/>
  <c r="S31" i="10"/>
  <c r="R31" i="10"/>
  <c r="U31" i="10" s="1"/>
  <c r="S29" i="10"/>
  <c r="R29" i="10"/>
  <c r="U29" i="10" s="1"/>
  <c r="S28" i="10"/>
  <c r="R28" i="10"/>
  <c r="U28" i="10" s="1"/>
  <c r="S27" i="10"/>
  <c r="R27" i="10"/>
  <c r="U27" i="10" s="1"/>
  <c r="S26" i="10"/>
  <c r="R26" i="10"/>
  <c r="U26" i="10" s="1"/>
  <c r="R41" i="10"/>
  <c r="R45" i="10" s="1"/>
  <c r="Q41" i="10"/>
  <c r="Q45" i="10" s="1"/>
  <c r="P41" i="10"/>
  <c r="P45" i="10" s="1"/>
  <c r="O41" i="10"/>
  <c r="O45" i="10" s="1"/>
  <c r="N41" i="10"/>
  <c r="N45" i="10" s="1"/>
  <c r="M41" i="10"/>
  <c r="M45" i="10" s="1"/>
  <c r="L41" i="10"/>
  <c r="L45" i="10" s="1"/>
  <c r="K41" i="10"/>
  <c r="K45" i="10" s="1"/>
  <c r="J41" i="10"/>
  <c r="J45" i="10" s="1"/>
  <c r="I41" i="10"/>
  <c r="I45" i="10" s="1"/>
  <c r="H41" i="10"/>
  <c r="H45" i="10" s="1"/>
  <c r="G41" i="10"/>
  <c r="G45" i="10" s="1"/>
  <c r="F41" i="10"/>
  <c r="E41" i="10"/>
  <c r="E45" i="10" s="1"/>
  <c r="Q35" i="10"/>
  <c r="Q44" i="10" s="1"/>
  <c r="P35" i="10"/>
  <c r="P44" i="10" s="1"/>
  <c r="O35" i="10"/>
  <c r="O44" i="10" s="1"/>
  <c r="N35" i="10"/>
  <c r="N44" i="10" s="1"/>
  <c r="M35" i="10"/>
  <c r="L35" i="10"/>
  <c r="L44" i="10" s="1"/>
  <c r="K35" i="10"/>
  <c r="K44" i="10" s="1"/>
  <c r="J35" i="10"/>
  <c r="J44" i="10" s="1"/>
  <c r="I35" i="10"/>
  <c r="H35" i="10"/>
  <c r="G35" i="10"/>
  <c r="G44" i="10" s="1"/>
  <c r="F35" i="10"/>
  <c r="E35" i="10"/>
  <c r="E44" i="10" s="1"/>
  <c r="Q34" i="10"/>
  <c r="Q43" i="10" s="1"/>
  <c r="P34" i="10"/>
  <c r="P43" i="10" s="1"/>
  <c r="O34" i="10"/>
  <c r="N34" i="10"/>
  <c r="N43" i="10" s="1"/>
  <c r="M34" i="10"/>
  <c r="M43" i="10" s="1"/>
  <c r="L34" i="10"/>
  <c r="L43" i="10" s="1"/>
  <c r="K34" i="10"/>
  <c r="J34" i="10"/>
  <c r="I34" i="10"/>
  <c r="I43" i="10" s="1"/>
  <c r="H34" i="10"/>
  <c r="H43" i="10" s="1"/>
  <c r="G34" i="10"/>
  <c r="F34" i="10"/>
  <c r="F43" i="10" s="1"/>
  <c r="S43" i="10" s="1"/>
  <c r="E34" i="10"/>
  <c r="S24" i="10"/>
  <c r="R24" i="10"/>
  <c r="U24" i="10" s="1"/>
  <c r="S23" i="10"/>
  <c r="R23" i="10"/>
  <c r="U23" i="10" s="1"/>
  <c r="S22" i="10"/>
  <c r="R22" i="10"/>
  <c r="U22" i="10" s="1"/>
  <c r="S21" i="10"/>
  <c r="R21" i="10"/>
  <c r="U21" i="10" s="1"/>
  <c r="S20" i="10"/>
  <c r="R20" i="10"/>
  <c r="U20" i="10" s="1"/>
  <c r="S19" i="10"/>
  <c r="R19" i="10"/>
  <c r="U19" i="10" s="1"/>
  <c r="S18" i="10"/>
  <c r="R18" i="10"/>
  <c r="U18" i="10" s="1"/>
  <c r="S17" i="10"/>
  <c r="R17" i="10"/>
  <c r="U17" i="10" s="1"/>
  <c r="S15" i="10"/>
  <c r="R15" i="10"/>
  <c r="U15" i="10" s="1"/>
  <c r="S14" i="10"/>
  <c r="R14" i="10"/>
  <c r="U14" i="10" s="1"/>
  <c r="S13" i="10"/>
  <c r="R13" i="10"/>
  <c r="U13" i="10" s="1"/>
  <c r="S12" i="10"/>
  <c r="R12" i="10"/>
  <c r="S11" i="10"/>
  <c r="R11" i="10"/>
  <c r="U11" i="10" s="1"/>
  <c r="Q42" i="10"/>
  <c r="K42" i="10"/>
  <c r="I42" i="10"/>
  <c r="H42" i="10"/>
  <c r="G42" i="10"/>
  <c r="F42" i="10"/>
  <c r="S42" i="10" s="1"/>
  <c r="E42" i="10"/>
  <c r="S75" i="9"/>
  <c r="S74" i="9"/>
  <c r="S72" i="9"/>
  <c r="R72" i="9"/>
  <c r="U72" i="9" s="1"/>
  <c r="S64" i="9"/>
  <c r="R64" i="9"/>
  <c r="U64" i="9" s="1"/>
  <c r="E35" i="9"/>
  <c r="R75" i="9"/>
  <c r="U75" i="9" s="1"/>
  <c r="R74" i="9"/>
  <c r="U74" i="9" s="1"/>
  <c r="K34" i="9"/>
  <c r="R34" i="9" s="1"/>
  <c r="U34" i="9" s="1"/>
  <c r="K15" i="9"/>
  <c r="S66" i="9"/>
  <c r="R66" i="9"/>
  <c r="U66" i="9" s="1"/>
  <c r="S65" i="9"/>
  <c r="R65" i="9"/>
  <c r="U65" i="9" s="1"/>
  <c r="K38" i="9"/>
  <c r="R38" i="9" s="1"/>
  <c r="U38" i="9" s="1"/>
  <c r="S71" i="9"/>
  <c r="R71" i="9"/>
  <c r="U71" i="9" s="1"/>
  <c r="S76" i="9"/>
  <c r="S73" i="9"/>
  <c r="S70" i="9"/>
  <c r="S69" i="9"/>
  <c r="S67" i="9"/>
  <c r="S63" i="9"/>
  <c r="S11" i="9"/>
  <c r="S10" i="9"/>
  <c r="S21" i="9"/>
  <c r="S20" i="9"/>
  <c r="S19" i="9"/>
  <c r="S18" i="9"/>
  <c r="S17" i="9"/>
  <c r="S16" i="9"/>
  <c r="J14" i="9"/>
  <c r="J54" i="9" s="1"/>
  <c r="S13" i="9"/>
  <c r="S33" i="9"/>
  <c r="S32" i="9"/>
  <c r="S31" i="9"/>
  <c r="S30" i="9"/>
  <c r="S29" i="9"/>
  <c r="S28" i="9"/>
  <c r="S27" i="9"/>
  <c r="S26" i="9"/>
  <c r="S25" i="9"/>
  <c r="J24" i="9"/>
  <c r="R24" i="9" s="1"/>
  <c r="S23" i="9"/>
  <c r="S35" i="9"/>
  <c r="S51" i="9"/>
  <c r="S50" i="9"/>
  <c r="S49" i="9"/>
  <c r="S48" i="9"/>
  <c r="S47" i="9"/>
  <c r="S46" i="9"/>
  <c r="S45" i="9"/>
  <c r="S44" i="9"/>
  <c r="S43" i="9"/>
  <c r="S42" i="9"/>
  <c r="S41" i="9"/>
  <c r="S40" i="9"/>
  <c r="S37" i="9"/>
  <c r="S39" i="9"/>
  <c r="Q79" i="9"/>
  <c r="Q56" i="9"/>
  <c r="P79" i="9"/>
  <c r="P56" i="9"/>
  <c r="O79" i="9"/>
  <c r="O56" i="9"/>
  <c r="N79" i="9"/>
  <c r="N56" i="9"/>
  <c r="M79" i="9"/>
  <c r="M56" i="9"/>
  <c r="J79" i="9"/>
  <c r="J56" i="9"/>
  <c r="I79" i="9"/>
  <c r="I56" i="9"/>
  <c r="H79" i="9"/>
  <c r="H56" i="9"/>
  <c r="G79" i="9"/>
  <c r="G56" i="9"/>
  <c r="F79" i="9"/>
  <c r="F56" i="9"/>
  <c r="Q78" i="9"/>
  <c r="Q55" i="9"/>
  <c r="P78" i="9"/>
  <c r="P55" i="9"/>
  <c r="O78" i="9"/>
  <c r="O55" i="9"/>
  <c r="N78" i="9"/>
  <c r="N55" i="9"/>
  <c r="M78" i="9"/>
  <c r="M55" i="9"/>
  <c r="J78" i="9"/>
  <c r="I78" i="9"/>
  <c r="I55" i="9"/>
  <c r="H78" i="9"/>
  <c r="H55" i="9"/>
  <c r="F78" i="9"/>
  <c r="F55" i="9"/>
  <c r="Q54" i="9"/>
  <c r="Q86" i="9" s="1"/>
  <c r="P54" i="9"/>
  <c r="P86" i="9" s="1"/>
  <c r="O54" i="9"/>
  <c r="O86" i="9" s="1"/>
  <c r="N54" i="9"/>
  <c r="N86" i="9" s="1"/>
  <c r="M54" i="9"/>
  <c r="M86" i="9" s="1"/>
  <c r="I54" i="9"/>
  <c r="I86" i="9" s="1"/>
  <c r="H54" i="9"/>
  <c r="H86" i="9" s="1"/>
  <c r="G54" i="9"/>
  <c r="G86" i="9" s="1"/>
  <c r="F54" i="9"/>
  <c r="F86" i="9" s="1"/>
  <c r="E54" i="9"/>
  <c r="E86" i="9" s="1"/>
  <c r="Q53" i="9"/>
  <c r="P53" i="9"/>
  <c r="P85" i="9" s="1"/>
  <c r="O53" i="9"/>
  <c r="O85" i="9" s="1"/>
  <c r="N53" i="9"/>
  <c r="N85" i="9" s="1"/>
  <c r="M53" i="9"/>
  <c r="M85" i="9" s="1"/>
  <c r="J53" i="9"/>
  <c r="I53" i="9"/>
  <c r="I85" i="9" s="1"/>
  <c r="H53" i="9"/>
  <c r="H85" i="9" s="1"/>
  <c r="G53" i="9"/>
  <c r="G85" i="9" s="1"/>
  <c r="F53" i="9"/>
  <c r="F85" i="9" s="1"/>
  <c r="E53" i="9"/>
  <c r="E85" i="9" s="1"/>
  <c r="R76" i="9"/>
  <c r="U76" i="9" s="1"/>
  <c r="R70" i="9"/>
  <c r="U70" i="9" s="1"/>
  <c r="L79" i="9"/>
  <c r="L56" i="9"/>
  <c r="K79" i="9"/>
  <c r="L78" i="9"/>
  <c r="L55" i="9"/>
  <c r="L53" i="9"/>
  <c r="L54" i="9"/>
  <c r="L86" i="9" s="1"/>
  <c r="K78" i="9"/>
  <c r="G78" i="9"/>
  <c r="E79" i="9"/>
  <c r="E78" i="9"/>
  <c r="E56" i="9"/>
  <c r="G55" i="9"/>
  <c r="R51" i="9"/>
  <c r="U51" i="9" s="1"/>
  <c r="R50" i="9"/>
  <c r="U50" i="9" s="1"/>
  <c r="R49" i="9"/>
  <c r="U49" i="9" s="1"/>
  <c r="R48" i="9"/>
  <c r="U48" i="9" s="1"/>
  <c r="R47" i="9"/>
  <c r="U47" i="9" s="1"/>
  <c r="R46" i="9"/>
  <c r="U46" i="9" s="1"/>
  <c r="R45" i="9"/>
  <c r="U45" i="9" s="1"/>
  <c r="R44" i="9"/>
  <c r="U44" i="9" s="1"/>
  <c r="R43" i="9"/>
  <c r="U43" i="9" s="1"/>
  <c r="R42" i="9"/>
  <c r="U42" i="9" s="1"/>
  <c r="R41" i="9"/>
  <c r="U41" i="9" s="1"/>
  <c r="R40" i="9"/>
  <c r="U40" i="9" s="1"/>
  <c r="R39" i="9"/>
  <c r="U39" i="9" s="1"/>
  <c r="R69" i="9"/>
  <c r="U69" i="9" s="1"/>
  <c r="R37" i="9"/>
  <c r="U37" i="9" s="1"/>
  <c r="R67" i="9"/>
  <c r="U67" i="9" s="1"/>
  <c r="R63" i="9"/>
  <c r="U63" i="9" s="1"/>
  <c r="R35" i="9"/>
  <c r="R33" i="9"/>
  <c r="U33" i="9" s="1"/>
  <c r="R32" i="9"/>
  <c r="U32" i="9" s="1"/>
  <c r="R31" i="9"/>
  <c r="U31" i="9" s="1"/>
  <c r="R30" i="9"/>
  <c r="U30" i="9" s="1"/>
  <c r="R29" i="9"/>
  <c r="U29" i="9" s="1"/>
  <c r="R28" i="9"/>
  <c r="U28" i="9" s="1"/>
  <c r="R27" i="9"/>
  <c r="U27" i="9" s="1"/>
  <c r="R26" i="9"/>
  <c r="U26" i="9" s="1"/>
  <c r="R73" i="9"/>
  <c r="U73" i="9" s="1"/>
  <c r="R25" i="9"/>
  <c r="U25" i="9" s="1"/>
  <c r="R23" i="9"/>
  <c r="U23" i="9" s="1"/>
  <c r="R21" i="9"/>
  <c r="U21" i="9" s="1"/>
  <c r="R20" i="9"/>
  <c r="U20" i="9" s="1"/>
  <c r="R19" i="9"/>
  <c r="U19" i="9" s="1"/>
  <c r="R18" i="9"/>
  <c r="U18" i="9" s="1"/>
  <c r="R17" i="9"/>
  <c r="U17" i="9" s="1"/>
  <c r="R16" i="9"/>
  <c r="U16" i="9" s="1"/>
  <c r="R13" i="9"/>
  <c r="U13" i="9" s="1"/>
  <c r="R11" i="9"/>
  <c r="U11" i="9" s="1"/>
  <c r="K53" i="9"/>
  <c r="K85" i="9" s="1"/>
  <c r="R10" i="9"/>
  <c r="U10" i="9" s="1"/>
  <c r="D25" i="8"/>
  <c r="D24" i="8"/>
  <c r="D23" i="8"/>
  <c r="D22" i="8"/>
  <c r="D21" i="8"/>
  <c r="D20" i="8"/>
  <c r="D19" i="8"/>
  <c r="D18" i="8"/>
  <c r="D17" i="8"/>
  <c r="D16" i="8"/>
  <c r="D15" i="8"/>
  <c r="D14" i="8"/>
  <c r="D13" i="8"/>
  <c r="D12" i="8"/>
  <c r="D11" i="8"/>
  <c r="D10" i="8"/>
  <c r="D9" i="8"/>
  <c r="D8" i="8"/>
  <c r="D7" i="8"/>
  <c r="D6" i="8"/>
  <c r="D5" i="8"/>
  <c r="D4" i="8"/>
  <c r="D3" i="8"/>
  <c r="D2" i="8"/>
  <c r="S51" i="7"/>
  <c r="R51" i="7"/>
  <c r="U51" i="7" s="1"/>
  <c r="R50" i="7"/>
  <c r="U50" i="7" s="1"/>
  <c r="S50" i="7"/>
  <c r="S49" i="7"/>
  <c r="R49" i="7"/>
  <c r="U49" i="7" s="1"/>
  <c r="R38" i="7"/>
  <c r="U38" i="7" s="1"/>
  <c r="S38" i="7"/>
  <c r="R30" i="6"/>
  <c r="U30" i="6" s="1"/>
  <c r="F56" i="7"/>
  <c r="G56" i="7"/>
  <c r="G53" i="7"/>
  <c r="G54" i="7"/>
  <c r="G55" i="7"/>
  <c r="H56" i="7"/>
  <c r="I56" i="7"/>
  <c r="J56" i="7"/>
  <c r="K56" i="7"/>
  <c r="L56" i="7"/>
  <c r="M56" i="7"/>
  <c r="N56" i="7"/>
  <c r="O56" i="7"/>
  <c r="P56" i="7"/>
  <c r="Q56" i="7"/>
  <c r="Q53" i="7"/>
  <c r="Q54" i="7"/>
  <c r="Q55" i="7"/>
  <c r="E56" i="7"/>
  <c r="S48" i="7"/>
  <c r="R48" i="7"/>
  <c r="U48" i="7" s="1"/>
  <c r="S47" i="7"/>
  <c r="R47" i="7"/>
  <c r="U47" i="7" s="1"/>
  <c r="S46" i="7"/>
  <c r="R46" i="7"/>
  <c r="U46" i="7" s="1"/>
  <c r="S45" i="7"/>
  <c r="R45" i="7"/>
  <c r="U45" i="7" s="1"/>
  <c r="S44" i="7"/>
  <c r="R44" i="7"/>
  <c r="U44" i="7" s="1"/>
  <c r="S43" i="7"/>
  <c r="R43" i="7"/>
  <c r="U43" i="7" s="1"/>
  <c r="S42" i="7"/>
  <c r="R42" i="7"/>
  <c r="U42" i="7" s="1"/>
  <c r="S41" i="7"/>
  <c r="R41" i="7"/>
  <c r="U41" i="7" s="1"/>
  <c r="S40" i="7"/>
  <c r="R40" i="7"/>
  <c r="U40" i="7" s="1"/>
  <c r="S39" i="7"/>
  <c r="R39" i="7"/>
  <c r="U39" i="7" s="1"/>
  <c r="S37" i="7"/>
  <c r="R37" i="7"/>
  <c r="U37" i="7" s="1"/>
  <c r="P55" i="7"/>
  <c r="F55" i="7"/>
  <c r="H55" i="7"/>
  <c r="I55" i="7"/>
  <c r="J55" i="7"/>
  <c r="K55" i="7"/>
  <c r="L55" i="7"/>
  <c r="M55" i="7"/>
  <c r="N55" i="7"/>
  <c r="O55" i="7"/>
  <c r="E55" i="7"/>
  <c r="P54" i="7"/>
  <c r="O54" i="7"/>
  <c r="N54" i="7"/>
  <c r="M54" i="7"/>
  <c r="L54" i="7"/>
  <c r="K54" i="7"/>
  <c r="J54" i="7"/>
  <c r="I54" i="7"/>
  <c r="H54" i="7"/>
  <c r="F54" i="7"/>
  <c r="E54" i="7"/>
  <c r="P53" i="7"/>
  <c r="O53" i="7"/>
  <c r="N53" i="7"/>
  <c r="M53" i="7"/>
  <c r="L53" i="7"/>
  <c r="K53" i="7"/>
  <c r="J53" i="7"/>
  <c r="I53" i="7"/>
  <c r="H53" i="7"/>
  <c r="F53" i="7"/>
  <c r="E53" i="7"/>
  <c r="S35" i="7"/>
  <c r="R35" i="7"/>
  <c r="U35" i="7" s="1"/>
  <c r="S34" i="7"/>
  <c r="R34" i="7"/>
  <c r="U34" i="7" s="1"/>
  <c r="S33" i="7"/>
  <c r="R33" i="7"/>
  <c r="U33" i="7" s="1"/>
  <c r="S32" i="7"/>
  <c r="R32" i="7"/>
  <c r="U32" i="7" s="1"/>
  <c r="S31" i="7"/>
  <c r="R31" i="7"/>
  <c r="U31" i="7" s="1"/>
  <c r="S30" i="7"/>
  <c r="R30" i="7"/>
  <c r="U30" i="7" s="1"/>
  <c r="S29" i="7"/>
  <c r="R29" i="7"/>
  <c r="U29" i="7" s="1"/>
  <c r="S28" i="7"/>
  <c r="R28" i="7"/>
  <c r="U28" i="7" s="1"/>
  <c r="S27" i="7"/>
  <c r="R27" i="7"/>
  <c r="U27" i="7" s="1"/>
  <c r="S26" i="7"/>
  <c r="R26" i="7"/>
  <c r="U26" i="7" s="1"/>
  <c r="S25" i="7"/>
  <c r="R25" i="7"/>
  <c r="S24" i="7"/>
  <c r="R24" i="7"/>
  <c r="U24" i="7" s="1"/>
  <c r="S23" i="7"/>
  <c r="R23" i="7"/>
  <c r="U23" i="7" s="1"/>
  <c r="S21" i="7"/>
  <c r="R21" i="7"/>
  <c r="U21" i="7" s="1"/>
  <c r="S20" i="7"/>
  <c r="R20" i="7"/>
  <c r="U20" i="7" s="1"/>
  <c r="S19" i="7"/>
  <c r="R19" i="7"/>
  <c r="U19" i="7" s="1"/>
  <c r="S18" i="7"/>
  <c r="R18" i="7"/>
  <c r="S17" i="7"/>
  <c r="R17" i="7"/>
  <c r="U17" i="7" s="1"/>
  <c r="S16" i="7"/>
  <c r="R16" i="7"/>
  <c r="U16" i="7" s="1"/>
  <c r="S15" i="7"/>
  <c r="R15" i="7"/>
  <c r="U15" i="7" s="1"/>
  <c r="S13" i="7"/>
  <c r="R13" i="7"/>
  <c r="U13" i="7" s="1"/>
  <c r="S12" i="7"/>
  <c r="R12" i="7"/>
  <c r="U12" i="7" s="1"/>
  <c r="S11" i="7"/>
  <c r="R11" i="7"/>
  <c r="U11" i="7" s="1"/>
  <c r="S10" i="7"/>
  <c r="R10" i="7"/>
  <c r="R49" i="6"/>
  <c r="U49" i="6" s="1"/>
  <c r="S49" i="6"/>
  <c r="F55" i="6"/>
  <c r="G55" i="6"/>
  <c r="H55" i="6"/>
  <c r="I55" i="6"/>
  <c r="J55" i="6"/>
  <c r="K55" i="6"/>
  <c r="L55" i="6"/>
  <c r="M55" i="6"/>
  <c r="N55" i="6"/>
  <c r="O55" i="6"/>
  <c r="P55" i="6"/>
  <c r="Q55" i="6"/>
  <c r="E55" i="6"/>
  <c r="E54" i="6"/>
  <c r="Q54" i="6"/>
  <c r="P54" i="6"/>
  <c r="O54" i="6"/>
  <c r="N54" i="6"/>
  <c r="M54" i="6"/>
  <c r="L54" i="6"/>
  <c r="K54" i="6"/>
  <c r="J54" i="6"/>
  <c r="I54" i="6"/>
  <c r="H54" i="6"/>
  <c r="G54" i="6"/>
  <c r="F54" i="6"/>
  <c r="Q53" i="6"/>
  <c r="P53" i="6"/>
  <c r="O53" i="6"/>
  <c r="O52" i="6"/>
  <c r="N53" i="6"/>
  <c r="M53" i="6"/>
  <c r="L53" i="6"/>
  <c r="K53" i="6"/>
  <c r="J53" i="6"/>
  <c r="J52" i="6"/>
  <c r="I53" i="6"/>
  <c r="H53" i="6"/>
  <c r="H52" i="6"/>
  <c r="G53" i="6"/>
  <c r="F53" i="6"/>
  <c r="E53" i="6"/>
  <c r="Q52" i="6"/>
  <c r="P52" i="6"/>
  <c r="N52" i="6"/>
  <c r="M52" i="6"/>
  <c r="L52" i="6"/>
  <c r="K52" i="6"/>
  <c r="I52" i="6"/>
  <c r="G52" i="6"/>
  <c r="F52" i="6"/>
  <c r="E52" i="6"/>
  <c r="S50" i="6"/>
  <c r="R50" i="6"/>
  <c r="U50" i="6" s="1"/>
  <c r="S48" i="6"/>
  <c r="R48" i="6"/>
  <c r="U48" i="6" s="1"/>
  <c r="S47" i="6"/>
  <c r="R47" i="6"/>
  <c r="U47" i="6" s="1"/>
  <c r="S46" i="6"/>
  <c r="R46" i="6"/>
  <c r="U46" i="6" s="1"/>
  <c r="S45" i="6"/>
  <c r="R45" i="6"/>
  <c r="U45" i="6" s="1"/>
  <c r="S44" i="6"/>
  <c r="R44" i="6"/>
  <c r="U44" i="6" s="1"/>
  <c r="S43" i="6"/>
  <c r="R43" i="6"/>
  <c r="U43" i="6" s="1"/>
  <c r="S42" i="6"/>
  <c r="R42" i="6"/>
  <c r="U42" i="6" s="1"/>
  <c r="S41" i="6"/>
  <c r="R41" i="6"/>
  <c r="U41" i="6" s="1"/>
  <c r="S40" i="6"/>
  <c r="R40" i="6"/>
  <c r="U40" i="6" s="1"/>
  <c r="S39" i="6"/>
  <c r="R39" i="6"/>
  <c r="U39" i="6" s="1"/>
  <c r="S38" i="6"/>
  <c r="R38" i="6"/>
  <c r="U38" i="6" s="1"/>
  <c r="S36" i="6"/>
  <c r="T36" i="6" s="1"/>
  <c r="R36" i="6"/>
  <c r="S35" i="6"/>
  <c r="R35" i="6"/>
  <c r="U35" i="6" s="1"/>
  <c r="S34" i="6"/>
  <c r="R34" i="6"/>
  <c r="U34" i="6" s="1"/>
  <c r="S33" i="6"/>
  <c r="R33" i="6"/>
  <c r="U33" i="6" s="1"/>
  <c r="S32" i="6"/>
  <c r="R32" i="6"/>
  <c r="U32" i="6" s="1"/>
  <c r="S31" i="6"/>
  <c r="R31" i="6"/>
  <c r="U31" i="6" s="1"/>
  <c r="S30" i="6"/>
  <c r="S29" i="6"/>
  <c r="R29" i="6"/>
  <c r="U29" i="6" s="1"/>
  <c r="S28" i="6"/>
  <c r="R28" i="6"/>
  <c r="U28" i="6" s="1"/>
  <c r="S27" i="6"/>
  <c r="R27" i="6"/>
  <c r="S26" i="6"/>
  <c r="R26" i="6"/>
  <c r="U26" i="6" s="1"/>
  <c r="S24" i="6"/>
  <c r="R24" i="6"/>
  <c r="U24" i="6" s="1"/>
  <c r="S23" i="6"/>
  <c r="R23" i="6"/>
  <c r="U23" i="6" s="1"/>
  <c r="S22" i="6"/>
  <c r="R22" i="6"/>
  <c r="U22" i="6" s="1"/>
  <c r="S21" i="6"/>
  <c r="R21" i="6"/>
  <c r="U21" i="6" s="1"/>
  <c r="S20" i="6"/>
  <c r="R20" i="6"/>
  <c r="U20" i="6" s="1"/>
  <c r="S19" i="6"/>
  <c r="R19" i="6"/>
  <c r="U19" i="6" s="1"/>
  <c r="S18" i="6"/>
  <c r="R18" i="6"/>
  <c r="U18" i="6" s="1"/>
  <c r="S17" i="6"/>
  <c r="R17" i="6"/>
  <c r="U17" i="6" s="1"/>
  <c r="S15" i="6"/>
  <c r="T15" i="6" s="1"/>
  <c r="R15" i="6"/>
  <c r="S14" i="6"/>
  <c r="R14" i="6"/>
  <c r="U14" i="6" s="1"/>
  <c r="S13" i="6"/>
  <c r="R13" i="6"/>
  <c r="U13" i="6" s="1"/>
  <c r="S12" i="6"/>
  <c r="R12" i="6"/>
  <c r="U12" i="6" s="1"/>
  <c r="S11" i="6"/>
  <c r="T11" i="6" s="1"/>
  <c r="R11" i="6"/>
  <c r="S10" i="6"/>
  <c r="R10" i="6"/>
  <c r="U10" i="6" s="1"/>
  <c r="Q55" i="5"/>
  <c r="P55" i="5"/>
  <c r="O55" i="5"/>
  <c r="N55" i="5"/>
  <c r="M55" i="5"/>
  <c r="L55" i="5"/>
  <c r="K55" i="5"/>
  <c r="J55" i="5"/>
  <c r="I55" i="5"/>
  <c r="H55" i="5"/>
  <c r="G55" i="5"/>
  <c r="F55" i="5"/>
  <c r="E55" i="5"/>
  <c r="Q54" i="5"/>
  <c r="P54" i="5"/>
  <c r="O54" i="5"/>
  <c r="N54" i="5"/>
  <c r="M54" i="5"/>
  <c r="L54" i="5"/>
  <c r="K54" i="5"/>
  <c r="J54" i="5"/>
  <c r="I54" i="5"/>
  <c r="H54" i="5"/>
  <c r="G54" i="5"/>
  <c r="F54" i="5"/>
  <c r="E54" i="5"/>
  <c r="Q53" i="5"/>
  <c r="P53" i="5"/>
  <c r="O53" i="5"/>
  <c r="N53" i="5"/>
  <c r="M53" i="5"/>
  <c r="L53" i="5"/>
  <c r="K53" i="5"/>
  <c r="J53" i="5"/>
  <c r="I53" i="5"/>
  <c r="H53" i="5"/>
  <c r="G53" i="5"/>
  <c r="F53" i="5"/>
  <c r="E53" i="5"/>
  <c r="Q52" i="5"/>
  <c r="P52" i="5"/>
  <c r="O52" i="5"/>
  <c r="N52" i="5"/>
  <c r="M52" i="5"/>
  <c r="L52" i="5"/>
  <c r="K52" i="5"/>
  <c r="J52" i="5"/>
  <c r="I52" i="5"/>
  <c r="H52" i="5"/>
  <c r="G52" i="5"/>
  <c r="F52" i="5"/>
  <c r="E52" i="5"/>
  <c r="S50" i="5"/>
  <c r="R50" i="5"/>
  <c r="U50" i="5" s="1"/>
  <c r="Y50" i="5" s="1"/>
  <c r="S49" i="5"/>
  <c r="R49" i="5"/>
  <c r="U49" i="5" s="1"/>
  <c r="S48" i="5"/>
  <c r="R48" i="5"/>
  <c r="U48" i="5" s="1"/>
  <c r="Y48" i="5" s="1"/>
  <c r="Y47" i="5"/>
  <c r="S46" i="5"/>
  <c r="R46" i="5"/>
  <c r="U46" i="5" s="1"/>
  <c r="S45" i="5"/>
  <c r="R45" i="5"/>
  <c r="U45" i="5" s="1"/>
  <c r="Y45" i="5" s="1"/>
  <c r="S44" i="5"/>
  <c r="R44" i="5"/>
  <c r="U44" i="5" s="1"/>
  <c r="S43" i="5"/>
  <c r="R43" i="5"/>
  <c r="U43" i="5" s="1"/>
  <c r="S42" i="5"/>
  <c r="R42" i="5"/>
  <c r="U42" i="5" s="1"/>
  <c r="S41" i="5"/>
  <c r="R41" i="5"/>
  <c r="U41" i="5" s="1"/>
  <c r="Y41" i="5" s="1"/>
  <c r="S40" i="5"/>
  <c r="R40" i="5"/>
  <c r="U40" i="5" s="1"/>
  <c r="S39" i="5"/>
  <c r="R39" i="5"/>
  <c r="U39" i="5" s="1"/>
  <c r="S38" i="5"/>
  <c r="R38" i="5"/>
  <c r="U38" i="5" s="1"/>
  <c r="S37" i="5"/>
  <c r="R37" i="5"/>
  <c r="U37" i="5" s="1"/>
  <c r="Y37" i="5" s="1"/>
  <c r="S36" i="5"/>
  <c r="R36" i="5"/>
  <c r="U36" i="5" s="1"/>
  <c r="Y35" i="5"/>
  <c r="S34" i="5"/>
  <c r="R34" i="5"/>
  <c r="U34" i="5" s="1"/>
  <c r="S33" i="5"/>
  <c r="R33" i="5"/>
  <c r="U33" i="5" s="1"/>
  <c r="S32" i="5"/>
  <c r="R32" i="5"/>
  <c r="U32" i="5" s="1"/>
  <c r="S31" i="5"/>
  <c r="R31" i="5"/>
  <c r="U31" i="5" s="1"/>
  <c r="S30" i="5"/>
  <c r="R30" i="5"/>
  <c r="U30" i="5" s="1"/>
  <c r="S29" i="5"/>
  <c r="R29" i="5"/>
  <c r="U29" i="5" s="1"/>
  <c r="Y29" i="5" s="1"/>
  <c r="S28" i="5"/>
  <c r="R28" i="5"/>
  <c r="U28" i="5" s="1"/>
  <c r="S27" i="5"/>
  <c r="R27" i="5"/>
  <c r="U27" i="5" s="1"/>
  <c r="Y27" i="5" s="1"/>
  <c r="S26" i="5"/>
  <c r="R26" i="5"/>
  <c r="U26" i="5" s="1"/>
  <c r="S25" i="5"/>
  <c r="R25" i="5"/>
  <c r="U25" i="5" s="1"/>
  <c r="Y24" i="5"/>
  <c r="S23" i="5"/>
  <c r="R23" i="5"/>
  <c r="U23" i="5" s="1"/>
  <c r="S22" i="5"/>
  <c r="R22" i="5"/>
  <c r="U22" i="5" s="1"/>
  <c r="S21" i="5"/>
  <c r="R21" i="5"/>
  <c r="U21" i="5" s="1"/>
  <c r="Y21" i="5" s="1"/>
  <c r="S20" i="5"/>
  <c r="R20" i="5"/>
  <c r="U20" i="5" s="1"/>
  <c r="S19" i="5"/>
  <c r="R19" i="5"/>
  <c r="U19" i="5" s="1"/>
  <c r="Y19" i="5" s="1"/>
  <c r="S18" i="5"/>
  <c r="R18" i="5"/>
  <c r="U18" i="5" s="1"/>
  <c r="Y18" i="5" s="1"/>
  <c r="S17" i="5"/>
  <c r="R17" i="5"/>
  <c r="U17" i="5" s="1"/>
  <c r="Y17" i="5" s="1"/>
  <c r="S16" i="5"/>
  <c r="R16" i="5"/>
  <c r="U16" i="5" s="1"/>
  <c r="Y16" i="5" s="1"/>
  <c r="S15" i="5"/>
  <c r="R15" i="5"/>
  <c r="S14" i="5"/>
  <c r="T14" i="5" s="1"/>
  <c r="R14" i="5"/>
  <c r="S13" i="5"/>
  <c r="R13" i="5"/>
  <c r="U13" i="5" s="1"/>
  <c r="S11" i="5"/>
  <c r="R11" i="5"/>
  <c r="U11" i="5" s="1"/>
  <c r="S10" i="5"/>
  <c r="R10" i="5"/>
  <c r="S9" i="5"/>
  <c r="R9" i="5"/>
  <c r="U9" i="5" s="1"/>
  <c r="Q45" i="3"/>
  <c r="P45" i="3"/>
  <c r="O45" i="3"/>
  <c r="O43" i="3"/>
  <c r="O44" i="3"/>
  <c r="N45" i="3"/>
  <c r="M45" i="3"/>
  <c r="L45" i="3"/>
  <c r="K45" i="3"/>
  <c r="J45" i="3"/>
  <c r="I45" i="3"/>
  <c r="H45" i="3"/>
  <c r="G45" i="3"/>
  <c r="F45" i="3"/>
  <c r="E45" i="3"/>
  <c r="Q44" i="3"/>
  <c r="P44" i="3"/>
  <c r="N44" i="3"/>
  <c r="M44" i="3"/>
  <c r="L44" i="3"/>
  <c r="K44" i="3"/>
  <c r="J44" i="3"/>
  <c r="I44" i="3"/>
  <c r="H44" i="3"/>
  <c r="G44" i="3"/>
  <c r="F44" i="3"/>
  <c r="E44" i="3"/>
  <c r="Q43" i="3"/>
  <c r="P43" i="3"/>
  <c r="N43" i="3"/>
  <c r="M43" i="3"/>
  <c r="L43" i="3"/>
  <c r="K43" i="3"/>
  <c r="J43" i="3"/>
  <c r="I43" i="3"/>
  <c r="H43" i="3"/>
  <c r="G43" i="3"/>
  <c r="F43" i="3"/>
  <c r="E43" i="3"/>
  <c r="S41" i="3"/>
  <c r="R41" i="3"/>
  <c r="U41" i="3" s="1"/>
  <c r="S40" i="3"/>
  <c r="R40" i="3"/>
  <c r="U40" i="3" s="1"/>
  <c r="S39" i="3"/>
  <c r="R39" i="3"/>
  <c r="U39" i="3" s="1"/>
  <c r="S38" i="3"/>
  <c r="R38" i="3"/>
  <c r="U38" i="3" s="1"/>
  <c r="S37" i="3"/>
  <c r="R37" i="3"/>
  <c r="U37" i="3" s="1"/>
  <c r="S36" i="3"/>
  <c r="R36" i="3"/>
  <c r="U36" i="3" s="1"/>
  <c r="S35" i="3"/>
  <c r="R35" i="3"/>
  <c r="U35" i="3" s="1"/>
  <c r="S34" i="3"/>
  <c r="R34" i="3"/>
  <c r="U34" i="3" s="1"/>
  <c r="S32" i="3"/>
  <c r="R32" i="3"/>
  <c r="U32" i="3" s="1"/>
  <c r="S31" i="3"/>
  <c r="R31" i="3"/>
  <c r="U31" i="3" s="1"/>
  <c r="S30" i="3"/>
  <c r="R30" i="3"/>
  <c r="U30" i="3" s="1"/>
  <c r="S29" i="3"/>
  <c r="R29" i="3"/>
  <c r="U29" i="3" s="1"/>
  <c r="S28" i="3"/>
  <c r="R28" i="3"/>
  <c r="U28" i="3" s="1"/>
  <c r="S27" i="3"/>
  <c r="R27" i="3"/>
  <c r="U27" i="3" s="1"/>
  <c r="S26" i="3"/>
  <c r="R26" i="3"/>
  <c r="U26" i="3" s="1"/>
  <c r="S25" i="3"/>
  <c r="R25" i="3"/>
  <c r="U25" i="3" s="1"/>
  <c r="S24" i="3"/>
  <c r="R24" i="3"/>
  <c r="U24" i="3" s="1"/>
  <c r="S23" i="3"/>
  <c r="R23" i="3"/>
  <c r="S21" i="3"/>
  <c r="R21" i="3"/>
  <c r="U21" i="3" s="1"/>
  <c r="S20" i="3"/>
  <c r="R20" i="3"/>
  <c r="U20" i="3" s="1"/>
  <c r="S19" i="3"/>
  <c r="R19" i="3"/>
  <c r="U19" i="3" s="1"/>
  <c r="S18" i="3"/>
  <c r="R18" i="3"/>
  <c r="U18" i="3" s="1"/>
  <c r="S17" i="3"/>
  <c r="R17" i="3"/>
  <c r="U17" i="3" s="1"/>
  <c r="S16" i="3"/>
  <c r="R16" i="3"/>
  <c r="U16" i="3" s="1"/>
  <c r="S15" i="3"/>
  <c r="R15" i="3"/>
  <c r="U15" i="3" s="1"/>
  <c r="S14" i="3"/>
  <c r="R14" i="3"/>
  <c r="U14" i="3" s="1"/>
  <c r="S13" i="3"/>
  <c r="R13" i="3"/>
  <c r="U13" i="3" s="1"/>
  <c r="S12" i="3"/>
  <c r="R12" i="3"/>
  <c r="U12" i="3" s="1"/>
  <c r="S11" i="3"/>
  <c r="R11" i="3"/>
  <c r="U11" i="3" s="1"/>
  <c r="S9" i="3"/>
  <c r="R9" i="3"/>
  <c r="S8" i="3"/>
  <c r="R8" i="3"/>
  <c r="U8" i="3" s="1"/>
  <c r="S7" i="3"/>
  <c r="R7" i="3"/>
  <c r="U7" i="3" s="1"/>
  <c r="Q49" i="2"/>
  <c r="P49" i="2"/>
  <c r="O49" i="2"/>
  <c r="N49" i="2"/>
  <c r="M49" i="2"/>
  <c r="L49" i="2"/>
  <c r="K49" i="2"/>
  <c r="J49" i="2"/>
  <c r="I49" i="2"/>
  <c r="H49" i="2"/>
  <c r="G49" i="2"/>
  <c r="F49" i="2"/>
  <c r="E49" i="2"/>
  <c r="Q48" i="2"/>
  <c r="P48" i="2"/>
  <c r="O48" i="2"/>
  <c r="N48" i="2"/>
  <c r="M48" i="2"/>
  <c r="L48" i="2"/>
  <c r="K48" i="2"/>
  <c r="J48" i="2"/>
  <c r="I48" i="2"/>
  <c r="H48" i="2"/>
  <c r="G48" i="2"/>
  <c r="F48" i="2"/>
  <c r="E48" i="2"/>
  <c r="Q46" i="2"/>
  <c r="P46" i="2"/>
  <c r="O46" i="2"/>
  <c r="N46" i="2"/>
  <c r="M46" i="2"/>
  <c r="L46" i="2"/>
  <c r="K46" i="2"/>
  <c r="J46" i="2"/>
  <c r="I46" i="2"/>
  <c r="H46" i="2"/>
  <c r="G46" i="2"/>
  <c r="F46" i="2"/>
  <c r="E46" i="2"/>
  <c r="Q45" i="2"/>
  <c r="P45" i="2"/>
  <c r="O45" i="2"/>
  <c r="N45" i="2"/>
  <c r="M45" i="2"/>
  <c r="L45" i="2"/>
  <c r="K45" i="2"/>
  <c r="J45" i="2"/>
  <c r="I45" i="2"/>
  <c r="H45" i="2"/>
  <c r="G45" i="2"/>
  <c r="F45" i="2"/>
  <c r="E45" i="2"/>
  <c r="Q44" i="2"/>
  <c r="P44" i="2"/>
  <c r="O44" i="2"/>
  <c r="N44" i="2"/>
  <c r="M44" i="2"/>
  <c r="L44" i="2"/>
  <c r="K44" i="2"/>
  <c r="J44" i="2"/>
  <c r="I44" i="2"/>
  <c r="H44" i="2"/>
  <c r="G44" i="2"/>
  <c r="F44" i="2"/>
  <c r="E44" i="2"/>
  <c r="Q43" i="2"/>
  <c r="P43" i="2"/>
  <c r="O43" i="2"/>
  <c r="N43" i="2"/>
  <c r="M43" i="2"/>
  <c r="L43" i="2"/>
  <c r="K43" i="2"/>
  <c r="J43" i="2"/>
  <c r="I43" i="2"/>
  <c r="H43" i="2"/>
  <c r="G43" i="2"/>
  <c r="F43" i="2"/>
  <c r="E43" i="2"/>
  <c r="S41" i="2"/>
  <c r="T41" i="2" s="1"/>
  <c r="R41" i="2"/>
  <c r="S40" i="2"/>
  <c r="R40" i="2"/>
  <c r="U40" i="2" s="1"/>
  <c r="S39" i="2"/>
  <c r="R39" i="2"/>
  <c r="U39" i="2" s="1"/>
  <c r="S38" i="2"/>
  <c r="R38" i="2"/>
  <c r="U38" i="2" s="1"/>
  <c r="S37" i="2"/>
  <c r="S36" i="2"/>
  <c r="T36" i="2" s="1"/>
  <c r="R36" i="2"/>
  <c r="S35" i="2"/>
  <c r="R35" i="2"/>
  <c r="U35" i="2" s="1"/>
  <c r="S34" i="2"/>
  <c r="R34" i="2"/>
  <c r="U34" i="2" s="1"/>
  <c r="S33" i="2"/>
  <c r="R33" i="2"/>
  <c r="U33" i="2" s="1"/>
  <c r="S32" i="2"/>
  <c r="R32" i="2"/>
  <c r="U32" i="2" s="1"/>
  <c r="S31" i="2"/>
  <c r="R31" i="2"/>
  <c r="U31" i="2" s="1"/>
  <c r="S30" i="2"/>
  <c r="R30" i="2"/>
  <c r="U30" i="2" s="1"/>
  <c r="S29" i="2"/>
  <c r="R29" i="2"/>
  <c r="U29" i="2" s="1"/>
  <c r="S28" i="2"/>
  <c r="R28" i="2"/>
  <c r="U28" i="2" s="1"/>
  <c r="S27" i="2"/>
  <c r="R27" i="2"/>
  <c r="U27" i="2" s="1"/>
  <c r="S26" i="2"/>
  <c r="R26" i="2"/>
  <c r="U26" i="2" s="1"/>
  <c r="S24" i="2"/>
  <c r="T24" i="2" s="1"/>
  <c r="R24" i="2"/>
  <c r="S23" i="2"/>
  <c r="T23" i="2" s="1"/>
  <c r="R23" i="2"/>
  <c r="S22" i="2"/>
  <c r="T22" i="2" s="1"/>
  <c r="R22" i="2"/>
  <c r="S21" i="2"/>
  <c r="T21" i="2" s="1"/>
  <c r="R21" i="2"/>
  <c r="S20" i="2"/>
  <c r="T20" i="2" s="1"/>
  <c r="R20" i="2"/>
  <c r="S19" i="2"/>
  <c r="R19" i="2"/>
  <c r="U19" i="2" s="1"/>
  <c r="S18" i="2"/>
  <c r="R18" i="2"/>
  <c r="U18" i="2" s="1"/>
  <c r="S17" i="2"/>
  <c r="T17" i="2" s="1"/>
  <c r="R17" i="2"/>
  <c r="S16" i="2"/>
  <c r="T16" i="2" s="1"/>
  <c r="R16" i="2"/>
  <c r="S15" i="2"/>
  <c r="R15" i="2"/>
  <c r="U15" i="2" s="1"/>
  <c r="S14" i="2"/>
  <c r="R14" i="2"/>
  <c r="U14" i="2" s="1"/>
  <c r="S13" i="2"/>
  <c r="R13" i="2"/>
  <c r="U13" i="2" s="1"/>
  <c r="S12" i="2"/>
  <c r="R12" i="2"/>
  <c r="U12" i="2" s="1"/>
  <c r="S11" i="2"/>
  <c r="R11" i="2"/>
  <c r="U11" i="2" s="1"/>
  <c r="S9" i="2"/>
  <c r="R9" i="2"/>
  <c r="U9" i="2" s="1"/>
  <c r="S8" i="2"/>
  <c r="T8" i="2" s="1"/>
  <c r="R8" i="2"/>
  <c r="S7" i="2"/>
  <c r="T7" i="2" s="1"/>
  <c r="R7" i="2"/>
  <c r="S6" i="2"/>
  <c r="R6" i="2"/>
  <c r="U6" i="2" s="1"/>
  <c r="R5" i="2"/>
  <c r="U5" i="2" s="1"/>
  <c r="S5" i="2"/>
  <c r="S3" i="2"/>
  <c r="T3" i="2" s="1"/>
  <c r="R3" i="2"/>
  <c r="Q41" i="1"/>
  <c r="N41" i="1"/>
  <c r="M41" i="1"/>
  <c r="L41" i="1"/>
  <c r="K41" i="1"/>
  <c r="J41" i="1"/>
  <c r="I41" i="1"/>
  <c r="H41" i="1"/>
  <c r="G41" i="1"/>
  <c r="F41" i="1"/>
  <c r="E41" i="1"/>
  <c r="D41" i="1"/>
  <c r="C41" i="1"/>
  <c r="Q40" i="1"/>
  <c r="N40" i="1"/>
  <c r="M40" i="1"/>
  <c r="L40" i="1"/>
  <c r="K40" i="1"/>
  <c r="J40" i="1"/>
  <c r="I40" i="1"/>
  <c r="H40" i="1"/>
  <c r="G40" i="1"/>
  <c r="F40" i="1"/>
  <c r="E40" i="1"/>
  <c r="D40" i="1"/>
  <c r="C40" i="1"/>
  <c r="Q38" i="1"/>
  <c r="N38" i="1"/>
  <c r="M38" i="1"/>
  <c r="L38" i="1"/>
  <c r="K38" i="1"/>
  <c r="J38" i="1"/>
  <c r="I38" i="1"/>
  <c r="H38" i="1"/>
  <c r="G38" i="1"/>
  <c r="F38" i="1"/>
  <c r="E38" i="1"/>
  <c r="D38" i="1"/>
  <c r="C38" i="1"/>
  <c r="Q37" i="1"/>
  <c r="N37" i="1"/>
  <c r="M37" i="1"/>
  <c r="L37" i="1"/>
  <c r="K37" i="1"/>
  <c r="J37" i="1"/>
  <c r="I37" i="1"/>
  <c r="H37" i="1"/>
  <c r="G37" i="1"/>
  <c r="F37" i="1"/>
  <c r="E37" i="1"/>
  <c r="D37" i="1"/>
  <c r="C37" i="1"/>
  <c r="Q36" i="1"/>
  <c r="N36" i="1"/>
  <c r="M36" i="1"/>
  <c r="L36" i="1"/>
  <c r="K36" i="1"/>
  <c r="J36" i="1"/>
  <c r="I36" i="1"/>
  <c r="H36" i="1"/>
  <c r="G36" i="1"/>
  <c r="F36" i="1"/>
  <c r="E36" i="1"/>
  <c r="D36" i="1"/>
  <c r="C36" i="1"/>
  <c r="P34" i="1"/>
  <c r="O34" i="1"/>
  <c r="S34" i="1" s="1"/>
  <c r="P33" i="1"/>
  <c r="O33" i="1"/>
  <c r="S33" i="1" s="1"/>
  <c r="P32" i="1"/>
  <c r="O32" i="1"/>
  <c r="S32" i="1" s="1"/>
  <c r="P31" i="1"/>
  <c r="O31" i="1"/>
  <c r="S31" i="1" s="1"/>
  <c r="P30" i="1"/>
  <c r="O30" i="1"/>
  <c r="S30" i="1" s="1"/>
  <c r="P29" i="1"/>
  <c r="O29" i="1"/>
  <c r="S29" i="1" s="1"/>
  <c r="P28" i="1"/>
  <c r="O28" i="1"/>
  <c r="S28" i="1" s="1"/>
  <c r="P27" i="1"/>
  <c r="O27" i="1"/>
  <c r="S27" i="1" s="1"/>
  <c r="P26" i="1"/>
  <c r="O26" i="1"/>
  <c r="S26" i="1" s="1"/>
  <c r="P25" i="1"/>
  <c r="O25" i="1"/>
  <c r="S25" i="1" s="1"/>
  <c r="P24" i="1"/>
  <c r="O24" i="1"/>
  <c r="S24" i="1" s="1"/>
  <c r="P23" i="1"/>
  <c r="O23" i="1"/>
  <c r="S23" i="1" s="1"/>
  <c r="P22" i="1"/>
  <c r="O22" i="1"/>
  <c r="S22" i="1" s="1"/>
  <c r="P21" i="1"/>
  <c r="O21" i="1"/>
  <c r="S21" i="1" s="1"/>
  <c r="P20" i="1"/>
  <c r="O20" i="1"/>
  <c r="S20" i="1" s="1"/>
  <c r="P19" i="1"/>
  <c r="O19" i="1"/>
  <c r="S19" i="1" s="1"/>
  <c r="P18" i="1"/>
  <c r="O18" i="1"/>
  <c r="S18" i="1" s="1"/>
  <c r="P17" i="1"/>
  <c r="O17" i="1"/>
  <c r="S17" i="1" s="1"/>
  <c r="P16" i="1"/>
  <c r="O16" i="1"/>
  <c r="S16" i="1" s="1"/>
  <c r="P15" i="1"/>
  <c r="O15" i="1"/>
  <c r="S15" i="1" s="1"/>
  <c r="P14" i="1"/>
  <c r="O14" i="1"/>
  <c r="S14" i="1" s="1"/>
  <c r="P13" i="1"/>
  <c r="O13" i="1"/>
  <c r="S13" i="1" s="1"/>
  <c r="P12" i="1"/>
  <c r="O12" i="1"/>
  <c r="S12" i="1" s="1"/>
  <c r="P11" i="1"/>
  <c r="O11" i="1"/>
  <c r="S11" i="1" s="1"/>
  <c r="P10" i="1"/>
  <c r="O10" i="1"/>
  <c r="S10" i="1" s="1"/>
  <c r="P9" i="1"/>
  <c r="O9" i="1"/>
  <c r="S9" i="1" s="1"/>
  <c r="P8" i="1"/>
  <c r="O8" i="1"/>
  <c r="S8" i="1" s="1"/>
  <c r="P7" i="1"/>
  <c r="O7" i="1"/>
  <c r="S7" i="1" s="1"/>
  <c r="P6" i="1"/>
  <c r="O6" i="1"/>
  <c r="S6" i="1" s="1"/>
  <c r="P5" i="1"/>
  <c r="O5" i="1"/>
  <c r="S5" i="1" s="1"/>
  <c r="P4" i="1"/>
  <c r="O4" i="1"/>
  <c r="S4" i="1" s="1"/>
  <c r="P3" i="1"/>
  <c r="O3" i="1"/>
  <c r="S3" i="1" s="1"/>
  <c r="M42" i="10"/>
  <c r="N42" i="10"/>
  <c r="O42" i="10"/>
  <c r="L42" i="10"/>
  <c r="P42" i="10"/>
  <c r="J42" i="10"/>
  <c r="R42" i="10"/>
  <c r="G43" i="10"/>
  <c r="T10" i="9" l="1"/>
  <c r="K55" i="9"/>
  <c r="I80" i="9"/>
  <c r="T11" i="9"/>
  <c r="T27" i="9"/>
  <c r="Q87" i="9"/>
  <c r="I88" i="9"/>
  <c r="O88" i="9"/>
  <c r="S34" i="9"/>
  <c r="T34" i="9" s="1"/>
  <c r="T49" i="9"/>
  <c r="O80" i="9"/>
  <c r="F88" i="9"/>
  <c r="R67" i="12"/>
  <c r="T51" i="9"/>
  <c r="T34" i="2"/>
  <c r="T67" i="9"/>
  <c r="T38" i="5"/>
  <c r="T73" i="9"/>
  <c r="T40" i="9"/>
  <c r="T51" i="7"/>
  <c r="Q47" i="3"/>
  <c r="T9" i="5"/>
  <c r="T20" i="6"/>
  <c r="T24" i="6"/>
  <c r="T33" i="9"/>
  <c r="K87" i="9"/>
  <c r="T76" i="9"/>
  <c r="M52" i="11"/>
  <c r="H80" i="9"/>
  <c r="T18" i="10"/>
  <c r="P87" i="9"/>
  <c r="F87" i="9"/>
  <c r="T28" i="10"/>
  <c r="H87" i="9"/>
  <c r="T17" i="7"/>
  <c r="N57" i="9"/>
  <c r="G36" i="10"/>
  <c r="R26" i="1"/>
  <c r="G56" i="6"/>
  <c r="K80" i="9"/>
  <c r="T63" i="9"/>
  <c r="N47" i="3"/>
  <c r="T18" i="6"/>
  <c r="T22" i="6"/>
  <c r="E88" i="9"/>
  <c r="T61" i="12"/>
  <c r="S61" i="12" s="1"/>
  <c r="T49" i="7"/>
  <c r="I87" i="9"/>
  <c r="G88" i="9"/>
  <c r="M88" i="9"/>
  <c r="Q88" i="9"/>
  <c r="T23" i="7"/>
  <c r="T31" i="7"/>
  <c r="S56" i="7"/>
  <c r="T35" i="3"/>
  <c r="T10" i="6"/>
  <c r="T32" i="6"/>
  <c r="T45" i="6"/>
  <c r="T19" i="7"/>
  <c r="T28" i="7"/>
  <c r="T48" i="9"/>
  <c r="P36" i="10"/>
  <c r="S42" i="11"/>
  <c r="T41" i="5"/>
  <c r="T58" i="11"/>
  <c r="S58" i="11" s="1"/>
  <c r="N87" i="9"/>
  <c r="T20" i="10"/>
  <c r="T40" i="6"/>
  <c r="T12" i="6"/>
  <c r="T17" i="5"/>
  <c r="K56" i="9"/>
  <c r="K88" i="9" s="1"/>
  <c r="E57" i="7"/>
  <c r="S38" i="9"/>
  <c r="T38" i="9" s="1"/>
  <c r="T19" i="6"/>
  <c r="T28" i="6"/>
  <c r="R17" i="1"/>
  <c r="T31" i="3"/>
  <c r="T31" i="6"/>
  <c r="T42" i="6"/>
  <c r="T20" i="7"/>
  <c r="T29" i="7"/>
  <c r="T28" i="9"/>
  <c r="T42" i="9"/>
  <c r="T50" i="9"/>
  <c r="Q80" i="9"/>
  <c r="T64" i="9"/>
  <c r="S26" i="11"/>
  <c r="S24" i="9"/>
  <c r="K57" i="7"/>
  <c r="G80" i="9"/>
  <c r="T33" i="6"/>
  <c r="M59" i="11"/>
  <c r="G52" i="11"/>
  <c r="J55" i="9"/>
  <c r="J57" i="9" s="1"/>
  <c r="N36" i="10"/>
  <c r="L47" i="3"/>
  <c r="M47" i="3"/>
  <c r="T17" i="6"/>
  <c r="T21" i="6"/>
  <c r="T43" i="7"/>
  <c r="T47" i="7"/>
  <c r="T20" i="9"/>
  <c r="T31" i="10"/>
  <c r="T15" i="10"/>
  <c r="S38" i="11"/>
  <c r="T35" i="6"/>
  <c r="U42" i="10"/>
  <c r="T42" i="10" s="1"/>
  <c r="T18" i="2"/>
  <c r="T27" i="3"/>
  <c r="T48" i="6"/>
  <c r="T27" i="7"/>
  <c r="T32" i="9"/>
  <c r="T46" i="9"/>
  <c r="T45" i="9"/>
  <c r="T17" i="10"/>
  <c r="S40" i="11"/>
  <c r="Q67" i="12"/>
  <c r="T40" i="5"/>
  <c r="Y40" i="5"/>
  <c r="K36" i="10"/>
  <c r="T57" i="11"/>
  <c r="R23" i="1"/>
  <c r="G47" i="3"/>
  <c r="T70" i="9"/>
  <c r="R57" i="11"/>
  <c r="R61" i="11" s="1"/>
  <c r="S39" i="11"/>
  <c r="E47" i="3"/>
  <c r="L36" i="10"/>
  <c r="R15" i="1"/>
  <c r="R31" i="1"/>
  <c r="T15" i="2"/>
  <c r="R44" i="2"/>
  <c r="U44" i="2" s="1"/>
  <c r="T36" i="3"/>
  <c r="T48" i="5"/>
  <c r="F56" i="6"/>
  <c r="S53" i="6"/>
  <c r="T30" i="6"/>
  <c r="T19" i="9"/>
  <c r="S31" i="11"/>
  <c r="I47" i="3"/>
  <c r="N56" i="6"/>
  <c r="G59" i="11"/>
  <c r="R78" i="9"/>
  <c r="U78" i="9" s="1"/>
  <c r="T13" i="2"/>
  <c r="T32" i="3"/>
  <c r="T13" i="5"/>
  <c r="I56" i="6"/>
  <c r="T34" i="7"/>
  <c r="L87" i="9"/>
  <c r="T13" i="10"/>
  <c r="L52" i="11"/>
  <c r="P52" i="11"/>
  <c r="Q36" i="10"/>
  <c r="T23" i="9"/>
  <c r="T31" i="9"/>
  <c r="R29" i="1"/>
  <c r="R33" i="1"/>
  <c r="T34" i="3"/>
  <c r="T18" i="5"/>
  <c r="T50" i="5"/>
  <c r="O56" i="5"/>
  <c r="T41" i="6"/>
  <c r="H56" i="6"/>
  <c r="T11" i="10"/>
  <c r="S29" i="11"/>
  <c r="S43" i="11"/>
  <c r="S78" i="9"/>
  <c r="T28" i="2"/>
  <c r="T32" i="2"/>
  <c r="T40" i="2"/>
  <c r="T12" i="7"/>
  <c r="S24" i="11"/>
  <c r="T30" i="9"/>
  <c r="R34" i="10"/>
  <c r="R43" i="10" s="1"/>
  <c r="T19" i="10"/>
  <c r="R56" i="9"/>
  <c r="U56" i="9" s="1"/>
  <c r="R4" i="1"/>
  <c r="R8" i="1"/>
  <c r="R27" i="1"/>
  <c r="O37" i="1"/>
  <c r="P37" i="1" s="1"/>
  <c r="R37" i="1" s="1"/>
  <c r="T29" i="2"/>
  <c r="T12" i="3"/>
  <c r="T16" i="3"/>
  <c r="T20" i="3"/>
  <c r="T25" i="3"/>
  <c r="T40" i="3"/>
  <c r="T50" i="6"/>
  <c r="M56" i="6"/>
  <c r="T49" i="6"/>
  <c r="T30" i="7"/>
  <c r="N57" i="7"/>
  <c r="T39" i="7"/>
  <c r="T50" i="7"/>
  <c r="T24" i="10"/>
  <c r="S22" i="11"/>
  <c r="G57" i="9"/>
  <c r="S44" i="3"/>
  <c r="P56" i="5"/>
  <c r="I56" i="5"/>
  <c r="T13" i="6"/>
  <c r="R46" i="2"/>
  <c r="U46" i="2" s="1"/>
  <c r="T8" i="3"/>
  <c r="T41" i="3"/>
  <c r="T39" i="6"/>
  <c r="T46" i="6"/>
  <c r="T21" i="10"/>
  <c r="F36" i="10"/>
  <c r="U45" i="10"/>
  <c r="T29" i="10"/>
  <c r="S17" i="11"/>
  <c r="S20" i="11"/>
  <c r="R6" i="1"/>
  <c r="R10" i="1"/>
  <c r="R14" i="1"/>
  <c r="T5" i="2"/>
  <c r="T31" i="2"/>
  <c r="T14" i="3"/>
  <c r="T18" i="3"/>
  <c r="T30" i="3"/>
  <c r="Q56" i="6"/>
  <c r="J56" i="6"/>
  <c r="L56" i="6"/>
  <c r="T11" i="7"/>
  <c r="T32" i="7"/>
  <c r="T40" i="7"/>
  <c r="L88" i="9"/>
  <c r="F80" i="9"/>
  <c r="P88" i="9"/>
  <c r="S32" i="11"/>
  <c r="S53" i="5"/>
  <c r="I60" i="11"/>
  <c r="I52" i="11"/>
  <c r="S45" i="2"/>
  <c r="Y26" i="5"/>
  <c r="T26" i="5"/>
  <c r="M44" i="10"/>
  <c r="M36" i="10"/>
  <c r="F44" i="10"/>
  <c r="S44" i="10" s="1"/>
  <c r="R20" i="1"/>
  <c r="R43" i="3"/>
  <c r="U9" i="3"/>
  <c r="T9" i="3" s="1"/>
  <c r="E43" i="10"/>
  <c r="E36" i="10"/>
  <c r="U41" i="10"/>
  <c r="R9" i="1"/>
  <c r="S54" i="7"/>
  <c r="J88" i="9"/>
  <c r="J80" i="9"/>
  <c r="N88" i="9"/>
  <c r="N80" i="9"/>
  <c r="T21" i="9"/>
  <c r="T37" i="9"/>
  <c r="T43" i="9"/>
  <c r="Q48" i="11"/>
  <c r="Q59" i="11" s="1"/>
  <c r="T59" i="11" s="1"/>
  <c r="S59" i="11" s="1"/>
  <c r="S45" i="11"/>
  <c r="T15" i="3"/>
  <c r="T26" i="3"/>
  <c r="R3" i="1"/>
  <c r="R7" i="1"/>
  <c r="R18" i="1"/>
  <c r="R21" i="1"/>
  <c r="R28" i="1"/>
  <c r="T33" i="2"/>
  <c r="T11" i="3"/>
  <c r="T29" i="3"/>
  <c r="T37" i="3"/>
  <c r="H47" i="3"/>
  <c r="O47" i="3"/>
  <c r="T11" i="5"/>
  <c r="T19" i="5"/>
  <c r="T34" i="5"/>
  <c r="T29" i="6"/>
  <c r="T38" i="6"/>
  <c r="T43" i="6"/>
  <c r="T15" i="7"/>
  <c r="F57" i="7"/>
  <c r="T18" i="9"/>
  <c r="T26" i="9"/>
  <c r="T69" i="9"/>
  <c r="T44" i="9"/>
  <c r="T47" i="9"/>
  <c r="L80" i="9"/>
  <c r="M80" i="9"/>
  <c r="S44" i="11"/>
  <c r="T17" i="9"/>
  <c r="R11" i="1"/>
  <c r="R13" i="1"/>
  <c r="R16" i="1"/>
  <c r="R25" i="1"/>
  <c r="T12" i="2"/>
  <c r="T35" i="2"/>
  <c r="S43" i="2"/>
  <c r="T13" i="3"/>
  <c r="T17" i="3"/>
  <c r="T19" i="3"/>
  <c r="T21" i="3"/>
  <c r="T24" i="3"/>
  <c r="J47" i="3"/>
  <c r="S45" i="3"/>
  <c r="T37" i="5"/>
  <c r="G56" i="5"/>
  <c r="J56" i="5"/>
  <c r="T14" i="6"/>
  <c r="P56" i="6"/>
  <c r="S54" i="6"/>
  <c r="S55" i="6"/>
  <c r="T21" i="7"/>
  <c r="T26" i="7"/>
  <c r="T33" i="7"/>
  <c r="T35" i="7"/>
  <c r="S53" i="7"/>
  <c r="P57" i="7"/>
  <c r="S55" i="7"/>
  <c r="T42" i="7"/>
  <c r="T44" i="7"/>
  <c r="T46" i="7"/>
  <c r="T38" i="7"/>
  <c r="T13" i="9"/>
  <c r="T25" i="9"/>
  <c r="T29" i="9"/>
  <c r="T41" i="9"/>
  <c r="S79" i="9"/>
  <c r="H88" i="9"/>
  <c r="T72" i="9"/>
  <c r="I36" i="10"/>
  <c r="T27" i="10"/>
  <c r="S21" i="11"/>
  <c r="S27" i="11"/>
  <c r="E52" i="11"/>
  <c r="S37" i="11"/>
  <c r="Y33" i="5"/>
  <c r="T33" i="5"/>
  <c r="J86" i="9"/>
  <c r="Y28" i="5"/>
  <c r="T28" i="5"/>
  <c r="Y49" i="5"/>
  <c r="T49" i="5"/>
  <c r="U18" i="7"/>
  <c r="T18" i="7" s="1"/>
  <c r="R54" i="7"/>
  <c r="R53" i="9"/>
  <c r="R5" i="1"/>
  <c r="T39" i="2"/>
  <c r="S46" i="2"/>
  <c r="P47" i="3"/>
  <c r="L57" i="7"/>
  <c r="H36" i="10"/>
  <c r="H44" i="10"/>
  <c r="T26" i="10"/>
  <c r="D52" i="11"/>
  <c r="F56" i="5"/>
  <c r="S54" i="5"/>
  <c r="Q85" i="9"/>
  <c r="Q57" i="9"/>
  <c r="T34" i="6"/>
  <c r="R55" i="9"/>
  <c r="U24" i="9"/>
  <c r="Y31" i="5"/>
  <c r="T31" i="5"/>
  <c r="U27" i="6"/>
  <c r="T27" i="6" s="1"/>
  <c r="R54" i="6"/>
  <c r="R53" i="7"/>
  <c r="U10" i="7"/>
  <c r="Q57" i="7"/>
  <c r="L57" i="9"/>
  <c r="L85" i="9"/>
  <c r="J85" i="9"/>
  <c r="J43" i="10"/>
  <c r="J36" i="10"/>
  <c r="S36" i="11"/>
  <c r="S33" i="11"/>
  <c r="T30" i="5"/>
  <c r="Y30" i="5"/>
  <c r="O60" i="11"/>
  <c r="O52" i="11"/>
  <c r="R48" i="2"/>
  <c r="U48" i="2" s="1"/>
  <c r="S49" i="2"/>
  <c r="U43" i="3"/>
  <c r="T7" i="3"/>
  <c r="Y39" i="5"/>
  <c r="T39" i="5"/>
  <c r="D60" i="11"/>
  <c r="K60" i="11"/>
  <c r="K52" i="11"/>
  <c r="S15" i="9"/>
  <c r="K54" i="9"/>
  <c r="K86" i="9" s="1"/>
  <c r="R15" i="9"/>
  <c r="Y38" i="5"/>
  <c r="Y43" i="5"/>
  <c r="T43" i="5"/>
  <c r="T24" i="7"/>
  <c r="T30" i="10"/>
  <c r="T15" i="11"/>
  <c r="S15" i="11" s="1"/>
  <c r="T45" i="5"/>
  <c r="S43" i="3"/>
  <c r="F47" i="3"/>
  <c r="F45" i="10"/>
  <c r="S41" i="10"/>
  <c r="S45" i="10" s="1"/>
  <c r="J59" i="11"/>
  <c r="J52" i="11"/>
  <c r="U54" i="5"/>
  <c r="S14" i="9"/>
  <c r="R14" i="9"/>
  <c r="U14" i="9" s="1"/>
  <c r="Q49" i="11"/>
  <c r="Q60" i="11" s="1"/>
  <c r="R43" i="2"/>
  <c r="U43" i="2" s="1"/>
  <c r="R32" i="1"/>
  <c r="O40" i="1"/>
  <c r="P40" i="1" s="1"/>
  <c r="R40" i="1" s="1"/>
  <c r="T37" i="7"/>
  <c r="R52" i="5"/>
  <c r="U10" i="5"/>
  <c r="T10" i="5" s="1"/>
  <c r="U15" i="5"/>
  <c r="T15" i="5" s="1"/>
  <c r="R53" i="5"/>
  <c r="U25" i="7"/>
  <c r="T25" i="7" s="1"/>
  <c r="R55" i="7"/>
  <c r="T41" i="7"/>
  <c r="M87" i="9"/>
  <c r="M57" i="9"/>
  <c r="P80" i="9"/>
  <c r="T66" i="9"/>
  <c r="U35" i="9"/>
  <c r="T35" i="9" s="1"/>
  <c r="E55" i="9"/>
  <c r="E57" i="9" s="1"/>
  <c r="R19" i="1"/>
  <c r="O36" i="1"/>
  <c r="P36" i="1" s="1"/>
  <c r="R36" i="1" s="1"/>
  <c r="T14" i="2"/>
  <c r="T30" i="2"/>
  <c r="T26" i="6"/>
  <c r="T13" i="7"/>
  <c r="T71" i="9"/>
  <c r="S14" i="11"/>
  <c r="S19" i="11"/>
  <c r="T61" i="11"/>
  <c r="O41" i="1"/>
  <c r="P41" i="1" s="1"/>
  <c r="R41" i="1" s="1"/>
  <c r="K47" i="3"/>
  <c r="L56" i="5"/>
  <c r="E56" i="6"/>
  <c r="H57" i="7"/>
  <c r="R30" i="1"/>
  <c r="T28" i="3"/>
  <c r="T16" i="5"/>
  <c r="S55" i="5"/>
  <c r="R52" i="6"/>
  <c r="O57" i="7"/>
  <c r="J57" i="7"/>
  <c r="T48" i="7"/>
  <c r="T39" i="9"/>
  <c r="T65" i="9"/>
  <c r="T14" i="10"/>
  <c r="T32" i="10"/>
  <c r="S35" i="11"/>
  <c r="S41" i="11"/>
  <c r="T36" i="5"/>
  <c r="R12" i="1"/>
  <c r="R24" i="1"/>
  <c r="R34" i="1"/>
  <c r="T9" i="2"/>
  <c r="T19" i="2"/>
  <c r="T26" i="2"/>
  <c r="T38" i="3"/>
  <c r="N56" i="5"/>
  <c r="Q56" i="5"/>
  <c r="T16" i="7"/>
  <c r="G57" i="7"/>
  <c r="T16" i="9"/>
  <c r="S56" i="9"/>
  <c r="S44" i="2"/>
  <c r="T44" i="2" s="1"/>
  <c r="T29" i="5"/>
  <c r="E56" i="5"/>
  <c r="I57" i="7"/>
  <c r="G87" i="9"/>
  <c r="O57" i="9"/>
  <c r="T11" i="2"/>
  <c r="T27" i="2"/>
  <c r="T39" i="3"/>
  <c r="R54" i="5"/>
  <c r="T27" i="5"/>
  <c r="M56" i="5"/>
  <c r="M57" i="7"/>
  <c r="Y20" i="5"/>
  <c r="T20" i="5"/>
  <c r="T42" i="5"/>
  <c r="Y42" i="5"/>
  <c r="U55" i="6"/>
  <c r="T47" i="6"/>
  <c r="Y22" i="5"/>
  <c r="T22" i="5"/>
  <c r="R55" i="6"/>
  <c r="S53" i="9"/>
  <c r="P57" i="9"/>
  <c r="Y25" i="5"/>
  <c r="U12" i="10"/>
  <c r="T12" i="10" s="1"/>
  <c r="I44" i="10"/>
  <c r="I57" i="9"/>
  <c r="H52" i="11"/>
  <c r="Y44" i="5"/>
  <c r="T44" i="5"/>
  <c r="U55" i="5"/>
  <c r="S34" i="10"/>
  <c r="R79" i="9"/>
  <c r="U53" i="6"/>
  <c r="Y36" i="5"/>
  <c r="S52" i="6"/>
  <c r="R44" i="3"/>
  <c r="K56" i="5"/>
  <c r="K56" i="6"/>
  <c r="E80" i="9"/>
  <c r="S23" i="11"/>
  <c r="S35" i="10"/>
  <c r="H57" i="9"/>
  <c r="R55" i="5"/>
  <c r="R35" i="10"/>
  <c r="S48" i="2"/>
  <c r="R49" i="11"/>
  <c r="R53" i="6"/>
  <c r="R22" i="1"/>
  <c r="R45" i="2"/>
  <c r="U45" i="2" s="1"/>
  <c r="S52" i="5"/>
  <c r="T45" i="7"/>
  <c r="S30" i="11"/>
  <c r="F59" i="11"/>
  <c r="F52" i="11"/>
  <c r="R48" i="11"/>
  <c r="T25" i="5"/>
  <c r="K43" i="10"/>
  <c r="U56" i="7"/>
  <c r="U44" i="3"/>
  <c r="U52" i="6"/>
  <c r="O87" i="9"/>
  <c r="T21" i="5"/>
  <c r="Y23" i="5"/>
  <c r="T23" i="5"/>
  <c r="Y34" i="5"/>
  <c r="H56" i="5"/>
  <c r="Y32" i="5"/>
  <c r="T32" i="5"/>
  <c r="R49" i="2"/>
  <c r="U49" i="2" s="1"/>
  <c r="R56" i="7"/>
  <c r="F57" i="9"/>
  <c r="O38" i="1"/>
  <c r="P38" i="1" s="1"/>
  <c r="R38" i="1" s="1"/>
  <c r="T38" i="2"/>
  <c r="R45" i="3"/>
  <c r="Y46" i="5"/>
  <c r="T46" i="5"/>
  <c r="T23" i="6"/>
  <c r="T44" i="6"/>
  <c r="O56" i="6"/>
  <c r="O43" i="10"/>
  <c r="O36" i="10"/>
  <c r="S28" i="11"/>
  <c r="U23" i="3"/>
  <c r="S13" i="11"/>
  <c r="N52" i="11"/>
  <c r="S16" i="11"/>
  <c r="T62" i="12"/>
  <c r="O89" i="9" l="1"/>
  <c r="I89" i="9"/>
  <c r="G89" i="9"/>
  <c r="M89" i="9"/>
  <c r="T45" i="2"/>
  <c r="F89" i="9"/>
  <c r="Q89" i="9"/>
  <c r="S80" i="9"/>
  <c r="T56" i="9"/>
  <c r="T53" i="6"/>
  <c r="N89" i="9"/>
  <c r="T24" i="9"/>
  <c r="T56" i="7"/>
  <c r="P89" i="9"/>
  <c r="T55" i="5"/>
  <c r="T49" i="2"/>
  <c r="K89" i="9"/>
  <c r="T78" i="9"/>
  <c r="U55" i="7"/>
  <c r="T55" i="7" s="1"/>
  <c r="S62" i="12"/>
  <c r="T67" i="12"/>
  <c r="S67" i="12" s="1"/>
  <c r="S55" i="9"/>
  <c r="S47" i="3"/>
  <c r="T14" i="9"/>
  <c r="U53" i="5"/>
  <c r="T53" i="5" s="1"/>
  <c r="J87" i="9"/>
  <c r="J89" i="9" s="1"/>
  <c r="T45" i="10"/>
  <c r="U54" i="6"/>
  <c r="T54" i="6" s="1"/>
  <c r="R88" i="9"/>
  <c r="U88" i="9" s="1"/>
  <c r="K57" i="9"/>
  <c r="U55" i="9"/>
  <c r="S88" i="9"/>
  <c r="T55" i="6"/>
  <c r="S61" i="11"/>
  <c r="S86" i="9"/>
  <c r="T46" i="2"/>
  <c r="T44" i="3"/>
  <c r="T54" i="5"/>
  <c r="H89" i="9"/>
  <c r="S57" i="11"/>
  <c r="L89" i="9"/>
  <c r="U43" i="10"/>
  <c r="T43" i="10" s="1"/>
  <c r="R87" i="9"/>
  <c r="R36" i="10"/>
  <c r="T43" i="3"/>
  <c r="S56" i="5"/>
  <c r="R56" i="5"/>
  <c r="E87" i="9"/>
  <c r="E89" i="9" s="1"/>
  <c r="U34" i="10"/>
  <c r="T34" i="10" s="1"/>
  <c r="T43" i="2"/>
  <c r="R57" i="7"/>
  <c r="R56" i="6"/>
  <c r="U54" i="7"/>
  <c r="T54" i="7" s="1"/>
  <c r="T48" i="11"/>
  <c r="S48" i="11" s="1"/>
  <c r="S56" i="6"/>
  <c r="U52" i="5"/>
  <c r="T52" i="5" s="1"/>
  <c r="T41" i="10"/>
  <c r="S57" i="7"/>
  <c r="R52" i="11"/>
  <c r="Y56" i="5"/>
  <c r="S85" i="9"/>
  <c r="Q52" i="11"/>
  <c r="R47" i="3"/>
  <c r="T10" i="7"/>
  <c r="U53" i="7"/>
  <c r="T53" i="7" s="1"/>
  <c r="U53" i="9"/>
  <c r="T53" i="9" s="1"/>
  <c r="R85" i="9"/>
  <c r="U85" i="9" s="1"/>
  <c r="S54" i="9"/>
  <c r="T48" i="2"/>
  <c r="T60" i="11"/>
  <c r="S60" i="11" s="1"/>
  <c r="R54" i="9"/>
  <c r="U15" i="9"/>
  <c r="T15" i="9" s="1"/>
  <c r="T49" i="11"/>
  <c r="S49" i="11" s="1"/>
  <c r="T23" i="3"/>
  <c r="U45" i="3"/>
  <c r="T45" i="3" s="1"/>
  <c r="U56" i="6"/>
  <c r="T52" i="6"/>
  <c r="R80" i="9"/>
  <c r="U79" i="9"/>
  <c r="S36" i="10"/>
  <c r="U35" i="10"/>
  <c r="T35" i="10" s="1"/>
  <c r="R44" i="10"/>
  <c r="U44" i="10" s="1"/>
  <c r="T44" i="10" s="1"/>
  <c r="S87" i="9" l="1"/>
  <c r="S89" i="9" s="1"/>
  <c r="S57" i="9"/>
  <c r="T55" i="9"/>
  <c r="T88" i="9"/>
  <c r="T56" i="6"/>
  <c r="T85" i="9"/>
  <c r="U47" i="3"/>
  <c r="T47" i="3" s="1"/>
  <c r="S52" i="11"/>
  <c r="T36" i="10"/>
  <c r="U56" i="5"/>
  <c r="T56" i="5" s="1"/>
  <c r="U87" i="9"/>
  <c r="T52" i="11"/>
  <c r="U57" i="7"/>
  <c r="T57" i="7" s="1"/>
  <c r="U54" i="9"/>
  <c r="T54" i="9" s="1"/>
  <c r="R86" i="9"/>
  <c r="R57" i="9"/>
  <c r="U57" i="9" s="1"/>
  <c r="U80" i="9"/>
  <c r="T79" i="9"/>
  <c r="T80" i="9" s="1"/>
  <c r="U36" i="10"/>
  <c r="T87" i="9" l="1"/>
  <c r="T57" i="9"/>
  <c r="U86" i="9"/>
  <c r="T86" i="9" s="1"/>
  <c r="R89" i="9"/>
  <c r="U89" i="9" s="1"/>
  <c r="T8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Tammy Ugarte</author>
  </authors>
  <commentList>
    <comment ref="N8" authorId="0" shapeId="0" xr:uid="{00000000-0006-0000-0B00-000001000000}">
      <text>
        <r>
          <rPr>
            <b/>
            <sz val="9"/>
            <color indexed="81"/>
            <rFont val="Tahoma"/>
            <family val="2"/>
          </rPr>
          <t>Tammy Ugarte:</t>
        </r>
        <r>
          <rPr>
            <sz val="9"/>
            <color indexed="81"/>
            <rFont val="Tahoma"/>
            <family val="2"/>
          </rPr>
          <t xml:space="preserve">
Quantites moved from case storage are higher than normal because 79 cases was sold wholesale to VA Wine Club</t>
        </r>
      </text>
    </comment>
  </commentList>
</comments>
</file>

<file path=xl/sharedStrings.xml><?xml version="1.0" encoding="utf-8"?>
<sst xmlns="http://schemas.openxmlformats.org/spreadsheetml/2006/main" count="1824" uniqueCount="296">
  <si>
    <t>CASES MOVED PER MONTH</t>
  </si>
  <si>
    <t>AS OF 1/3/09</t>
  </si>
  <si>
    <t>Wine</t>
  </si>
  <si>
    <t>Year</t>
  </si>
  <si>
    <t>Jan</t>
  </si>
  <si>
    <t>Feb</t>
  </si>
  <si>
    <t>Mar</t>
  </si>
  <si>
    <t>Apr</t>
  </si>
  <si>
    <t>May</t>
  </si>
  <si>
    <t>Jun</t>
  </si>
  <si>
    <t>Jul</t>
  </si>
  <si>
    <t>Aug</t>
  </si>
  <si>
    <t>Sep</t>
  </si>
  <si>
    <t>Oct</t>
  </si>
  <si>
    <t>Nov</t>
  </si>
  <si>
    <t>Dec</t>
  </si>
  <si>
    <t>Totals</t>
  </si>
  <si>
    <t>Avg</t>
  </si>
  <si>
    <t>BOY Inventory</t>
  </si>
  <si>
    <t>Months Left</t>
  </si>
  <si>
    <t>Inven to date</t>
  </si>
  <si>
    <t>Ameritage Reserve</t>
  </si>
  <si>
    <t>Ameritage</t>
  </si>
  <si>
    <t>Cab Franc</t>
  </si>
  <si>
    <t>Cab Sauv</t>
  </si>
  <si>
    <t>Chardonnay</t>
  </si>
  <si>
    <t>Merlot</t>
  </si>
  <si>
    <t>Petite Verdot</t>
  </si>
  <si>
    <t>LH Viognier</t>
  </si>
  <si>
    <t>Malbec</t>
  </si>
  <si>
    <t>Sauv Blanc</t>
  </si>
  <si>
    <t>Viognier</t>
  </si>
  <si>
    <t>Redmund's</t>
  </si>
  <si>
    <t>Riesling</t>
  </si>
  <si>
    <t>Sweet Petite</t>
  </si>
  <si>
    <t xml:space="preserve"> </t>
  </si>
  <si>
    <t>Reds</t>
  </si>
  <si>
    <t>Whites</t>
  </si>
  <si>
    <t>2009 Monthly Avg.</t>
  </si>
  <si>
    <t>2010      BOY Inventory</t>
  </si>
  <si>
    <t>2010 Monthly Avg.</t>
  </si>
  <si>
    <t>Remaining Inventory</t>
  </si>
  <si>
    <t>Vin De Sol</t>
  </si>
  <si>
    <t>Sweet Petit</t>
  </si>
  <si>
    <t>Harrys Tap Room</t>
  </si>
  <si>
    <t>LH Petit Manseng</t>
  </si>
  <si>
    <t>Petit Manseng</t>
  </si>
  <si>
    <t>n/a</t>
  </si>
  <si>
    <t>2011 Monthly Avg.</t>
  </si>
  <si>
    <t>2012      BOY Inventory</t>
  </si>
  <si>
    <t>2012 Monthly Avg.</t>
  </si>
  <si>
    <t>Hen's Night</t>
  </si>
  <si>
    <t>Ameritage Res</t>
  </si>
  <si>
    <t xml:space="preserve">Ameritage  </t>
  </si>
  <si>
    <t>19 remaining cases, 25 sold, the remainder recycled.</t>
  </si>
  <si>
    <t>All 128 cases recycled into other bulk wines.</t>
  </si>
  <si>
    <t>Petit Verdot</t>
  </si>
  <si>
    <t>LH Tram</t>
  </si>
  <si>
    <t>Petite Manseng</t>
  </si>
  <si>
    <t>TOTAL</t>
  </si>
  <si>
    <t>IN-BOND TRANSFERS</t>
  </si>
  <si>
    <t xml:space="preserve">Starting Cases </t>
  </si>
  <si>
    <r>
      <t xml:space="preserve">In(+) or Out(-) </t>
    </r>
    <r>
      <rPr>
        <b/>
        <sz val="20"/>
        <rFont val="Arial"/>
        <family val="2"/>
      </rPr>
      <t>Cases</t>
    </r>
  </si>
  <si>
    <t>Remaining Cases</t>
  </si>
  <si>
    <t>Starting Gallons</t>
  </si>
  <si>
    <r>
      <t xml:space="preserve">In(+) or Out(-) </t>
    </r>
    <r>
      <rPr>
        <b/>
        <sz val="20"/>
        <rFont val="Arial"/>
        <family val="2"/>
      </rPr>
      <t>Bulk Gallons</t>
    </r>
  </si>
  <si>
    <t>Remaining Gallons</t>
  </si>
  <si>
    <t>Bulk wines</t>
  </si>
  <si>
    <t>2013 vintage</t>
  </si>
  <si>
    <t>Shiners</t>
  </si>
  <si>
    <t xml:space="preserve">56 ‘12 pv </t>
  </si>
  <si>
    <t>Red</t>
  </si>
  <si>
    <t>gal</t>
  </si>
  <si>
    <t>including 1200 gal of reds stored at VH</t>
  </si>
  <si>
    <t>at VHCW</t>
  </si>
  <si>
    <t>84 ‘11 cf</t>
  </si>
  <si>
    <t>white</t>
  </si>
  <si>
    <t>including  2300 gal of delaney made at PC</t>
  </si>
  <si>
    <t xml:space="preserve">68 ‘10 ameritage </t>
  </si>
  <si>
    <t>ABC #</t>
  </si>
  <si>
    <t>2013      BOY Inventory</t>
  </si>
  <si>
    <t>Tasting Room</t>
  </si>
  <si>
    <t>shiners</t>
  </si>
  <si>
    <t xml:space="preserve">used </t>
  </si>
  <si>
    <t>Vin de Sol</t>
  </si>
  <si>
    <t xml:space="preserve">Collaberation </t>
  </si>
  <si>
    <t>Farm Use Wines</t>
  </si>
  <si>
    <t>1991 Brut</t>
  </si>
  <si>
    <t>2000 Brut</t>
  </si>
  <si>
    <t>2013 Monthly Avg.</t>
  </si>
  <si>
    <t>2014     BOY Inventory</t>
  </si>
  <si>
    <t>2014 Monthly Avg.</t>
  </si>
  <si>
    <t xml:space="preserve">          </t>
  </si>
  <si>
    <t>Cab Franc Res</t>
  </si>
  <si>
    <t>Black Ops</t>
  </si>
  <si>
    <t>Syrah</t>
  </si>
  <si>
    <t>2015     BOY Inventory</t>
  </si>
  <si>
    <t>2015 Monthly Avg.</t>
  </si>
  <si>
    <t>Dry Rielsing</t>
  </si>
  <si>
    <t>Mabec</t>
  </si>
  <si>
    <t>Farm Use</t>
  </si>
  <si>
    <t>Bottles</t>
  </si>
  <si>
    <t>Cases</t>
  </si>
  <si>
    <t>Bulk Wine</t>
  </si>
  <si>
    <t>Gallons</t>
  </si>
  <si>
    <t>Chard</t>
  </si>
  <si>
    <t>PM</t>
  </si>
  <si>
    <t>Traminette</t>
  </si>
  <si>
    <t>Pinot Gris</t>
  </si>
  <si>
    <t>Vio</t>
  </si>
  <si>
    <t>Rose</t>
  </si>
  <si>
    <t>Delaney</t>
  </si>
  <si>
    <t>Mer</t>
  </si>
  <si>
    <t>Mal</t>
  </si>
  <si>
    <t>CF</t>
  </si>
  <si>
    <t>PV/Mal</t>
  </si>
  <si>
    <t>PV</t>
  </si>
  <si>
    <t>CS</t>
  </si>
  <si>
    <t>AMR</t>
  </si>
  <si>
    <t>CFR</t>
  </si>
  <si>
    <t>Norton</t>
  </si>
  <si>
    <t>AM</t>
  </si>
  <si>
    <t>B Ops</t>
  </si>
  <si>
    <t>Mal Res</t>
  </si>
  <si>
    <t>2016     BOY Inventory</t>
  </si>
  <si>
    <t>2016 Monthly Avg.</t>
  </si>
  <si>
    <t>Malbec Res</t>
  </si>
  <si>
    <t>Mabec Res</t>
  </si>
  <si>
    <t>Viognier Res</t>
  </si>
  <si>
    <t>EFFINGHAM</t>
  </si>
  <si>
    <t>Eff Meritage</t>
  </si>
  <si>
    <t>Tannat</t>
  </si>
  <si>
    <t>Eff King's Ransom</t>
  </si>
  <si>
    <t>N/V</t>
  </si>
  <si>
    <t>Sparkling</t>
  </si>
  <si>
    <t>Meritage</t>
  </si>
  <si>
    <t>Kings Ransom</t>
  </si>
  <si>
    <t>Overall</t>
  </si>
  <si>
    <t>Starting Cases</t>
  </si>
  <si>
    <t>In(+) or Out(-) Cases</t>
  </si>
  <si>
    <t>In(+) or Out(-) Bulk Gallons</t>
  </si>
  <si>
    <t>2017     BOY Inventory</t>
  </si>
  <si>
    <t>Date</t>
  </si>
  <si>
    <t>Vintage</t>
  </si>
  <si>
    <t>Deswcription</t>
  </si>
  <si>
    <t>NV</t>
  </si>
  <si>
    <t xml:space="preserve">Effingham Snort </t>
  </si>
  <si>
    <t>King's Ransom</t>
  </si>
  <si>
    <r>
      <t xml:space="preserve">Sparkling ** </t>
    </r>
    <r>
      <rPr>
        <i/>
        <sz val="10"/>
        <color rgb="FFFF0000"/>
        <rFont val="Arial"/>
        <family val="2"/>
      </rPr>
      <t>don't include on tax report</t>
    </r>
  </si>
  <si>
    <t>Eff Rose</t>
  </si>
  <si>
    <t>Snort</t>
  </si>
  <si>
    <t>Bottlings</t>
  </si>
  <si>
    <t>2018   BOY Inventory</t>
  </si>
  <si>
    <t>2018 Monthly Avg.</t>
  </si>
  <si>
    <t>Description</t>
  </si>
  <si>
    <t>Effingham Rose</t>
  </si>
  <si>
    <t>added to BOY Inv</t>
  </si>
  <si>
    <t>Effingham Traminette</t>
  </si>
  <si>
    <t>Chardonnay (bottled by PC - PC sells to EFF)</t>
  </si>
  <si>
    <t>Effingham Meritage</t>
  </si>
  <si>
    <t>Effingham Merlot</t>
  </si>
  <si>
    <t>EFF Kings Ransom</t>
  </si>
  <si>
    <r>
      <t xml:space="preserve">Tannat </t>
    </r>
    <r>
      <rPr>
        <sz val="12"/>
        <color rgb="FFC00000"/>
        <rFont val="Arial"/>
        <family val="2"/>
      </rPr>
      <t>**Tax has been paid on all of this Tannat. 42 was originally entered and paid in March 2018/ chart has been corrected to reflect actualy inv but no more tax is due</t>
    </r>
  </si>
  <si>
    <t>EFF Tannat</t>
  </si>
  <si>
    <t>EFF Norton</t>
  </si>
  <si>
    <t>Norton Shiners (moved to VH)</t>
  </si>
  <si>
    <t>######</t>
  </si>
  <si>
    <t>Additions</t>
  </si>
  <si>
    <t>Barrel Inventory</t>
  </si>
  <si>
    <t>barrels</t>
  </si>
  <si>
    <t>gallons</t>
  </si>
  <si>
    <t>Virginias Heritage</t>
  </si>
  <si>
    <t>total</t>
  </si>
  <si>
    <t>TRANSFERS</t>
  </si>
  <si>
    <t>2019  BOTTLINGS</t>
  </si>
  <si>
    <t>2019   BOY Inventory</t>
  </si>
  <si>
    <t>2019 Monthly Avg.</t>
  </si>
  <si>
    <t>EFF Rose</t>
  </si>
  <si>
    <t>I, Chris Pearmund, hereby attest that a physical inventory of all bulk and bottled wine was performed, and the pages attached reflect the results of that inventory.  This inventory is true to the best of my knowledge and ability.</t>
  </si>
  <si>
    <t>Trans from PC</t>
  </si>
  <si>
    <t>EFF Traminette</t>
  </si>
  <si>
    <t>Eff Celebration (white blend)</t>
  </si>
  <si>
    <t>ADDITIONS - Sugar/concentrate/bulk wine/spirits</t>
  </si>
  <si>
    <t>YEAR</t>
  </si>
  <si>
    <t>BULK WINE ONLY</t>
  </si>
  <si>
    <t>YE Gal</t>
  </si>
  <si>
    <t>Chambourcin</t>
  </si>
  <si>
    <t>Merlot / PV</t>
  </si>
  <si>
    <t>CF / Merlot</t>
  </si>
  <si>
    <t>CS / Malbec</t>
  </si>
  <si>
    <t>Tannat/CF</t>
  </si>
  <si>
    <t>Tannat/CS</t>
  </si>
  <si>
    <t>Celebration</t>
  </si>
  <si>
    <t>*** Transferred from PC to EFF 2018 Viognier</t>
  </si>
  <si>
    <t>*** Transferred from PC to EFF 2018 Chardonnay</t>
  </si>
  <si>
    <t>EFF Merlot</t>
  </si>
  <si>
    <t>Effingham Norton</t>
  </si>
  <si>
    <t>Effingham Chardonnay</t>
  </si>
  <si>
    <t>Transfer Merlot - George from PC to EM bulk wine</t>
  </si>
  <si>
    <t>Transfer Tannat-Silvia from PC to EM bulk wine</t>
  </si>
  <si>
    <t>Transfer Tannat-George from PC to EM bulk wine</t>
  </si>
  <si>
    <t>Transfer Cab Franc-Trumb from PC to EM bulk wine</t>
  </si>
  <si>
    <t>Transfer Cab Sauv-L1 George from PC to EM bulk wine</t>
  </si>
  <si>
    <t>Transfer Merlot-SC from PC to EM bulk wine</t>
  </si>
  <si>
    <t>Transfer Merlot-Silvia from PC to EM bulk wine</t>
  </si>
  <si>
    <t>Transfer Cab Franc-TG from PC to EM bulk wine</t>
  </si>
  <si>
    <t>Transfer Cab Sauv-L1 from PC to EM bulk wine</t>
  </si>
  <si>
    <t>Transfer Petit Verdot-George from PC to EM bulk wine</t>
  </si>
  <si>
    <t>Transfer Petit Verdot-Silver Creek from PC to EM bulk wine</t>
  </si>
  <si>
    <t>Transfer Cab Franc-Silver Creek from PC to EM bulk wine</t>
  </si>
  <si>
    <t>Transfer Cab Franc-Trump from PC to EM bulk wine</t>
  </si>
  <si>
    <t>Transfer Merlot-Lot 2/3 from EM to PC bulk wine</t>
  </si>
  <si>
    <t>Transfer Cab Franc-Silver Creek from EM to PC bulk wine</t>
  </si>
  <si>
    <t>Transfer Cab Sauv (Black Ops componet) from EM to PC bulk wine</t>
  </si>
  <si>
    <t>Transfer Merlot (Black Ops component) from EM to PC bulk wine</t>
  </si>
  <si>
    <t>Transfer Cab Sauv LC from PC to EM bulk wine</t>
  </si>
  <si>
    <t>Merlot/Tannat</t>
  </si>
  <si>
    <r>
      <t xml:space="preserve">Sparkling ** </t>
    </r>
    <r>
      <rPr>
        <i/>
        <sz val="12"/>
        <color rgb="FFFF0000"/>
        <rFont val="Arial"/>
        <family val="2"/>
      </rPr>
      <t>don't include on tax report</t>
    </r>
  </si>
  <si>
    <t>Cameo Rose</t>
  </si>
  <si>
    <t xml:space="preserve"> I, Chris Pearmund, hereby attest that a physical inventory of all bulk and bottled wine was performed, and the pages attached reflect the results of that inventory.  This inventory is true to the best of my knowledge and ability.</t>
  </si>
  <si>
    <t>Eff Snort</t>
  </si>
  <si>
    <t>BoY Gal</t>
  </si>
  <si>
    <t>2020  BOTTLINGS</t>
  </si>
  <si>
    <t>Details</t>
  </si>
  <si>
    <t>Quanity</t>
  </si>
  <si>
    <t>Units</t>
  </si>
  <si>
    <t>2020   BOY Inventory</t>
  </si>
  <si>
    <t>VH transferred/sold to Effingham 2018 Tannat</t>
  </si>
  <si>
    <t>Effingham transferred/sold to VH 2019 Tannat</t>
  </si>
  <si>
    <t>cases</t>
  </si>
  <si>
    <t>PC sold Petit Manseng to Effingham</t>
  </si>
  <si>
    <t>PC sold Celebration to Effingham</t>
  </si>
  <si>
    <t>Celebration 3L Bag</t>
  </si>
  <si>
    <t>PC Sold Viognier to Effingham</t>
  </si>
  <si>
    <t>PC Sold Chardonnay to Effingham</t>
  </si>
  <si>
    <t>Effingham transferred/sold to PC Meritage</t>
  </si>
  <si>
    <t>Kings Ransom Reserve</t>
  </si>
  <si>
    <t>PC Sold Cameo Rose to Effingham</t>
  </si>
  <si>
    <t>TAN</t>
  </si>
  <si>
    <t>KR</t>
  </si>
  <si>
    <t>RES</t>
  </si>
  <si>
    <t>CASES</t>
  </si>
  <si>
    <t>DAY#!</t>
  </si>
  <si>
    <t>VHCW</t>
  </si>
  <si>
    <t>MERLOT</t>
  </si>
  <si>
    <t>Swapping out 7 barrels CF for best reds from VH and PC</t>
  </si>
  <si>
    <t>Reserve</t>
  </si>
  <si>
    <r>
      <t>Cameo Rose (</t>
    </r>
    <r>
      <rPr>
        <sz val="12"/>
        <color rgb="FFFF0000"/>
        <rFont val="Arial"/>
        <family val="2"/>
      </rPr>
      <t>No Tax</t>
    </r>
    <r>
      <rPr>
        <sz val="12"/>
        <rFont val="Arial"/>
        <family val="2"/>
      </rPr>
      <t>)</t>
    </r>
  </si>
  <si>
    <t>PC sold Red Blend to Effingham</t>
  </si>
  <si>
    <t>PC sold Cab Franc to Effingham</t>
  </si>
  <si>
    <t>PC sold Merlot to Effingham</t>
  </si>
  <si>
    <t>PC sold Petit Verdot to Effingham</t>
  </si>
  <si>
    <t>PC sold Tannat to Effingham</t>
  </si>
  <si>
    <t>PC sold Cab Sauv to Effingham</t>
  </si>
  <si>
    <t>Effingham sold Cab Sauv to PC</t>
  </si>
  <si>
    <t>17 shiners</t>
  </si>
  <si>
    <t>Effingham Reserve</t>
  </si>
  <si>
    <t>B.O.Y</t>
  </si>
  <si>
    <t>Tannat/ Cab Sauv</t>
  </si>
  <si>
    <t>Merlot/Cab Sauv</t>
  </si>
  <si>
    <t>Merlot/PV</t>
  </si>
  <si>
    <t>PC sold Heritage to Effingham</t>
  </si>
  <si>
    <t>Celebration 1.5L</t>
  </si>
  <si>
    <t>3 years</t>
  </si>
  <si>
    <t>2 years</t>
  </si>
  <si>
    <t>4 years</t>
  </si>
  <si>
    <t>1.5 years</t>
  </si>
  <si>
    <t>?</t>
  </si>
  <si>
    <t>INVENT</t>
  </si>
  <si>
    <t>Sparkling ** don't include on tax report</t>
  </si>
  <si>
    <t>PC Sold Celebration to Effingham</t>
  </si>
  <si>
    <t>PC Sold Merlot to Effingham</t>
  </si>
  <si>
    <t>PC Sold Tannat to Effingham</t>
  </si>
  <si>
    <t>1.5L Bags</t>
  </si>
  <si>
    <t>PC Sold Cab Sauv to Effingham</t>
  </si>
  <si>
    <t>PC Sold Petit Verdot to Effingham</t>
  </si>
  <si>
    <t>PC Sold Cab Franc to Effingham</t>
  </si>
  <si>
    <t>PC Sold Touriga Nacional to Effingham</t>
  </si>
  <si>
    <t>Bottling</t>
  </si>
  <si>
    <t>2021 Monthly Avg.</t>
  </si>
  <si>
    <t>2022   BOY Inventory</t>
  </si>
  <si>
    <t>2022 Monthly Avg.</t>
  </si>
  <si>
    <t xml:space="preserve">   </t>
  </si>
  <si>
    <t>3.3 years</t>
  </si>
  <si>
    <t>2.75 years</t>
  </si>
  <si>
    <t>3.6 years</t>
  </si>
  <si>
    <t>PC Sold Petit Manseng to Effingham</t>
  </si>
  <si>
    <t>PC Sold Rose to Effingham</t>
  </si>
  <si>
    <t>PC Sold 1.5L Bags Celebration to Effingham</t>
  </si>
  <si>
    <t>Bags</t>
  </si>
  <si>
    <t>Clearly White</t>
  </si>
  <si>
    <t>Clearly Sangria</t>
  </si>
  <si>
    <t>Clearly Rose</t>
  </si>
  <si>
    <t>Cleary Sangria</t>
  </si>
  <si>
    <t>24/Case</t>
  </si>
  <si>
    <t>24/case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</si>
</sst>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mm\ d\,\ yyyy"/>
    <numFmt numFmtId="165" formatCode="0.0"/>
  </numFmts>
  <fonts count="28" x14ac:knownFonts="1">
    <font>
      <sz val="10"/>
      <name val="Arial"/>
    </font>
    <font>
      <sz val="10"/>
      <name val="Arial"/>
      <family val="2"/>
    </font>
    <font>
      <b/>
      <sz val="16"/>
      <name val="Arial"/>
      <family val="2"/>
    </font>
    <font>
      <b/>
      <sz val="12"/>
      <name val="Arial"/>
      <family val="2"/>
    </font>
    <font>
      <b/>
      <sz val="10"/>
      <name val="Arial"/>
      <family val="2"/>
    </font>
    <font>
      <b/>
      <sz val="20"/>
      <name val="Arial"/>
      <family val="2"/>
    </font>
    <font>
      <sz val="10"/>
      <color indexed="8"/>
      <name val="Arial"/>
      <family val="2"/>
    </font>
    <font>
      <sz val="10"/>
      <color indexed="10"/>
      <name val="Arial"/>
      <family val="2"/>
    </font>
    <font>
      <sz val="8"/>
      <name val="Arial"/>
      <family val="2"/>
    </font>
    <font>
      <sz val="10"/>
      <color rgb="FFFF0000"/>
      <name val="Arial"/>
      <family val="2"/>
    </font>
    <font>
      <sz val="12"/>
      <name val="Times New Roman"/>
      <family val="1"/>
    </font>
    <font>
      <sz val="12"/>
      <name val="Calibri"/>
      <family val="2"/>
    </font>
    <font>
      <sz val="11"/>
      <name val="Times New Roman"/>
      <family val="1"/>
    </font>
    <font>
      <sz val="10"/>
      <name val="Arial"/>
      <family val="2"/>
    </font>
    <font>
      <sz val="10"/>
      <color theme="1"/>
      <name val="Arial"/>
      <family val="2"/>
    </font>
    <font>
      <sz val="12"/>
      <name val="Arial"/>
      <family val="2"/>
    </font>
    <font>
      <sz val="12"/>
      <color theme="1"/>
      <name val="Arial"/>
      <family val="2"/>
    </font>
    <font>
      <sz val="12"/>
      <name val="Arial"/>
      <family val="2"/>
    </font>
    <font>
      <i/>
      <sz val="10"/>
      <color rgb="FFFF0000"/>
      <name val="Arial"/>
      <family val="2"/>
    </font>
    <font>
      <sz val="12"/>
      <color rgb="FFC00000"/>
      <name val="Arial"/>
      <family val="2"/>
    </font>
    <font>
      <sz val="12"/>
      <color rgb="FFFF0000"/>
      <name val="Arial"/>
      <family val="2"/>
    </font>
    <font>
      <sz val="11"/>
      <color rgb="FF000000"/>
      <name val="Calibri"/>
      <family val="2"/>
    </font>
    <font>
      <sz val="9"/>
      <color indexed="81"/>
      <name val="Tahoma"/>
      <family val="2"/>
    </font>
    <font>
      <b/>
      <sz val="9"/>
      <color indexed="81"/>
      <name val="Tahoma"/>
      <family val="2"/>
    </font>
    <font>
      <i/>
      <sz val="12"/>
      <color rgb="FFFF0000"/>
      <name val="Arial"/>
      <family val="2"/>
    </font>
    <font>
      <b/>
      <sz val="12"/>
      <color rgb="FFFF0000"/>
      <name val="Arial"/>
      <family val="2"/>
    </font>
    <font>
      <sz val="14"/>
      <name val="Arial"/>
      <family val="2"/>
    </font>
    <font>
      <b/>
      <sz val="14"/>
      <name val="Arial"/>
      <family val="2"/>
    </font>
  </fonts>
  <fills count="23">
    <fill>
      <patternFill patternType="none"/>
    </fill>
    <fill>
      <patternFill patternType="gray125"/>
    </fill>
    <fill>
      <patternFill patternType="solid">
        <fgColor indexed="15"/>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10"/>
        <bgColor indexed="64"/>
      </patternFill>
    </fill>
    <fill>
      <patternFill patternType="solid">
        <fgColor indexed="8"/>
        <bgColor indexed="64"/>
      </patternFill>
    </fill>
    <fill>
      <patternFill patternType="solid">
        <fgColor indexed="17"/>
        <bgColor indexed="64"/>
      </patternFill>
    </fill>
    <fill>
      <patternFill patternType="solid">
        <fgColor indexed="55"/>
        <bgColor indexed="64"/>
      </patternFill>
    </fill>
    <fill>
      <patternFill patternType="solid">
        <fgColor indexed="22"/>
        <bgColor indexed="64"/>
      </patternFill>
    </fill>
    <fill>
      <patternFill patternType="solid">
        <fgColor theme="0"/>
        <bgColor indexed="64"/>
      </patternFill>
    </fill>
    <fill>
      <patternFill patternType="solid">
        <fgColor rgb="FFFF0000"/>
        <bgColor indexed="64"/>
      </patternFill>
    </fill>
    <fill>
      <patternFill patternType="solid">
        <fgColor theme="1" tint="0.499984740745262"/>
        <bgColor indexed="64"/>
      </patternFill>
    </fill>
    <fill>
      <patternFill patternType="solid">
        <fgColor theme="1"/>
        <bgColor indexed="64"/>
      </patternFill>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8" tint="0.59999389629810485"/>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s>
  <cellStyleXfs count="3">
    <xf numFmtId="0" fontId="0" fillId="0" borderId="0"/>
    <xf numFmtId="43" fontId="1" fillId="0" borderId="0" applyFont="0" applyFill="0" applyBorder="0" applyAlignment="0" applyProtection="0"/>
    <xf numFmtId="9" fontId="13" fillId="0" borderId="0" applyFont="0" applyFill="0" applyBorder="0" applyAlignment="0" applyProtection="0"/>
  </cellStyleXfs>
  <cellXfs count="456">
    <xf numFmtId="0" fontId="0" fillId="0" borderId="0" xfId="0"/>
    <xf numFmtId="0" fontId="3" fillId="0" borderId="0" xfId="0" applyFont="1" applyAlignment="1">
      <alignment horizontal="center"/>
    </xf>
    <xf numFmtId="0" fontId="0" fillId="0" borderId="1" xfId="0" applyBorder="1"/>
    <xf numFmtId="0" fontId="0" fillId="2" borderId="1" xfId="0" applyFill="1" applyBorder="1"/>
    <xf numFmtId="0" fontId="0" fillId="3" borderId="1" xfId="0" applyFill="1" applyBorder="1"/>
    <xf numFmtId="0" fontId="0" fillId="0" borderId="2" xfId="0" applyBorder="1"/>
    <xf numFmtId="0" fontId="0" fillId="0" borderId="3" xfId="0" applyBorder="1"/>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165" fontId="0" fillId="0" borderId="1" xfId="0" applyNumberFormat="1" applyBorder="1"/>
    <xf numFmtId="1" fontId="0" fillId="4" borderId="1" xfId="0" applyNumberFormat="1" applyFill="1" applyBorder="1"/>
    <xf numFmtId="0" fontId="0" fillId="0" borderId="7" xfId="0" applyBorder="1"/>
    <xf numFmtId="0" fontId="4" fillId="0" borderId="2" xfId="0" applyFont="1" applyBorder="1"/>
    <xf numFmtId="0" fontId="0" fillId="0" borderId="1" xfId="0" applyBorder="1" applyAlignment="1">
      <alignment horizontal="left"/>
    </xf>
    <xf numFmtId="0" fontId="0" fillId="0" borderId="8" xfId="0" applyBorder="1"/>
    <xf numFmtId="0" fontId="0" fillId="0" borderId="9" xfId="0" applyBorder="1"/>
    <xf numFmtId="0" fontId="0" fillId="2" borderId="9" xfId="0" applyFill="1" applyBorder="1"/>
    <xf numFmtId="1" fontId="0" fillId="4" borderId="9" xfId="0" applyNumberFormat="1" applyFill="1" applyBorder="1"/>
    <xf numFmtId="0" fontId="0" fillId="3" borderId="9" xfId="0" applyFill="1" applyBorder="1"/>
    <xf numFmtId="165" fontId="0" fillId="0" borderId="9" xfId="0" applyNumberFormat="1" applyBorder="1"/>
    <xf numFmtId="0" fontId="0" fillId="0" borderId="9" xfId="0" applyBorder="1" applyAlignment="1">
      <alignment horizontal="left"/>
    </xf>
    <xf numFmtId="0" fontId="0" fillId="0" borderId="10" xfId="0" applyBorder="1"/>
    <xf numFmtId="0" fontId="0" fillId="2" borderId="10" xfId="0" applyFill="1" applyBorder="1"/>
    <xf numFmtId="1" fontId="0" fillId="4" borderId="10" xfId="0" applyNumberFormat="1" applyFill="1" applyBorder="1"/>
    <xf numFmtId="165" fontId="0" fillId="0" borderId="10" xfId="0" applyNumberFormat="1" applyBorder="1"/>
    <xf numFmtId="0" fontId="0" fillId="0" borderId="11" xfId="0" applyBorder="1"/>
    <xf numFmtId="1" fontId="0" fillId="3" borderId="11" xfId="0" applyNumberFormat="1" applyFill="1" applyBorder="1"/>
    <xf numFmtId="0" fontId="0" fillId="0" borderId="11" xfId="0" applyBorder="1" applyAlignment="1">
      <alignment horizontal="left"/>
    </xf>
    <xf numFmtId="0" fontId="0" fillId="0" borderId="1" xfId="0" applyBorder="1" applyAlignment="1">
      <alignment horizontal="right"/>
    </xf>
    <xf numFmtId="0" fontId="0" fillId="5" borderId="1" xfId="0" applyFill="1" applyBorder="1"/>
    <xf numFmtId="0" fontId="0" fillId="0" borderId="9" xfId="0" applyBorder="1" applyAlignment="1">
      <alignment horizontal="right"/>
    </xf>
    <xf numFmtId="0" fontId="0" fillId="5" borderId="9" xfId="0" applyFill="1" applyBorder="1"/>
    <xf numFmtId="0" fontId="0" fillId="6" borderId="1" xfId="0" applyFill="1" applyBorder="1"/>
    <xf numFmtId="165" fontId="0" fillId="6" borderId="1" xfId="0" applyNumberFormat="1" applyFill="1" applyBorder="1"/>
    <xf numFmtId="0" fontId="0" fillId="6" borderId="1" xfId="0" applyFill="1" applyBorder="1" applyAlignment="1">
      <alignment horizontal="left"/>
    </xf>
    <xf numFmtId="0" fontId="0" fillId="6" borderId="1" xfId="0" applyFill="1" applyBorder="1" applyAlignment="1">
      <alignment horizontal="right"/>
    </xf>
    <xf numFmtId="0" fontId="0" fillId="6" borderId="9" xfId="0" applyFill="1" applyBorder="1"/>
    <xf numFmtId="165" fontId="0" fillId="6" borderId="9" xfId="0" applyNumberFormat="1" applyFill="1" applyBorder="1"/>
    <xf numFmtId="0" fontId="0" fillId="6" borderId="9" xfId="0" applyFill="1" applyBorder="1" applyAlignment="1">
      <alignment horizontal="left"/>
    </xf>
    <xf numFmtId="0" fontId="0" fillId="5" borderId="9" xfId="0" applyFill="1" applyBorder="1" applyAlignment="1">
      <alignment horizontal="right"/>
    </xf>
    <xf numFmtId="43" fontId="0" fillId="0" borderId="9" xfId="1" applyFont="1" applyBorder="1"/>
    <xf numFmtId="1" fontId="0" fillId="4" borderId="11" xfId="0" applyNumberFormat="1" applyFill="1" applyBorder="1"/>
    <xf numFmtId="0" fontId="6" fillId="7" borderId="1" xfId="0" applyFont="1" applyFill="1" applyBorder="1"/>
    <xf numFmtId="1" fontId="6" fillId="7" borderId="1" xfId="0" applyNumberFormat="1" applyFont="1" applyFill="1" applyBorder="1"/>
    <xf numFmtId="165" fontId="6" fillId="7" borderId="1" xfId="0" applyNumberFormat="1" applyFont="1" applyFill="1" applyBorder="1"/>
    <xf numFmtId="0" fontId="0" fillId="7" borderId="1" xfId="0" applyFill="1" applyBorder="1"/>
    <xf numFmtId="0" fontId="0" fillId="7" borderId="11" xfId="0" applyFill="1" applyBorder="1"/>
    <xf numFmtId="1" fontId="0" fillId="7" borderId="11" xfId="0" applyNumberFormat="1" applyFill="1" applyBorder="1"/>
    <xf numFmtId="1" fontId="0" fillId="7" borderId="1" xfId="0" applyNumberFormat="1" applyFill="1" applyBorder="1"/>
    <xf numFmtId="0" fontId="0" fillId="8" borderId="1" xfId="0" applyFill="1" applyBorder="1"/>
    <xf numFmtId="0" fontId="4" fillId="0" borderId="1" xfId="0" applyFont="1" applyBorder="1" applyAlignment="1">
      <alignment horizontal="center"/>
    </xf>
    <xf numFmtId="0" fontId="0" fillId="3" borderId="0" xfId="0" applyFill="1"/>
    <xf numFmtId="0" fontId="4" fillId="0" borderId="10" xfId="0" applyFont="1" applyBorder="1" applyAlignment="1">
      <alignment horizontal="center"/>
    </xf>
    <xf numFmtId="1" fontId="0" fillId="4" borderId="12" xfId="0" applyNumberFormat="1" applyFill="1" applyBorder="1"/>
    <xf numFmtId="0" fontId="0" fillId="3" borderId="9" xfId="0" applyFill="1" applyBorder="1" applyAlignment="1">
      <alignment horizontal="right"/>
    </xf>
    <xf numFmtId="0" fontId="0" fillId="8" borderId="9" xfId="0" applyFill="1" applyBorder="1"/>
    <xf numFmtId="0" fontId="0" fillId="6" borderId="9" xfId="0" applyFill="1" applyBorder="1" applyAlignment="1">
      <alignment horizontal="right"/>
    </xf>
    <xf numFmtId="0" fontId="0" fillId="0" borderId="10" xfId="0" applyBorder="1" applyAlignment="1">
      <alignment horizontal="right"/>
    </xf>
    <xf numFmtId="0" fontId="0" fillId="6" borderId="10" xfId="0" applyFill="1" applyBorder="1"/>
    <xf numFmtId="0" fontId="0" fillId="0" borderId="6" xfId="0" applyBorder="1"/>
    <xf numFmtId="0" fontId="3" fillId="0" borderId="13" xfId="0" applyFont="1" applyBorder="1" applyAlignment="1">
      <alignment horizontal="center"/>
    </xf>
    <xf numFmtId="0" fontId="3" fillId="0" borderId="14" xfId="0" applyFont="1" applyBorder="1" applyAlignment="1">
      <alignment horizontal="center"/>
    </xf>
    <xf numFmtId="49" fontId="3" fillId="0" borderId="15" xfId="0" applyNumberFormat="1" applyFont="1" applyBorder="1" applyAlignment="1">
      <alignment horizontal="center" wrapText="1"/>
    </xf>
    <xf numFmtId="0" fontId="3" fillId="0" borderId="15" xfId="0" applyFont="1" applyBorder="1" applyAlignment="1">
      <alignment horizontal="center" wrapText="1"/>
    </xf>
    <xf numFmtId="0" fontId="3" fillId="0" borderId="15" xfId="0" applyFont="1" applyBorder="1" applyAlignment="1">
      <alignment horizontal="center"/>
    </xf>
    <xf numFmtId="0" fontId="3" fillId="0" borderId="16" xfId="0" applyFont="1" applyBorder="1" applyAlignment="1">
      <alignment horizontal="center"/>
    </xf>
    <xf numFmtId="0" fontId="0" fillId="0" borderId="17" xfId="0" applyBorder="1"/>
    <xf numFmtId="0" fontId="3" fillId="0" borderId="14" xfId="0" applyFont="1" applyBorder="1" applyAlignment="1">
      <alignment horizontal="center" wrapText="1"/>
    </xf>
    <xf numFmtId="0" fontId="3" fillId="0" borderId="16" xfId="0" applyFont="1" applyBorder="1" applyAlignment="1">
      <alignment horizontal="center" wrapText="1"/>
    </xf>
    <xf numFmtId="1" fontId="0" fillId="9" borderId="1" xfId="0" applyNumberFormat="1" applyFill="1" applyBorder="1"/>
    <xf numFmtId="1" fontId="0" fillId="9" borderId="11" xfId="0" applyNumberFormat="1" applyFill="1" applyBorder="1"/>
    <xf numFmtId="0" fontId="0" fillId="0" borderId="18" xfId="0" applyBorder="1"/>
    <xf numFmtId="1" fontId="0" fillId="0" borderId="19" xfId="0" applyNumberFormat="1" applyBorder="1" applyAlignment="1">
      <alignment horizontal="left"/>
    </xf>
    <xf numFmtId="0" fontId="6" fillId="7" borderId="20" xfId="0" applyFont="1" applyFill="1" applyBorder="1"/>
    <xf numFmtId="0" fontId="0" fillId="7" borderId="0" xfId="0" applyFill="1"/>
    <xf numFmtId="0" fontId="6" fillId="7" borderId="21" xfId="0" applyFont="1" applyFill="1" applyBorder="1" applyAlignment="1">
      <alignment horizontal="left"/>
    </xf>
    <xf numFmtId="0" fontId="0" fillId="0" borderId="20" xfId="0" applyBorder="1"/>
    <xf numFmtId="1" fontId="0" fillId="0" borderId="21" xfId="0" applyNumberFormat="1" applyBorder="1" applyAlignment="1">
      <alignment horizontal="left"/>
    </xf>
    <xf numFmtId="0" fontId="0" fillId="0" borderId="22" xfId="0" applyBorder="1"/>
    <xf numFmtId="0" fontId="0" fillId="7" borderId="20" xfId="0" applyFill="1" applyBorder="1"/>
    <xf numFmtId="0" fontId="0" fillId="7" borderId="21" xfId="0" applyFill="1" applyBorder="1" applyAlignment="1">
      <alignment horizontal="left"/>
    </xf>
    <xf numFmtId="0" fontId="0" fillId="3" borderId="20" xfId="0" applyFill="1" applyBorder="1"/>
    <xf numFmtId="0" fontId="0" fillId="7" borderId="23" xfId="0" applyFill="1" applyBorder="1"/>
    <xf numFmtId="0" fontId="0" fillId="7" borderId="24" xfId="0" applyFill="1" applyBorder="1"/>
    <xf numFmtId="0" fontId="0" fillId="0" borderId="14" xfId="0" applyBorder="1"/>
    <xf numFmtId="0" fontId="0" fillId="0" borderId="25" xfId="0" applyBorder="1"/>
    <xf numFmtId="0" fontId="4" fillId="0" borderId="15" xfId="0" applyFont="1" applyBorder="1" applyAlignment="1">
      <alignment horizontal="center"/>
    </xf>
    <xf numFmtId="1" fontId="0" fillId="4" borderId="15" xfId="0" applyNumberFormat="1" applyFill="1" applyBorder="1"/>
    <xf numFmtId="1" fontId="0" fillId="0" borderId="15" xfId="0" applyNumberFormat="1" applyBorder="1"/>
    <xf numFmtId="0" fontId="0" fillId="2" borderId="15" xfId="0" applyFill="1" applyBorder="1"/>
    <xf numFmtId="165" fontId="0" fillId="0" borderId="15" xfId="0" applyNumberFormat="1" applyBorder="1"/>
    <xf numFmtId="1" fontId="0" fillId="0" borderId="16" xfId="0" applyNumberFormat="1" applyBorder="1" applyAlignment="1">
      <alignment horizontal="left"/>
    </xf>
    <xf numFmtId="1" fontId="0" fillId="4" borderId="9" xfId="0" applyNumberFormat="1" applyFill="1" applyBorder="1" applyAlignment="1">
      <alignment horizontal="center"/>
    </xf>
    <xf numFmtId="1" fontId="0" fillId="0" borderId="26" xfId="0" applyNumberFormat="1" applyBorder="1" applyAlignment="1">
      <alignment horizontal="left"/>
    </xf>
    <xf numFmtId="0" fontId="0" fillId="7" borderId="27" xfId="0" applyFill="1" applyBorder="1"/>
    <xf numFmtId="0" fontId="0" fillId="7" borderId="10" xfId="0" applyFill="1" applyBorder="1"/>
    <xf numFmtId="1" fontId="0" fillId="7" borderId="7" xfId="0" applyNumberFormat="1" applyFill="1" applyBorder="1"/>
    <xf numFmtId="0" fontId="0" fillId="7" borderId="7" xfId="0" applyFill="1" applyBorder="1"/>
    <xf numFmtId="165" fontId="0" fillId="7" borderId="7" xfId="0" applyNumberFormat="1" applyFill="1" applyBorder="1"/>
    <xf numFmtId="0" fontId="0" fillId="7" borderId="28" xfId="0" applyFill="1" applyBorder="1" applyAlignment="1">
      <alignment horizontal="left"/>
    </xf>
    <xf numFmtId="1" fontId="0" fillId="0" borderId="1" xfId="0" applyNumberFormat="1" applyBorder="1" applyAlignment="1">
      <alignment horizontal="left"/>
    </xf>
    <xf numFmtId="0" fontId="0" fillId="4" borderId="1" xfId="0" applyFill="1" applyBorder="1"/>
    <xf numFmtId="0" fontId="7" fillId="6" borderId="9" xfId="0" applyFont="1" applyFill="1" applyBorder="1"/>
    <xf numFmtId="164" fontId="2" fillId="10" borderId="29" xfId="0" applyNumberFormat="1" applyFont="1" applyFill="1" applyBorder="1"/>
    <xf numFmtId="164" fontId="2" fillId="10" borderId="30" xfId="0" applyNumberFormat="1" applyFont="1" applyFill="1" applyBorder="1"/>
    <xf numFmtId="164" fontId="2" fillId="10" borderId="31" xfId="0" applyNumberFormat="1" applyFont="1" applyFill="1" applyBorder="1"/>
    <xf numFmtId="0" fontId="3" fillId="0" borderId="32" xfId="0" applyFont="1" applyBorder="1" applyAlignment="1">
      <alignment horizontal="center"/>
    </xf>
    <xf numFmtId="49" fontId="3" fillId="0" borderId="33" xfId="0" applyNumberFormat="1" applyFont="1" applyBorder="1" applyAlignment="1">
      <alignment horizontal="center" wrapText="1"/>
    </xf>
    <xf numFmtId="0" fontId="3" fillId="0" borderId="33" xfId="0" applyFont="1" applyBorder="1" applyAlignment="1">
      <alignment horizontal="center" wrapText="1"/>
    </xf>
    <xf numFmtId="0" fontId="3" fillId="0" borderId="33" xfId="0" applyFont="1" applyBorder="1" applyAlignment="1">
      <alignment horizontal="center"/>
    </xf>
    <xf numFmtId="0" fontId="3" fillId="0" borderId="34" xfId="0" applyFont="1" applyBorder="1" applyAlignment="1">
      <alignment horizontal="center"/>
    </xf>
    <xf numFmtId="0" fontId="3" fillId="0" borderId="32" xfId="0" applyFont="1" applyBorder="1" applyAlignment="1">
      <alignment horizontal="center" wrapText="1"/>
    </xf>
    <xf numFmtId="0" fontId="3" fillId="0" borderId="34" xfId="0" applyFont="1" applyBorder="1" applyAlignment="1">
      <alignment horizontal="center" wrapText="1"/>
    </xf>
    <xf numFmtId="0" fontId="1" fillId="0" borderId="1" xfId="0" applyFont="1" applyBorder="1"/>
    <xf numFmtId="165" fontId="1" fillId="7" borderId="1" xfId="0" applyNumberFormat="1" applyFont="1" applyFill="1" applyBorder="1"/>
    <xf numFmtId="164" fontId="2" fillId="10" borderId="29" xfId="0" applyNumberFormat="1" applyFont="1" applyFill="1" applyBorder="1" applyAlignment="1">
      <alignment horizontal="left"/>
    </xf>
    <xf numFmtId="164" fontId="2" fillId="10" borderId="30" xfId="0" applyNumberFormat="1" applyFont="1" applyFill="1" applyBorder="1" applyAlignment="1">
      <alignment horizontal="left"/>
    </xf>
    <xf numFmtId="0" fontId="3" fillId="0" borderId="35" xfId="0" applyFont="1" applyBorder="1" applyAlignment="1">
      <alignment horizontal="center" vertical="center" wrapText="1"/>
    </xf>
    <xf numFmtId="0" fontId="3" fillId="0" borderId="36" xfId="0" applyFont="1" applyBorder="1" applyAlignment="1">
      <alignment horizontal="center" vertical="center" wrapText="1"/>
    </xf>
    <xf numFmtId="164" fontId="2" fillId="0" borderId="0" xfId="0" applyNumberFormat="1" applyFont="1" applyAlignment="1">
      <alignment horizontal="left"/>
    </xf>
    <xf numFmtId="0" fontId="1" fillId="0" borderId="10" xfId="0" applyFont="1" applyBorder="1"/>
    <xf numFmtId="0" fontId="3" fillId="0" borderId="10" xfId="0" applyFont="1" applyBorder="1" applyAlignment="1">
      <alignment horizontal="center" wrapText="1"/>
    </xf>
    <xf numFmtId="0" fontId="0" fillId="0" borderId="37" xfId="0" applyBorder="1"/>
    <xf numFmtId="0" fontId="0" fillId="7" borderId="8" xfId="0" applyFill="1" applyBorder="1"/>
    <xf numFmtId="0" fontId="1" fillId="7" borderId="0" xfId="0" applyFont="1" applyFill="1"/>
    <xf numFmtId="0" fontId="1" fillId="0" borderId="0" xfId="0" applyFont="1"/>
    <xf numFmtId="0" fontId="3" fillId="0" borderId="38" xfId="0" applyFont="1" applyBorder="1" applyAlignment="1">
      <alignment horizontal="center" vertical="center" wrapText="1"/>
    </xf>
    <xf numFmtId="0" fontId="1" fillId="0" borderId="10" xfId="0" applyFont="1" applyBorder="1" applyAlignment="1">
      <alignment horizontal="center" wrapText="1"/>
    </xf>
    <xf numFmtId="1" fontId="0" fillId="0" borderId="1" xfId="0" applyNumberFormat="1" applyBorder="1"/>
    <xf numFmtId="0" fontId="1" fillId="8" borderId="1" xfId="0" applyFont="1" applyFill="1" applyBorder="1"/>
    <xf numFmtId="0" fontId="1" fillId="8" borderId="1" xfId="0" applyFont="1" applyFill="1" applyBorder="1" applyAlignment="1">
      <alignment horizontal="right"/>
    </xf>
    <xf numFmtId="0" fontId="1" fillId="0" borderId="1" xfId="0" applyFont="1" applyBorder="1" applyAlignment="1">
      <alignment horizontal="right"/>
    </xf>
    <xf numFmtId="165" fontId="0" fillId="7" borderId="1" xfId="0" applyNumberFormat="1" applyFill="1" applyBorder="1"/>
    <xf numFmtId="0" fontId="0" fillId="0" borderId="39" xfId="0" applyBorder="1"/>
    <xf numFmtId="0" fontId="0" fillId="7" borderId="39" xfId="0" applyFill="1" applyBorder="1"/>
    <xf numFmtId="0" fontId="1" fillId="7" borderId="1" xfId="0" applyFont="1" applyFill="1" applyBorder="1" applyAlignment="1">
      <alignment horizontal="right"/>
    </xf>
    <xf numFmtId="0" fontId="1" fillId="7" borderId="1" xfId="0" applyFont="1" applyFill="1" applyBorder="1"/>
    <xf numFmtId="1" fontId="0" fillId="7" borderId="21" xfId="0" applyNumberFormat="1" applyFill="1" applyBorder="1" applyAlignment="1">
      <alignment horizontal="left"/>
    </xf>
    <xf numFmtId="1" fontId="0" fillId="0" borderId="9" xfId="0" applyNumberFormat="1" applyBorder="1"/>
    <xf numFmtId="0" fontId="0" fillId="7" borderId="40" xfId="0" applyFill="1" applyBorder="1"/>
    <xf numFmtId="0" fontId="0" fillId="7" borderId="41" xfId="0" applyFill="1" applyBorder="1"/>
    <xf numFmtId="1" fontId="0" fillId="7" borderId="41" xfId="0" applyNumberFormat="1" applyFill="1" applyBorder="1"/>
    <xf numFmtId="165" fontId="1" fillId="7" borderId="41" xfId="0" applyNumberFormat="1" applyFont="1" applyFill="1" applyBorder="1"/>
    <xf numFmtId="0" fontId="0" fillId="7" borderId="42" xfId="0" applyFill="1" applyBorder="1"/>
    <xf numFmtId="0" fontId="1" fillId="0" borderId="1" xfId="0" applyFont="1" applyBorder="1" applyAlignment="1">
      <alignment horizontal="center"/>
    </xf>
    <xf numFmtId="0" fontId="0" fillId="0" borderId="1" xfId="0" applyBorder="1" applyAlignment="1">
      <alignment horizontal="center"/>
    </xf>
    <xf numFmtId="0" fontId="1" fillId="6" borderId="1" xfId="0" applyFont="1" applyFill="1" applyBorder="1"/>
    <xf numFmtId="0" fontId="1" fillId="6" borderId="1" xfId="0" applyFont="1" applyFill="1" applyBorder="1" applyAlignment="1">
      <alignment horizontal="right"/>
    </xf>
    <xf numFmtId="0" fontId="1" fillId="11" borderId="1" xfId="0" applyFont="1" applyFill="1" applyBorder="1"/>
    <xf numFmtId="0" fontId="1" fillId="12" borderId="1" xfId="0" applyFont="1" applyFill="1" applyBorder="1"/>
    <xf numFmtId="0" fontId="1" fillId="11" borderId="1" xfId="0" applyFont="1" applyFill="1" applyBorder="1" applyAlignment="1">
      <alignment horizontal="right"/>
    </xf>
    <xf numFmtId="0" fontId="9" fillId="6" borderId="1" xfId="0" applyFont="1" applyFill="1" applyBorder="1"/>
    <xf numFmtId="0" fontId="9" fillId="12" borderId="1" xfId="0" applyFont="1" applyFill="1" applyBorder="1"/>
    <xf numFmtId="0" fontId="9" fillId="12" borderId="1" xfId="0" applyFont="1" applyFill="1" applyBorder="1" applyAlignment="1">
      <alignment horizontal="right"/>
    </xf>
    <xf numFmtId="0" fontId="0" fillId="13" borderId="0" xfId="0" applyFill="1"/>
    <xf numFmtId="0" fontId="3" fillId="0" borderId="45" xfId="0" applyFont="1" applyBorder="1" applyAlignment="1">
      <alignment horizontal="center"/>
    </xf>
    <xf numFmtId="0" fontId="0" fillId="3" borderId="39" xfId="0" applyFill="1" applyBorder="1"/>
    <xf numFmtId="0" fontId="0" fillId="0" borderId="46" xfId="0" applyBorder="1"/>
    <xf numFmtId="0" fontId="0" fillId="0" borderId="39" xfId="0" applyBorder="1" applyAlignment="1">
      <alignment horizontal="center"/>
    </xf>
    <xf numFmtId="0" fontId="3" fillId="0" borderId="1" xfId="0" applyFont="1" applyBorder="1"/>
    <xf numFmtId="0" fontId="10" fillId="0" borderId="1" xfId="0" applyFont="1" applyBorder="1"/>
    <xf numFmtId="0" fontId="0" fillId="14" borderId="1" xfId="0" applyFill="1" applyBorder="1"/>
    <xf numFmtId="0" fontId="1" fillId="12" borderId="1" xfId="0" applyFont="1" applyFill="1" applyBorder="1" applyAlignment="1">
      <alignment horizontal="right"/>
    </xf>
    <xf numFmtId="0" fontId="11" fillId="0" borderId="0" xfId="0" applyFont="1" applyAlignment="1">
      <alignment vertical="center"/>
    </xf>
    <xf numFmtId="0" fontId="3" fillId="0" borderId="0" xfId="0" applyFont="1" applyAlignment="1">
      <alignment horizontal="center" wrapText="1"/>
    </xf>
    <xf numFmtId="0" fontId="4" fillId="0" borderId="0" xfId="0" applyFont="1"/>
    <xf numFmtId="1" fontId="0" fillId="0" borderId="0" xfId="0" applyNumberFormat="1"/>
    <xf numFmtId="0" fontId="0" fillId="0" borderId="0" xfId="0" applyAlignment="1">
      <alignment horizontal="center"/>
    </xf>
    <xf numFmtId="0" fontId="11" fillId="0" borderId="0" xfId="0" applyFont="1" applyAlignment="1">
      <alignment horizontal="center" vertical="center"/>
    </xf>
    <xf numFmtId="0" fontId="0" fillId="7" borderId="1" xfId="0" applyFill="1" applyBorder="1" applyAlignment="1">
      <alignment horizontal="center"/>
    </xf>
    <xf numFmtId="0" fontId="1" fillId="11" borderId="1" xfId="0" applyFont="1" applyFill="1" applyBorder="1" applyAlignment="1">
      <alignment horizontal="center"/>
    </xf>
    <xf numFmtId="0" fontId="1" fillId="7" borderId="1" xfId="0" applyFont="1" applyFill="1" applyBorder="1" applyAlignment="1">
      <alignment horizontal="center"/>
    </xf>
    <xf numFmtId="1" fontId="0" fillId="4" borderId="1" xfId="0" applyNumberFormat="1" applyFill="1" applyBorder="1" applyAlignment="1">
      <alignment horizontal="center"/>
    </xf>
    <xf numFmtId="0" fontId="0" fillId="7" borderId="41" xfId="0" applyFill="1" applyBorder="1" applyAlignment="1">
      <alignment horizontal="center"/>
    </xf>
    <xf numFmtId="0" fontId="0" fillId="0" borderId="10" xfId="0" applyBorder="1" applyAlignment="1">
      <alignment horizontal="center"/>
    </xf>
    <xf numFmtId="0" fontId="0" fillId="0" borderId="37" xfId="0" applyBorder="1" applyAlignment="1">
      <alignment horizontal="center"/>
    </xf>
    <xf numFmtId="0" fontId="0" fillId="0" borderId="8" xfId="0" applyBorder="1" applyAlignment="1">
      <alignment horizontal="center"/>
    </xf>
    <xf numFmtId="0" fontId="0" fillId="7" borderId="8" xfId="0" applyFill="1" applyBorder="1" applyAlignment="1">
      <alignment horizontal="center"/>
    </xf>
    <xf numFmtId="0" fontId="0" fillId="7" borderId="0" xfId="0" applyFill="1" applyAlignment="1">
      <alignment horizontal="center"/>
    </xf>
    <xf numFmtId="0" fontId="1" fillId="15" borderId="1" xfId="0" applyFont="1" applyFill="1" applyBorder="1" applyAlignment="1">
      <alignment horizontal="center"/>
    </xf>
    <xf numFmtId="0" fontId="1" fillId="12" borderId="1" xfId="0" applyFont="1" applyFill="1" applyBorder="1" applyAlignment="1">
      <alignment horizontal="center"/>
    </xf>
    <xf numFmtId="1" fontId="1" fillId="0" borderId="21" xfId="0" applyNumberFormat="1" applyFont="1" applyBorder="1" applyAlignment="1">
      <alignment horizontal="left"/>
    </xf>
    <xf numFmtId="0" fontId="9" fillId="12" borderId="1" xfId="0" applyFont="1" applyFill="1" applyBorder="1" applyAlignment="1">
      <alignment horizontal="center"/>
    </xf>
    <xf numFmtId="1" fontId="0" fillId="4" borderId="9" xfId="0" applyNumberFormat="1" applyFill="1" applyBorder="1" applyAlignment="1">
      <alignment horizontal="right"/>
    </xf>
    <xf numFmtId="165" fontId="0" fillId="0" borderId="9" xfId="0" applyNumberFormat="1" applyBorder="1" applyAlignment="1">
      <alignment horizontal="right"/>
    </xf>
    <xf numFmtId="0" fontId="12" fillId="0" borderId="1" xfId="0" applyFont="1" applyBorder="1"/>
    <xf numFmtId="0" fontId="0" fillId="11" borderId="46" xfId="0" applyFill="1" applyBorder="1"/>
    <xf numFmtId="1" fontId="0" fillId="4" borderId="46" xfId="0" applyNumberFormat="1" applyFill="1" applyBorder="1"/>
    <xf numFmtId="0" fontId="0" fillId="7" borderId="47" xfId="0" applyFill="1" applyBorder="1"/>
    <xf numFmtId="1" fontId="1" fillId="11" borderId="1" xfId="2" applyNumberFormat="1" applyFont="1" applyFill="1" applyBorder="1" applyAlignment="1">
      <alignment horizontal="center"/>
    </xf>
    <xf numFmtId="0" fontId="1" fillId="4" borderId="1" xfId="0" applyFont="1" applyFill="1" applyBorder="1"/>
    <xf numFmtId="1" fontId="0" fillId="4" borderId="1" xfId="0" applyNumberFormat="1" applyFill="1" applyBorder="1" applyAlignment="1">
      <alignment horizontal="right"/>
    </xf>
    <xf numFmtId="0" fontId="0" fillId="4" borderId="9" xfId="0" applyFill="1" applyBorder="1"/>
    <xf numFmtId="0" fontId="0" fillId="0" borderId="9" xfId="0" applyBorder="1" applyAlignment="1">
      <alignment horizontal="center"/>
    </xf>
    <xf numFmtId="0" fontId="1" fillId="15" borderId="9" xfId="0" applyFont="1" applyFill="1" applyBorder="1" applyAlignment="1">
      <alignment horizontal="center"/>
    </xf>
    <xf numFmtId="0" fontId="0" fillId="11" borderId="1" xfId="0" applyFill="1" applyBorder="1"/>
    <xf numFmtId="0" fontId="0" fillId="16" borderId="1" xfId="0" applyFill="1" applyBorder="1"/>
    <xf numFmtId="0" fontId="0" fillId="15" borderId="1" xfId="0" applyFill="1" applyBorder="1"/>
    <xf numFmtId="0" fontId="1" fillId="3" borderId="1" xfId="0" applyFont="1" applyFill="1" applyBorder="1"/>
    <xf numFmtId="0" fontId="1" fillId="5" borderId="9" xfId="0" applyFont="1" applyFill="1" applyBorder="1"/>
    <xf numFmtId="165" fontId="1" fillId="0" borderId="11" xfId="0" applyNumberFormat="1" applyFont="1" applyBorder="1"/>
    <xf numFmtId="0" fontId="1" fillId="3" borderId="9" xfId="0" applyFont="1" applyFill="1" applyBorder="1"/>
    <xf numFmtId="0" fontId="1" fillId="0" borderId="9" xfId="0" applyFont="1" applyBorder="1"/>
    <xf numFmtId="0" fontId="1" fillId="8" borderId="9" xfId="0" applyFont="1" applyFill="1" applyBorder="1"/>
    <xf numFmtId="0" fontId="1" fillId="6" borderId="9" xfId="0" applyFont="1" applyFill="1" applyBorder="1" applyAlignment="1">
      <alignment horizontal="right"/>
    </xf>
    <xf numFmtId="0" fontId="1" fillId="3" borderId="9" xfId="0" applyFont="1" applyFill="1" applyBorder="1" applyAlignment="1">
      <alignment horizontal="right"/>
    </xf>
    <xf numFmtId="0" fontId="1" fillId="0" borderId="9" xfId="0" applyFont="1" applyBorder="1" applyAlignment="1">
      <alignment horizontal="right"/>
    </xf>
    <xf numFmtId="1" fontId="1" fillId="9" borderId="9" xfId="0" applyNumberFormat="1" applyFont="1" applyFill="1" applyBorder="1"/>
    <xf numFmtId="165" fontId="1" fillId="7" borderId="11" xfId="0" applyNumberFormat="1" applyFont="1" applyFill="1" applyBorder="1"/>
    <xf numFmtId="0" fontId="1" fillId="0" borderId="7" xfId="0" applyFont="1" applyBorder="1" applyAlignment="1">
      <alignment horizontal="center"/>
    </xf>
    <xf numFmtId="0" fontId="0" fillId="14" borderId="1" xfId="0" applyFill="1" applyBorder="1" applyAlignment="1">
      <alignment horizontal="center"/>
    </xf>
    <xf numFmtId="0" fontId="0" fillId="15" borderId="1" xfId="0" applyFill="1" applyBorder="1" applyAlignment="1">
      <alignment horizontal="center"/>
    </xf>
    <xf numFmtId="0" fontId="0" fillId="11" borderId="1" xfId="0" applyFill="1" applyBorder="1" applyAlignment="1">
      <alignment horizontal="center"/>
    </xf>
    <xf numFmtId="0" fontId="14" fillId="11" borderId="1" xfId="0" applyFont="1" applyFill="1" applyBorder="1" applyAlignment="1">
      <alignment horizontal="center"/>
    </xf>
    <xf numFmtId="0" fontId="1" fillId="0" borderId="0" xfId="0" applyFont="1" applyAlignment="1">
      <alignment horizontal="center"/>
    </xf>
    <xf numFmtId="2" fontId="0" fillId="0" borderId="0" xfId="0" applyNumberFormat="1" applyAlignment="1">
      <alignment horizontal="center"/>
    </xf>
    <xf numFmtId="0" fontId="4" fillId="0" borderId="0" xfId="0" applyFont="1" applyAlignment="1">
      <alignment horizontal="center"/>
    </xf>
    <xf numFmtId="2" fontId="4" fillId="0" borderId="0" xfId="0" applyNumberFormat="1" applyFont="1" applyAlignment="1">
      <alignment horizontal="center"/>
    </xf>
    <xf numFmtId="0" fontId="3" fillId="11" borderId="33" xfId="0" applyFont="1" applyFill="1" applyBorder="1" applyAlignment="1">
      <alignment horizontal="center"/>
    </xf>
    <xf numFmtId="0" fontId="15" fillId="0" borderId="0" xfId="0" applyFont="1"/>
    <xf numFmtId="0" fontId="15" fillId="0" borderId="0" xfId="0" applyFont="1" applyAlignment="1">
      <alignment horizontal="center"/>
    </xf>
    <xf numFmtId="0" fontId="15" fillId="13" borderId="0" xfId="0" applyFont="1" applyFill="1"/>
    <xf numFmtId="164" fontId="3" fillId="10" borderId="29" xfId="0" applyNumberFormat="1" applyFont="1" applyFill="1" applyBorder="1"/>
    <xf numFmtId="164" fontId="3" fillId="10" borderId="30" xfId="0" applyNumberFormat="1" applyFont="1" applyFill="1" applyBorder="1"/>
    <xf numFmtId="164" fontId="3" fillId="10" borderId="31" xfId="0" applyNumberFormat="1" applyFont="1" applyFill="1" applyBorder="1"/>
    <xf numFmtId="0" fontId="15" fillId="14" borderId="1" xfId="0" applyFont="1" applyFill="1" applyBorder="1"/>
    <xf numFmtId="0" fontId="15" fillId="7" borderId="39" xfId="0" applyFont="1" applyFill="1" applyBorder="1"/>
    <xf numFmtId="0" fontId="15" fillId="7" borderId="1" xfId="0" applyFont="1" applyFill="1" applyBorder="1"/>
    <xf numFmtId="0" fontId="15" fillId="7" borderId="1" xfId="0" applyFont="1" applyFill="1" applyBorder="1" applyAlignment="1">
      <alignment horizontal="center"/>
    </xf>
    <xf numFmtId="1" fontId="15" fillId="7" borderId="1" xfId="0" applyNumberFormat="1" applyFont="1" applyFill="1" applyBorder="1"/>
    <xf numFmtId="165" fontId="15" fillId="7" borderId="1" xfId="0" applyNumberFormat="1" applyFont="1" applyFill="1" applyBorder="1"/>
    <xf numFmtId="1" fontId="15" fillId="7" borderId="21" xfId="0" applyNumberFormat="1" applyFont="1" applyFill="1" applyBorder="1" applyAlignment="1">
      <alignment horizontal="left"/>
    </xf>
    <xf numFmtId="0" fontId="15" fillId="0" borderId="39" xfId="0" applyFont="1" applyBorder="1"/>
    <xf numFmtId="0" fontId="15" fillId="0" borderId="1" xfId="0" applyFont="1" applyBorder="1"/>
    <xf numFmtId="0" fontId="15" fillId="4" borderId="1" xfId="0" applyFont="1" applyFill="1" applyBorder="1"/>
    <xf numFmtId="0" fontId="15" fillId="0" borderId="1" xfId="0" applyFont="1" applyBorder="1" applyAlignment="1">
      <alignment horizontal="center"/>
    </xf>
    <xf numFmtId="0" fontId="15" fillId="11" borderId="1" xfId="0" applyFont="1" applyFill="1" applyBorder="1" applyAlignment="1">
      <alignment horizontal="center"/>
    </xf>
    <xf numFmtId="0" fontId="15" fillId="2" borderId="1" xfId="0" applyFont="1" applyFill="1" applyBorder="1"/>
    <xf numFmtId="1" fontId="15" fillId="4" borderId="9" xfId="0" applyNumberFormat="1" applyFont="1" applyFill="1" applyBorder="1"/>
    <xf numFmtId="165" fontId="15" fillId="0" borderId="9" xfId="0" applyNumberFormat="1" applyFont="1" applyBorder="1"/>
    <xf numFmtId="1" fontId="15" fillId="0" borderId="21" xfId="0" applyNumberFormat="1" applyFont="1" applyBorder="1" applyAlignment="1">
      <alignment horizontal="left"/>
    </xf>
    <xf numFmtId="0" fontId="15" fillId="12" borderId="1" xfId="0" applyFont="1" applyFill="1" applyBorder="1" applyAlignment="1">
      <alignment horizontal="center"/>
    </xf>
    <xf numFmtId="0" fontId="15" fillId="14" borderId="1" xfId="0" applyFont="1" applyFill="1" applyBorder="1" applyAlignment="1">
      <alignment horizontal="center"/>
    </xf>
    <xf numFmtId="0" fontId="15" fillId="16" borderId="1" xfId="0" applyFont="1" applyFill="1" applyBorder="1" applyAlignment="1">
      <alignment horizontal="center"/>
    </xf>
    <xf numFmtId="0" fontId="16" fillId="12" borderId="1" xfId="0" applyFont="1" applyFill="1" applyBorder="1" applyAlignment="1">
      <alignment horizontal="center"/>
    </xf>
    <xf numFmtId="0" fontId="15" fillId="15" borderId="1" xfId="0" applyFont="1" applyFill="1" applyBorder="1" applyAlignment="1">
      <alignment horizontal="center"/>
    </xf>
    <xf numFmtId="0" fontId="15" fillId="7" borderId="21" xfId="0" applyFont="1" applyFill="1" applyBorder="1" applyAlignment="1">
      <alignment horizontal="left"/>
    </xf>
    <xf numFmtId="0" fontId="15" fillId="11" borderId="46" xfId="0" applyFont="1" applyFill="1" applyBorder="1"/>
    <xf numFmtId="0" fontId="15" fillId="12" borderId="7" xfId="0" applyFont="1" applyFill="1" applyBorder="1" applyAlignment="1">
      <alignment horizontal="center"/>
    </xf>
    <xf numFmtId="0" fontId="15" fillId="0" borderId="9" xfId="0" applyFont="1" applyBorder="1"/>
    <xf numFmtId="0" fontId="15" fillId="4" borderId="9" xfId="0" applyFont="1" applyFill="1" applyBorder="1"/>
    <xf numFmtId="0" fontId="15" fillId="0" borderId="9" xfId="0" applyFont="1" applyBorder="1" applyAlignment="1">
      <alignment horizontal="center"/>
    </xf>
    <xf numFmtId="0" fontId="15" fillId="15" borderId="9" xfId="0" applyFont="1" applyFill="1" applyBorder="1" applyAlignment="1">
      <alignment horizontal="center"/>
    </xf>
    <xf numFmtId="1" fontId="15" fillId="0" borderId="26" xfId="0" applyNumberFormat="1" applyFont="1" applyBorder="1" applyAlignment="1">
      <alignment horizontal="left"/>
    </xf>
    <xf numFmtId="0" fontId="15" fillId="11" borderId="1" xfId="0" applyFont="1" applyFill="1" applyBorder="1"/>
    <xf numFmtId="0" fontId="15" fillId="16" borderId="1" xfId="0" applyFont="1" applyFill="1" applyBorder="1"/>
    <xf numFmtId="0" fontId="15" fillId="14" borderId="9" xfId="0" applyFont="1" applyFill="1" applyBorder="1"/>
    <xf numFmtId="1" fontId="15" fillId="14" borderId="9" xfId="0" applyNumberFormat="1" applyFont="1" applyFill="1" applyBorder="1"/>
    <xf numFmtId="165" fontId="15" fillId="14" borderId="9" xfId="0" applyNumberFormat="1" applyFont="1" applyFill="1" applyBorder="1"/>
    <xf numFmtId="1" fontId="15" fillId="14" borderId="26" xfId="0" applyNumberFormat="1" applyFont="1" applyFill="1" applyBorder="1" applyAlignment="1">
      <alignment horizontal="left"/>
    </xf>
    <xf numFmtId="1" fontId="15" fillId="0" borderId="26" xfId="0" applyNumberFormat="1" applyFont="1" applyBorder="1" applyAlignment="1">
      <alignment horizontal="right"/>
    </xf>
    <xf numFmtId="1" fontId="15" fillId="0" borderId="1" xfId="0" applyNumberFormat="1" applyFont="1" applyBorder="1"/>
    <xf numFmtId="1" fontId="15" fillId="4" borderId="9" xfId="0" applyNumberFormat="1" applyFont="1" applyFill="1" applyBorder="1" applyAlignment="1">
      <alignment horizontal="center"/>
    </xf>
    <xf numFmtId="1" fontId="15" fillId="4" borderId="9" xfId="0" applyNumberFormat="1" applyFont="1" applyFill="1" applyBorder="1" applyAlignment="1">
      <alignment horizontal="right"/>
    </xf>
    <xf numFmtId="165" fontId="15" fillId="0" borderId="9" xfId="0" applyNumberFormat="1" applyFont="1" applyBorder="1" applyAlignment="1">
      <alignment horizontal="right"/>
    </xf>
    <xf numFmtId="0" fontId="15" fillId="0" borderId="39" xfId="0" applyFont="1" applyBorder="1" applyAlignment="1">
      <alignment horizontal="center"/>
    </xf>
    <xf numFmtId="1" fontId="15" fillId="4" borderId="1" xfId="0" applyNumberFormat="1" applyFont="1" applyFill="1" applyBorder="1" applyAlignment="1">
      <alignment horizontal="center"/>
    </xf>
    <xf numFmtId="1" fontId="15" fillId="4" borderId="1" xfId="0" applyNumberFormat="1" applyFont="1" applyFill="1" applyBorder="1"/>
    <xf numFmtId="0" fontId="15" fillId="7" borderId="41" xfId="0" applyFont="1" applyFill="1" applyBorder="1"/>
    <xf numFmtId="1" fontId="15" fillId="7" borderId="41" xfId="0" applyNumberFormat="1" applyFont="1" applyFill="1" applyBorder="1"/>
    <xf numFmtId="0" fontId="15" fillId="7" borderId="0" xfId="0" applyFont="1" applyFill="1" applyAlignment="1">
      <alignment horizontal="center"/>
    </xf>
    <xf numFmtId="0" fontId="15" fillId="7" borderId="41" xfId="0" applyFont="1" applyFill="1" applyBorder="1" applyAlignment="1">
      <alignment horizontal="center"/>
    </xf>
    <xf numFmtId="165" fontId="15" fillId="7" borderId="41" xfId="0" applyNumberFormat="1" applyFont="1" applyFill="1" applyBorder="1"/>
    <xf numFmtId="0" fontId="15" fillId="7" borderId="47" xfId="0" applyFont="1" applyFill="1" applyBorder="1"/>
    <xf numFmtId="1" fontId="15" fillId="0" borderId="0" xfId="0" applyNumberFormat="1" applyFont="1"/>
    <xf numFmtId="1" fontId="15" fillId="0" borderId="0" xfId="0" applyNumberFormat="1" applyFont="1" applyAlignment="1">
      <alignment horizontal="center"/>
    </xf>
    <xf numFmtId="165" fontId="15" fillId="0" borderId="0" xfId="0" applyNumberFormat="1" applyFont="1"/>
    <xf numFmtId="0" fontId="3" fillId="0" borderId="0" xfId="0" applyFont="1"/>
    <xf numFmtId="1" fontId="15" fillId="0" borderId="1" xfId="0" applyNumberFormat="1" applyFont="1" applyBorder="1" applyAlignment="1">
      <alignment horizontal="center"/>
    </xf>
    <xf numFmtId="1" fontId="15" fillId="0" borderId="1" xfId="0" applyNumberFormat="1" applyFont="1" applyBorder="1" applyAlignment="1">
      <alignment horizontal="right"/>
    </xf>
    <xf numFmtId="0" fontId="15" fillId="14" borderId="0" xfId="0" applyFont="1" applyFill="1"/>
    <xf numFmtId="0" fontId="15" fillId="7" borderId="0" xfId="0" applyFont="1" applyFill="1"/>
    <xf numFmtId="1" fontId="15" fillId="7" borderId="0" xfId="0" applyNumberFormat="1" applyFont="1" applyFill="1"/>
    <xf numFmtId="165" fontId="15" fillId="7" borderId="0" xfId="0" applyNumberFormat="1" applyFont="1" applyFill="1"/>
    <xf numFmtId="1" fontId="15" fillId="0" borderId="0" xfId="0" applyNumberFormat="1" applyFont="1" applyAlignment="1">
      <alignment horizontal="left"/>
    </xf>
    <xf numFmtId="164" fontId="3" fillId="10" borderId="29" xfId="0" applyNumberFormat="1" applyFont="1" applyFill="1" applyBorder="1" applyAlignment="1">
      <alignment horizontal="left"/>
    </xf>
    <xf numFmtId="164" fontId="3" fillId="10" borderId="30" xfId="0" applyNumberFormat="1" applyFont="1" applyFill="1" applyBorder="1" applyAlignment="1">
      <alignment horizontal="left"/>
    </xf>
    <xf numFmtId="164" fontId="3" fillId="0" borderId="0" xfId="0" applyNumberFormat="1" applyFont="1" applyAlignment="1">
      <alignment horizontal="left"/>
    </xf>
    <xf numFmtId="0" fontId="15" fillId="0" borderId="10" xfId="0" applyFont="1" applyBorder="1"/>
    <xf numFmtId="0" fontId="15" fillId="0" borderId="10" xfId="0" applyFont="1" applyBorder="1" applyAlignment="1">
      <alignment horizontal="center" wrapText="1"/>
    </xf>
    <xf numFmtId="0" fontId="15" fillId="0" borderId="10" xfId="0" applyFont="1" applyBorder="1" applyAlignment="1">
      <alignment horizontal="center"/>
    </xf>
    <xf numFmtId="0" fontId="15" fillId="0" borderId="37" xfId="0" applyFont="1" applyBorder="1" applyAlignment="1">
      <alignment horizontal="center"/>
    </xf>
    <xf numFmtId="0" fontId="15" fillId="0" borderId="8" xfId="0" applyFont="1" applyBorder="1" applyAlignment="1">
      <alignment horizontal="center"/>
    </xf>
    <xf numFmtId="0" fontId="15" fillId="7" borderId="8" xfId="0" applyFont="1" applyFill="1" applyBorder="1" applyAlignment="1">
      <alignment horizontal="center"/>
    </xf>
    <xf numFmtId="0" fontId="15" fillId="11" borderId="46" xfId="0" applyFont="1" applyFill="1" applyBorder="1" applyAlignment="1">
      <alignment horizontal="center"/>
    </xf>
    <xf numFmtId="0" fontId="15" fillId="12" borderId="0" xfId="0" applyFont="1" applyFill="1" applyAlignment="1">
      <alignment horizontal="center"/>
    </xf>
    <xf numFmtId="0" fontId="17" fillId="0" borderId="0" xfId="0" applyFont="1"/>
    <xf numFmtId="0" fontId="17" fillId="0" borderId="0" xfId="0" applyFont="1" applyAlignment="1">
      <alignment horizontal="center"/>
    </xf>
    <xf numFmtId="0" fontId="2" fillId="0" borderId="0" xfId="0" applyFont="1"/>
    <xf numFmtId="164" fontId="3" fillId="10" borderId="31" xfId="0" applyNumberFormat="1" applyFont="1" applyFill="1" applyBorder="1" applyAlignment="1">
      <alignment horizontal="center"/>
    </xf>
    <xf numFmtId="0" fontId="3" fillId="17" borderId="0" xfId="0" applyFont="1" applyFill="1" applyAlignment="1">
      <alignment horizontal="center"/>
    </xf>
    <xf numFmtId="1" fontId="15" fillId="7" borderId="21" xfId="0" applyNumberFormat="1" applyFont="1" applyFill="1" applyBorder="1" applyAlignment="1">
      <alignment horizontal="center"/>
    </xf>
    <xf numFmtId="14" fontId="15" fillId="17" borderId="0" xfId="0" applyNumberFormat="1" applyFont="1" applyFill="1" applyAlignment="1">
      <alignment horizontal="center"/>
    </xf>
    <xf numFmtId="0" fontId="15" fillId="17" borderId="0" xfId="0" applyFont="1" applyFill="1" applyAlignment="1">
      <alignment horizontal="center"/>
    </xf>
    <xf numFmtId="0" fontId="15" fillId="7" borderId="47" xfId="0" applyFont="1" applyFill="1" applyBorder="1" applyAlignment="1">
      <alignment horizontal="center"/>
    </xf>
    <xf numFmtId="1" fontId="15" fillId="0" borderId="26" xfId="0" applyNumberFormat="1" applyFont="1" applyBorder="1" applyAlignment="1">
      <alignment horizontal="center"/>
    </xf>
    <xf numFmtId="16" fontId="15" fillId="17" borderId="0" xfId="0" applyNumberFormat="1" applyFont="1" applyFill="1" applyAlignment="1">
      <alignment horizontal="center"/>
    </xf>
    <xf numFmtId="0" fontId="15" fillId="0" borderId="41" xfId="0" applyFont="1" applyBorder="1"/>
    <xf numFmtId="0" fontId="15" fillId="0" borderId="41" xfId="0" applyFont="1" applyBorder="1" applyAlignment="1">
      <alignment horizontal="center"/>
    </xf>
    <xf numFmtId="0" fontId="15" fillId="18" borderId="0" xfId="0" applyFont="1" applyFill="1"/>
    <xf numFmtId="0" fontId="3" fillId="18" borderId="0" xfId="0" applyFont="1" applyFill="1"/>
    <xf numFmtId="164" fontId="3" fillId="0" borderId="0" xfId="0" applyNumberFormat="1" applyFont="1" applyAlignment="1">
      <alignment horizontal="center"/>
    </xf>
    <xf numFmtId="16" fontId="15" fillId="18" borderId="0" xfId="0" applyNumberFormat="1" applyFont="1" applyFill="1"/>
    <xf numFmtId="14" fontId="15" fillId="18" borderId="0" xfId="0" applyNumberFormat="1" applyFont="1" applyFill="1"/>
    <xf numFmtId="14" fontId="15" fillId="0" borderId="0" xfId="0" applyNumberFormat="1" applyFont="1"/>
    <xf numFmtId="1" fontId="15" fillId="0" borderId="48" xfId="0" applyNumberFormat="1" applyFont="1" applyBorder="1" applyAlignment="1">
      <alignment horizontal="center"/>
    </xf>
    <xf numFmtId="0" fontId="15" fillId="15" borderId="0" xfId="0" applyFont="1" applyFill="1" applyAlignment="1">
      <alignment horizontal="center"/>
    </xf>
    <xf numFmtId="0" fontId="15" fillId="2" borderId="0" xfId="0" applyFont="1" applyFill="1"/>
    <xf numFmtId="1" fontId="15" fillId="4" borderId="0" xfId="0" applyNumberFormat="1" applyFont="1" applyFill="1"/>
    <xf numFmtId="164" fontId="3" fillId="10" borderId="29" xfId="0" applyNumberFormat="1" applyFont="1" applyFill="1" applyBorder="1" applyAlignment="1">
      <alignment horizontal="center"/>
    </xf>
    <xf numFmtId="0" fontId="15" fillId="7" borderId="39" xfId="0" applyFont="1" applyFill="1" applyBorder="1" applyAlignment="1">
      <alignment horizontal="center"/>
    </xf>
    <xf numFmtId="0" fontId="20" fillId="0" borderId="0" xfId="0" applyFont="1"/>
    <xf numFmtId="0" fontId="20" fillId="12" borderId="1" xfId="0" applyFont="1" applyFill="1" applyBorder="1" applyAlignment="1">
      <alignment horizontal="center"/>
    </xf>
    <xf numFmtId="0" fontId="20" fillId="0" borderId="1" xfId="0" applyFont="1" applyBorder="1"/>
    <xf numFmtId="0" fontId="3" fillId="0" borderId="1" xfId="0" applyFont="1" applyBorder="1" applyAlignment="1">
      <alignment horizontal="center"/>
    </xf>
    <xf numFmtId="164" fontId="2" fillId="10" borderId="30" xfId="0" applyNumberFormat="1" applyFont="1" applyFill="1" applyBorder="1" applyAlignment="1">
      <alignment horizontal="center"/>
    </xf>
    <xf numFmtId="164" fontId="3" fillId="10" borderId="30" xfId="0" applyNumberFormat="1" applyFont="1" applyFill="1" applyBorder="1" applyAlignment="1">
      <alignment horizontal="center"/>
    </xf>
    <xf numFmtId="0" fontId="21" fillId="0" borderId="0" xfId="0" applyFont="1" applyAlignment="1">
      <alignment vertical="center"/>
    </xf>
    <xf numFmtId="14" fontId="15" fillId="0" borderId="0" xfId="0" applyNumberFormat="1" applyFont="1" applyAlignment="1">
      <alignment horizontal="center"/>
    </xf>
    <xf numFmtId="0" fontId="15" fillId="0" borderId="0" xfId="0" applyFont="1" applyFill="1"/>
    <xf numFmtId="14" fontId="15" fillId="19" borderId="0" xfId="0" applyNumberFormat="1" applyFont="1" applyFill="1" applyAlignment="1">
      <alignment horizontal="right"/>
    </xf>
    <xf numFmtId="1" fontId="15" fillId="19" borderId="0" xfId="0" applyNumberFormat="1" applyFont="1" applyFill="1" applyAlignment="1">
      <alignment horizontal="center"/>
    </xf>
    <xf numFmtId="0" fontId="15" fillId="19" borderId="0" xfId="0" applyFont="1" applyFill="1" applyAlignment="1">
      <alignment horizontal="center"/>
    </xf>
    <xf numFmtId="0" fontId="15" fillId="19" borderId="0" xfId="0" applyFont="1" applyFill="1" applyAlignment="1">
      <alignment horizontal="right"/>
    </xf>
    <xf numFmtId="164" fontId="3" fillId="10" borderId="30" xfId="0" applyNumberFormat="1" applyFont="1" applyFill="1" applyBorder="1" applyAlignment="1">
      <alignment horizontal="center"/>
    </xf>
    <xf numFmtId="165" fontId="15" fillId="0" borderId="9" xfId="0" applyNumberFormat="1" applyFont="1" applyBorder="1" applyAlignment="1">
      <alignment horizontal="center"/>
    </xf>
    <xf numFmtId="0" fontId="15" fillId="0" borderId="1" xfId="0" applyFont="1" applyFill="1" applyBorder="1" applyAlignment="1">
      <alignment horizontal="center"/>
    </xf>
    <xf numFmtId="0" fontId="15" fillId="12" borderId="9" xfId="0" applyFont="1" applyFill="1" applyBorder="1" applyAlignment="1">
      <alignment horizontal="center"/>
    </xf>
    <xf numFmtId="0" fontId="15" fillId="11" borderId="0" xfId="0" applyFont="1" applyFill="1" applyAlignment="1">
      <alignment horizontal="center"/>
    </xf>
    <xf numFmtId="1" fontId="15" fillId="7" borderId="41" xfId="0" applyNumberFormat="1" applyFont="1" applyFill="1" applyBorder="1" applyAlignment="1">
      <alignment horizontal="center"/>
    </xf>
    <xf numFmtId="165" fontId="15" fillId="7" borderId="41" xfId="0" applyNumberFormat="1" applyFont="1" applyFill="1" applyBorder="1" applyAlignment="1">
      <alignment horizontal="center"/>
    </xf>
    <xf numFmtId="0" fontId="15" fillId="0" borderId="9" xfId="0" applyFont="1" applyFill="1" applyBorder="1" applyAlignment="1">
      <alignment horizontal="center"/>
    </xf>
    <xf numFmtId="1" fontId="15" fillId="0" borderId="9" xfId="0" applyNumberFormat="1" applyFont="1" applyBorder="1" applyAlignment="1">
      <alignment horizontal="center"/>
    </xf>
    <xf numFmtId="165" fontId="15" fillId="0" borderId="1" xfId="0" applyNumberFormat="1" applyFont="1" applyBorder="1" applyAlignment="1">
      <alignment horizontal="center"/>
    </xf>
    <xf numFmtId="1" fontId="15" fillId="16" borderId="1" xfId="0" applyNumberFormat="1" applyFont="1" applyFill="1" applyBorder="1" applyAlignment="1">
      <alignment horizontal="center"/>
    </xf>
    <xf numFmtId="0" fontId="15" fillId="17" borderId="0" xfId="0" applyFont="1" applyFill="1"/>
    <xf numFmtId="0" fontId="15" fillId="19" borderId="0" xfId="0" applyFont="1" applyFill="1"/>
    <xf numFmtId="0" fontId="3" fillId="0" borderId="1" xfId="0" applyFont="1" applyFill="1" applyBorder="1" applyAlignment="1">
      <alignment horizontal="center"/>
    </xf>
    <xf numFmtId="165" fontId="15" fillId="0" borderId="1" xfId="0" applyNumberFormat="1" applyFont="1" applyBorder="1"/>
    <xf numFmtId="14" fontId="15" fillId="19" borderId="0" xfId="0" applyNumberFormat="1" applyFont="1" applyFill="1" applyAlignment="1">
      <alignment horizontal="center"/>
    </xf>
    <xf numFmtId="0" fontId="15" fillId="0" borderId="47" xfId="0" applyFont="1" applyBorder="1" applyAlignment="1">
      <alignment horizontal="center"/>
    </xf>
    <xf numFmtId="1" fontId="15" fillId="0" borderId="10" xfId="0" applyNumberFormat="1" applyFont="1" applyBorder="1" applyAlignment="1">
      <alignment horizontal="center"/>
    </xf>
    <xf numFmtId="0" fontId="15" fillId="11" borderId="0" xfId="0" applyFont="1" applyFill="1"/>
    <xf numFmtId="0" fontId="3" fillId="11" borderId="0" xfId="0" applyFont="1" applyFill="1" applyAlignment="1">
      <alignment horizontal="center"/>
    </xf>
    <xf numFmtId="0" fontId="15" fillId="20" borderId="0" xfId="0" applyFont="1" applyFill="1"/>
    <xf numFmtId="0" fontId="15" fillId="20" borderId="0" xfId="0" applyFont="1" applyFill="1" applyAlignment="1">
      <alignment horizontal="center"/>
    </xf>
    <xf numFmtId="14" fontId="15" fillId="20" borderId="0" xfId="0" applyNumberFormat="1" applyFont="1" applyFill="1" applyAlignment="1">
      <alignment horizontal="center"/>
    </xf>
    <xf numFmtId="0" fontId="3" fillId="0" borderId="0" xfId="0" applyFont="1" applyFill="1" applyAlignment="1">
      <alignment horizontal="center"/>
    </xf>
    <xf numFmtId="0" fontId="15" fillId="0" borderId="0" xfId="0" applyFont="1" applyFill="1" applyAlignment="1">
      <alignment horizontal="center"/>
    </xf>
    <xf numFmtId="16" fontId="15" fillId="0" borderId="0" xfId="0" applyNumberFormat="1" applyFont="1" applyFill="1"/>
    <xf numFmtId="14" fontId="15" fillId="0" borderId="0" xfId="0" applyNumberFormat="1" applyFont="1" applyFill="1"/>
    <xf numFmtId="0" fontId="3" fillId="11" borderId="7" xfId="0" applyFont="1" applyFill="1" applyBorder="1" applyAlignment="1">
      <alignment horizontal="center"/>
    </xf>
    <xf numFmtId="0" fontId="3" fillId="0" borderId="7" xfId="0" applyFont="1" applyBorder="1" applyAlignment="1">
      <alignment horizontal="center"/>
    </xf>
    <xf numFmtId="0" fontId="3" fillId="11" borderId="1" xfId="0" applyFont="1" applyFill="1" applyBorder="1" applyAlignment="1">
      <alignment horizontal="center"/>
    </xf>
    <xf numFmtId="0" fontId="15" fillId="21" borderId="1" xfId="0" applyFont="1" applyFill="1" applyBorder="1"/>
    <xf numFmtId="0" fontId="15" fillId="21" borderId="1" xfId="0" applyFont="1" applyFill="1" applyBorder="1" applyAlignment="1">
      <alignment horizontal="center"/>
    </xf>
    <xf numFmtId="0" fontId="15" fillId="0" borderId="1" xfId="0" applyFont="1" applyBorder="1" applyAlignment="1">
      <alignment horizontal="left"/>
    </xf>
    <xf numFmtId="0" fontId="15" fillId="0" borderId="0" xfId="0" applyFont="1" applyBorder="1"/>
    <xf numFmtId="0" fontId="15" fillId="0" borderId="47" xfId="0" applyFont="1" applyBorder="1"/>
    <xf numFmtId="1" fontId="15" fillId="0" borderId="10" xfId="0" applyNumberFormat="1" applyFont="1" applyFill="1" applyBorder="1" applyAlignment="1">
      <alignment horizontal="center"/>
    </xf>
    <xf numFmtId="1" fontId="15" fillId="0" borderId="10" xfId="0" applyNumberFormat="1" applyFont="1" applyBorder="1" applyAlignment="1">
      <alignment horizontal="right"/>
    </xf>
    <xf numFmtId="0" fontId="15" fillId="22" borderId="1" xfId="0" applyFont="1" applyFill="1" applyBorder="1" applyAlignment="1">
      <alignment horizontal="center"/>
    </xf>
    <xf numFmtId="1" fontId="15" fillId="22" borderId="1" xfId="0" applyNumberFormat="1" applyFont="1" applyFill="1" applyBorder="1" applyAlignment="1">
      <alignment horizontal="center"/>
    </xf>
    <xf numFmtId="0" fontId="15" fillId="22" borderId="9" xfId="0" applyFont="1" applyFill="1" applyBorder="1" applyAlignment="1">
      <alignment horizontal="center"/>
    </xf>
    <xf numFmtId="0" fontId="15" fillId="14" borderId="41" xfId="0" applyFont="1" applyFill="1" applyBorder="1" applyAlignment="1">
      <alignment horizontal="center"/>
    </xf>
    <xf numFmtId="0" fontId="15" fillId="14" borderId="41" xfId="0" applyFont="1" applyFill="1" applyBorder="1"/>
    <xf numFmtId="164" fontId="3" fillId="10" borderId="30" xfId="0" applyNumberFormat="1" applyFont="1" applyFill="1" applyBorder="1" applyAlignment="1">
      <alignment horizontal="center"/>
    </xf>
    <xf numFmtId="0" fontId="3" fillId="11" borderId="0" xfId="0" applyFont="1" applyFill="1" applyAlignment="1">
      <alignment horizontal="center"/>
    </xf>
    <xf numFmtId="1" fontId="15" fillId="14" borderId="1" xfId="0" applyNumberFormat="1" applyFont="1" applyFill="1" applyBorder="1"/>
    <xf numFmtId="1" fontId="15" fillId="16" borderId="41" xfId="0" applyNumberFormat="1" applyFont="1" applyFill="1" applyBorder="1"/>
    <xf numFmtId="1" fontId="15" fillId="16" borderId="1" xfId="0" applyNumberFormat="1" applyFont="1" applyFill="1" applyBorder="1"/>
    <xf numFmtId="0" fontId="15" fillId="16" borderId="0" xfId="0" applyFont="1" applyFill="1"/>
    <xf numFmtId="1" fontId="15" fillId="16" borderId="0" xfId="0" applyNumberFormat="1" applyFont="1" applyFill="1"/>
    <xf numFmtId="1" fontId="15" fillId="16" borderId="10" xfId="0" applyNumberFormat="1" applyFont="1" applyFill="1" applyBorder="1"/>
    <xf numFmtId="0" fontId="15" fillId="16" borderId="10" xfId="0" applyFont="1" applyFill="1" applyBorder="1"/>
    <xf numFmtId="0" fontId="15" fillId="0" borderId="1" xfId="0" applyFont="1" applyFill="1" applyBorder="1"/>
    <xf numFmtId="0" fontId="3" fillId="0" borderId="0" xfId="0" applyFont="1" applyFill="1"/>
    <xf numFmtId="14" fontId="15" fillId="17" borderId="1" xfId="0" applyNumberFormat="1" applyFont="1" applyFill="1" applyBorder="1" applyAlignment="1">
      <alignment horizontal="center"/>
    </xf>
    <xf numFmtId="0" fontId="15" fillId="17" borderId="1" xfId="0" applyFont="1" applyFill="1" applyBorder="1" applyAlignment="1">
      <alignment horizontal="center"/>
    </xf>
    <xf numFmtId="0" fontId="15" fillId="17" borderId="1" xfId="0" applyFont="1" applyFill="1" applyBorder="1"/>
    <xf numFmtId="1" fontId="3" fillId="19" borderId="1" xfId="0" applyNumberFormat="1" applyFont="1" applyFill="1" applyBorder="1" applyAlignment="1">
      <alignment horizontal="center"/>
    </xf>
    <xf numFmtId="0" fontId="3" fillId="19" borderId="1" xfId="0" applyFont="1" applyFill="1" applyBorder="1" applyAlignment="1">
      <alignment horizontal="center"/>
    </xf>
    <xf numFmtId="14" fontId="15" fillId="19" borderId="1" xfId="0" applyNumberFormat="1" applyFont="1" applyFill="1" applyBorder="1" applyAlignment="1">
      <alignment horizontal="right"/>
    </xf>
    <xf numFmtId="1" fontId="15" fillId="19" borderId="1" xfId="0" applyNumberFormat="1" applyFont="1" applyFill="1" applyBorder="1" applyAlignment="1">
      <alignment horizontal="center"/>
    </xf>
    <xf numFmtId="0" fontId="15" fillId="19" borderId="1" xfId="0" applyFont="1" applyFill="1" applyBorder="1" applyAlignment="1">
      <alignment horizontal="center"/>
    </xf>
    <xf numFmtId="0" fontId="15" fillId="19" borderId="1" xfId="0" applyFont="1" applyFill="1" applyBorder="1" applyAlignment="1">
      <alignment horizontal="right"/>
    </xf>
    <xf numFmtId="0" fontId="15" fillId="19" borderId="1" xfId="0" applyFont="1" applyFill="1" applyBorder="1"/>
    <xf numFmtId="14" fontId="15" fillId="19" borderId="1" xfId="0" applyNumberFormat="1" applyFont="1" applyFill="1" applyBorder="1" applyAlignment="1">
      <alignment horizontal="center"/>
    </xf>
    <xf numFmtId="14" fontId="3" fillId="19" borderId="1" xfId="0" applyNumberFormat="1" applyFont="1" applyFill="1" applyBorder="1" applyAlignment="1">
      <alignment horizontal="center"/>
    </xf>
    <xf numFmtId="0" fontId="3" fillId="11" borderId="0" xfId="0" applyFont="1" applyFill="1" applyAlignment="1">
      <alignment horizontal="center"/>
    </xf>
    <xf numFmtId="14" fontId="15" fillId="0" borderId="0" xfId="0" applyNumberFormat="1" applyFont="1" applyFill="1" applyAlignment="1">
      <alignment horizontal="center"/>
    </xf>
    <xf numFmtId="0" fontId="25" fillId="16" borderId="1" xfId="0" applyFont="1" applyFill="1" applyBorder="1"/>
    <xf numFmtId="164" fontId="3" fillId="10" borderId="30" xfId="0" applyNumberFormat="1" applyFont="1" applyFill="1" applyBorder="1" applyAlignment="1">
      <alignment horizontal="center"/>
    </xf>
    <xf numFmtId="0" fontId="3" fillId="11" borderId="0" xfId="0" applyFont="1" applyFill="1" applyAlignment="1">
      <alignment horizontal="center"/>
    </xf>
    <xf numFmtId="0" fontId="3" fillId="12" borderId="1" xfId="0" applyFont="1" applyFill="1" applyBorder="1" applyAlignment="1">
      <alignment horizontal="center"/>
    </xf>
    <xf numFmtId="0" fontId="15" fillId="11" borderId="9" xfId="0" applyFont="1" applyFill="1" applyBorder="1" applyAlignment="1">
      <alignment horizontal="center"/>
    </xf>
    <xf numFmtId="0" fontId="3" fillId="15" borderId="9" xfId="0" applyFont="1" applyFill="1" applyBorder="1" applyAlignment="1">
      <alignment horizontal="center"/>
    </xf>
    <xf numFmtId="1" fontId="15" fillId="16" borderId="9" xfId="0" applyNumberFormat="1" applyFont="1" applyFill="1" applyBorder="1" applyAlignment="1">
      <alignment horizontal="center"/>
    </xf>
    <xf numFmtId="0" fontId="15" fillId="14" borderId="39" xfId="0" applyFont="1" applyFill="1" applyBorder="1"/>
    <xf numFmtId="0" fontId="15" fillId="14" borderId="9" xfId="0" applyFont="1" applyFill="1" applyBorder="1" applyAlignment="1">
      <alignment horizontal="center"/>
    </xf>
    <xf numFmtId="1" fontId="15" fillId="14" borderId="9" xfId="0" applyNumberFormat="1" applyFont="1" applyFill="1" applyBorder="1" applyAlignment="1">
      <alignment horizontal="center"/>
    </xf>
    <xf numFmtId="14" fontId="15" fillId="19" borderId="1" xfId="0" applyNumberFormat="1" applyFont="1" applyFill="1" applyBorder="1"/>
    <xf numFmtId="14" fontId="15" fillId="19" borderId="1" xfId="0" quotePrefix="1" applyNumberFormat="1" applyFont="1" applyFill="1" applyBorder="1" applyAlignment="1">
      <alignment horizontal="center"/>
    </xf>
    <xf numFmtId="1" fontId="15" fillId="19" borderId="1" xfId="0" applyNumberFormat="1" applyFont="1" applyFill="1" applyBorder="1"/>
    <xf numFmtId="0" fontId="15" fillId="19" borderId="1" xfId="0" applyFont="1" applyFill="1" applyBorder="1" applyAlignment="1">
      <alignment horizontal="left"/>
    </xf>
    <xf numFmtId="0" fontId="26" fillId="19" borderId="1" xfId="0" applyFont="1" applyFill="1" applyBorder="1"/>
    <xf numFmtId="0" fontId="15" fillId="16" borderId="41" xfId="0" applyFont="1" applyFill="1" applyBorder="1"/>
    <xf numFmtId="0" fontId="27" fillId="0" borderId="1" xfId="0" applyFont="1" applyBorder="1"/>
    <xf numFmtId="0" fontId="27" fillId="0" borderId="39" xfId="0" applyFont="1" applyBorder="1" applyAlignment="1">
      <alignment horizontal="center"/>
    </xf>
    <xf numFmtId="1" fontId="27" fillId="16" borderId="41" xfId="0" applyNumberFormat="1" applyFont="1" applyFill="1" applyBorder="1"/>
    <xf numFmtId="1" fontId="27" fillId="4" borderId="9" xfId="0" applyNumberFormat="1" applyFont="1" applyFill="1" applyBorder="1" applyAlignment="1">
      <alignment horizontal="center"/>
    </xf>
    <xf numFmtId="165" fontId="27" fillId="0" borderId="9" xfId="0" applyNumberFormat="1" applyFont="1" applyBorder="1" applyAlignment="1">
      <alignment horizontal="center"/>
    </xf>
    <xf numFmtId="0" fontId="27" fillId="0" borderId="0" xfId="0" applyFont="1"/>
    <xf numFmtId="0" fontId="27" fillId="0" borderId="9" xfId="0" applyFont="1" applyBorder="1" applyAlignment="1">
      <alignment horizontal="center"/>
    </xf>
    <xf numFmtId="14" fontId="15" fillId="17" borderId="1" xfId="0" applyNumberFormat="1" applyFont="1" applyFill="1" applyBorder="1"/>
    <xf numFmtId="0" fontId="27" fillId="0" borderId="0" xfId="0" applyFont="1" applyAlignment="1">
      <alignment horizontal="center"/>
    </xf>
    <xf numFmtId="0" fontId="15" fillId="0" borderId="46" xfId="0" applyFont="1" applyBorder="1" applyAlignment="1">
      <alignment horizontal="center"/>
    </xf>
    <xf numFmtId="1" fontId="3" fillId="0" borderId="0" xfId="0" applyNumberFormat="1" applyFont="1"/>
    <xf numFmtId="164" fontId="3" fillId="10" borderId="30" xfId="0" applyNumberFormat="1" applyFont="1" applyFill="1" applyBorder="1" applyAlignment="1">
      <alignment horizontal="center"/>
    </xf>
    <xf numFmtId="0" fontId="3" fillId="11" borderId="0" xfId="0" applyFont="1" applyFill="1" applyAlignment="1">
      <alignment horizontal="center"/>
    </xf>
    <xf numFmtId="164" fontId="3" fillId="10" borderId="30" xfId="0" applyNumberFormat="1" applyFont="1" applyFill="1" applyBorder="1" applyAlignment="1">
      <alignment horizontal="center"/>
    </xf>
    <xf numFmtId="0" fontId="15" fillId="0" borderId="8" xfId="0" applyFont="1" applyFill="1" applyBorder="1" applyAlignment="1">
      <alignment horizontal="center"/>
    </xf>
    <xf numFmtId="0" fontId="15" fillId="0" borderId="48" xfId="0" applyFont="1" applyBorder="1" applyAlignment="1">
      <alignment horizontal="center"/>
    </xf>
    <xf numFmtId="0" fontId="15" fillId="22" borderId="39" xfId="0" applyFont="1" applyFill="1" applyBorder="1" applyAlignment="1">
      <alignment horizontal="center"/>
    </xf>
    <xf numFmtId="0" fontId="15" fillId="22" borderId="46" xfId="0" applyFont="1" applyFill="1" applyBorder="1" applyAlignment="1">
      <alignment horizontal="center"/>
    </xf>
    <xf numFmtId="0" fontId="0" fillId="12" borderId="1" xfId="0" applyFill="1" applyBorder="1" applyAlignment="1">
      <alignment horizontal="center"/>
    </xf>
    <xf numFmtId="164" fontId="2" fillId="0" borderId="29" xfId="0" applyNumberFormat="1" applyFont="1" applyBorder="1" applyAlignment="1">
      <alignment horizontal="center"/>
    </xf>
    <xf numFmtId="164" fontId="2" fillId="0" borderId="30" xfId="0" applyNumberFormat="1" applyFont="1" applyBorder="1" applyAlignment="1">
      <alignment horizontal="center"/>
    </xf>
    <xf numFmtId="164" fontId="2" fillId="0" borderId="31" xfId="0" applyNumberFormat="1" applyFont="1" applyBorder="1" applyAlignment="1">
      <alignment horizontal="center"/>
    </xf>
    <xf numFmtId="164" fontId="2" fillId="10" borderId="17" xfId="0" applyNumberFormat="1" applyFont="1" applyFill="1" applyBorder="1" applyAlignment="1">
      <alignment horizontal="center"/>
    </xf>
    <xf numFmtId="164" fontId="2" fillId="10" borderId="2" xfId="0" applyNumberFormat="1" applyFont="1" applyFill="1" applyBorder="1" applyAlignment="1">
      <alignment horizontal="center"/>
    </xf>
    <xf numFmtId="164" fontId="2" fillId="10" borderId="3" xfId="0" applyNumberFormat="1" applyFont="1" applyFill="1" applyBorder="1" applyAlignment="1">
      <alignment horizontal="center"/>
    </xf>
    <xf numFmtId="164" fontId="2" fillId="10" borderId="43" xfId="0" applyNumberFormat="1" applyFont="1" applyFill="1" applyBorder="1" applyAlignment="1">
      <alignment horizontal="center"/>
    </xf>
    <xf numFmtId="164" fontId="2" fillId="10" borderId="30" xfId="0" applyNumberFormat="1" applyFont="1" applyFill="1" applyBorder="1" applyAlignment="1">
      <alignment horizontal="center"/>
    </xf>
    <xf numFmtId="0" fontId="2" fillId="10" borderId="29" xfId="0" applyFont="1" applyFill="1" applyBorder="1"/>
    <xf numFmtId="0" fontId="2" fillId="10" borderId="30" xfId="0" applyFont="1" applyFill="1" applyBorder="1"/>
    <xf numFmtId="0" fontId="2" fillId="10" borderId="31" xfId="0" applyFont="1" applyFill="1" applyBorder="1"/>
    <xf numFmtId="164" fontId="2" fillId="10" borderId="44" xfId="0" applyNumberFormat="1" applyFont="1" applyFill="1" applyBorder="1" applyAlignment="1">
      <alignment horizontal="center"/>
    </xf>
    <xf numFmtId="164" fontId="3" fillId="10" borderId="43" xfId="0" applyNumberFormat="1" applyFont="1" applyFill="1" applyBorder="1" applyAlignment="1">
      <alignment horizontal="center"/>
    </xf>
    <xf numFmtId="164" fontId="3" fillId="10" borderId="30" xfId="0" applyNumberFormat="1" applyFont="1" applyFill="1" applyBorder="1" applyAlignment="1">
      <alignment horizontal="center"/>
    </xf>
    <xf numFmtId="0" fontId="3" fillId="10" borderId="29" xfId="0" applyFont="1" applyFill="1" applyBorder="1"/>
    <xf numFmtId="0" fontId="3" fillId="10" borderId="30" xfId="0" applyFont="1" applyFill="1" applyBorder="1"/>
    <xf numFmtId="0" fontId="3" fillId="10" borderId="31" xfId="0" applyFont="1" applyFill="1" applyBorder="1"/>
    <xf numFmtId="164" fontId="3" fillId="10" borderId="44" xfId="0" applyNumberFormat="1" applyFont="1" applyFill="1" applyBorder="1" applyAlignment="1">
      <alignment horizontal="center"/>
    </xf>
    <xf numFmtId="0" fontId="3" fillId="11" borderId="0" xfId="0" applyFont="1" applyFill="1" applyAlignment="1">
      <alignment horizontal="center"/>
    </xf>
  </cellXfs>
  <cellStyles count="3">
    <cellStyle name="Comma" xfId="1" builtinId="3"/>
    <cellStyle name="Normal" xfId="0" builtinId="0"/>
    <cellStyle name="Percent" xfId="2" builtinId="5"/>
  </cellStyles>
  <dxfs count="0"/>
  <tableStyles count="0" defaultTableStyle="TableStyleMedium9" defaultPivotStyle="PivotStyleLight16"/>
  <colors>
    <mruColors>
      <color rgb="FF0096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1038225</xdr:colOff>
      <xdr:row>3</xdr:row>
      <xdr:rowOff>76200</xdr:rowOff>
    </xdr:to>
    <xdr:pic>
      <xdr:nvPicPr>
        <xdr:cNvPr id="1025" name="Picture 1" descr="Pearmund Logo.jpg">
          <a:extLst>
            <a:ext uri="{FF2B5EF4-FFF2-40B4-BE49-F238E27FC236}">
              <a16:creationId xmlns:a16="http://schemas.microsoft.com/office/drawing/2014/main" id="{00000000-0008-0000-0200-000001040000}"/>
            </a:ext>
          </a:extLst>
        </xdr:cNvPr>
        <xdr:cNvPicPr>
          <a:picLocks noChangeAspect="1"/>
        </xdr:cNvPicPr>
      </xdr:nvPicPr>
      <xdr:blipFill>
        <a:blip xmlns:r="http://schemas.openxmlformats.org/officeDocument/2006/relationships" r:embed="rId1" cstate="print"/>
        <a:srcRect/>
        <a:stretch>
          <a:fillRect/>
        </a:stretch>
      </xdr:blipFill>
      <xdr:spPr bwMode="auto">
        <a:xfrm>
          <a:off x="523875" y="161925"/>
          <a:ext cx="1038225" cy="121920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1</xdr:colOff>
      <xdr:row>2</xdr:row>
      <xdr:rowOff>1</xdr:rowOff>
    </xdr:from>
    <xdr:to>
      <xdr:col>5</xdr:col>
      <xdr:colOff>627590</xdr:colOff>
      <xdr:row>6</xdr:row>
      <xdr:rowOff>46257</xdr:rowOff>
    </xdr:to>
    <xdr:pic>
      <xdr:nvPicPr>
        <xdr:cNvPr id="2" name="Picture 1">
          <a:extLst>
            <a:ext uri="{FF2B5EF4-FFF2-40B4-BE49-F238E27FC236}">
              <a16:creationId xmlns:a16="http://schemas.microsoft.com/office/drawing/2014/main" id="{C02C807E-A1A1-4BF2-8A05-62ADBBEAA465}"/>
            </a:ext>
          </a:extLst>
        </xdr:cNvPr>
        <xdr:cNvPicPr>
          <a:picLocks noChangeAspect="1"/>
        </xdr:cNvPicPr>
      </xdr:nvPicPr>
      <xdr:blipFill>
        <a:blip xmlns:r="http://schemas.openxmlformats.org/officeDocument/2006/relationships" r:embed="rId1" cstate="print"/>
        <a:stretch>
          <a:fillRect/>
        </a:stretch>
      </xdr:blipFill>
      <xdr:spPr>
        <a:xfrm>
          <a:off x="3638551" y="381001"/>
          <a:ext cx="1484839" cy="693956"/>
        </a:xfrm>
        <a:prstGeom prst="rect">
          <a:avLst/>
        </a:prstGeom>
      </xdr:spPr>
    </xdr:pic>
    <xdr:clientData/>
  </xdr:twoCellAnchor>
  <xdr:twoCellAnchor editAs="oneCell">
    <xdr:from>
      <xdr:col>4</xdr:col>
      <xdr:colOff>1</xdr:colOff>
      <xdr:row>2</xdr:row>
      <xdr:rowOff>1</xdr:rowOff>
    </xdr:from>
    <xdr:to>
      <xdr:col>5</xdr:col>
      <xdr:colOff>627590</xdr:colOff>
      <xdr:row>6</xdr:row>
      <xdr:rowOff>46257</xdr:rowOff>
    </xdr:to>
    <xdr:pic>
      <xdr:nvPicPr>
        <xdr:cNvPr id="3" name="Picture 2">
          <a:extLst>
            <a:ext uri="{FF2B5EF4-FFF2-40B4-BE49-F238E27FC236}">
              <a16:creationId xmlns:a16="http://schemas.microsoft.com/office/drawing/2014/main" id="{D40427FB-9946-494D-8C92-67473923CE81}"/>
            </a:ext>
          </a:extLst>
        </xdr:cNvPr>
        <xdr:cNvPicPr>
          <a:picLocks noChangeAspect="1"/>
        </xdr:cNvPicPr>
      </xdr:nvPicPr>
      <xdr:blipFill>
        <a:blip xmlns:r="http://schemas.openxmlformats.org/officeDocument/2006/relationships" r:embed="rId1" cstate="print"/>
        <a:stretch>
          <a:fillRect/>
        </a:stretch>
      </xdr:blipFill>
      <xdr:spPr>
        <a:xfrm>
          <a:off x="3638551" y="381001"/>
          <a:ext cx="1484839" cy="693956"/>
        </a:xfrm>
        <a:prstGeom prst="rect">
          <a:avLst/>
        </a:prstGeom>
      </xdr:spPr>
    </xdr:pic>
    <xdr:clientData/>
  </xdr:twoCellAnchor>
  <xdr:twoCellAnchor editAs="oneCell">
    <xdr:from>
      <xdr:col>4</xdr:col>
      <xdr:colOff>1</xdr:colOff>
      <xdr:row>2</xdr:row>
      <xdr:rowOff>1</xdr:rowOff>
    </xdr:from>
    <xdr:to>
      <xdr:col>5</xdr:col>
      <xdr:colOff>564090</xdr:colOff>
      <xdr:row>5</xdr:row>
      <xdr:rowOff>93882</xdr:rowOff>
    </xdr:to>
    <xdr:pic>
      <xdr:nvPicPr>
        <xdr:cNvPr id="4" name="Picture 3">
          <a:extLst>
            <a:ext uri="{FF2B5EF4-FFF2-40B4-BE49-F238E27FC236}">
              <a16:creationId xmlns:a16="http://schemas.microsoft.com/office/drawing/2014/main" id="{F9EEA804-4BF7-4174-BD39-A6B69D55685D}"/>
            </a:ext>
          </a:extLst>
        </xdr:cNvPr>
        <xdr:cNvPicPr>
          <a:picLocks noChangeAspect="1"/>
        </xdr:cNvPicPr>
      </xdr:nvPicPr>
      <xdr:blipFill>
        <a:blip xmlns:r="http://schemas.openxmlformats.org/officeDocument/2006/relationships" r:embed="rId2" cstate="print"/>
        <a:stretch>
          <a:fillRect/>
        </a:stretch>
      </xdr:blipFill>
      <xdr:spPr>
        <a:xfrm>
          <a:off x="3638551" y="381001"/>
          <a:ext cx="1421339" cy="579656"/>
        </a:xfrm>
        <a:prstGeom prst="rect">
          <a:avLst/>
        </a:prstGeom>
      </xdr:spPr>
    </xdr:pic>
    <xdr:clientData/>
  </xdr:twoCellAnchor>
  <xdr:twoCellAnchor editAs="oneCell">
    <xdr:from>
      <xdr:col>4</xdr:col>
      <xdr:colOff>1</xdr:colOff>
      <xdr:row>2</xdr:row>
      <xdr:rowOff>1</xdr:rowOff>
    </xdr:from>
    <xdr:to>
      <xdr:col>5</xdr:col>
      <xdr:colOff>564090</xdr:colOff>
      <xdr:row>5</xdr:row>
      <xdr:rowOff>93882</xdr:rowOff>
    </xdr:to>
    <xdr:pic>
      <xdr:nvPicPr>
        <xdr:cNvPr id="5" name="Picture 4">
          <a:extLst>
            <a:ext uri="{FF2B5EF4-FFF2-40B4-BE49-F238E27FC236}">
              <a16:creationId xmlns:a16="http://schemas.microsoft.com/office/drawing/2014/main" id="{5C78C248-B5F5-4711-B1A8-B79B2696D046}"/>
            </a:ext>
          </a:extLst>
        </xdr:cNvPr>
        <xdr:cNvPicPr>
          <a:picLocks noChangeAspect="1"/>
        </xdr:cNvPicPr>
      </xdr:nvPicPr>
      <xdr:blipFill>
        <a:blip xmlns:r="http://schemas.openxmlformats.org/officeDocument/2006/relationships" r:embed="rId2" cstate="print"/>
        <a:stretch>
          <a:fillRect/>
        </a:stretch>
      </xdr:blipFill>
      <xdr:spPr>
        <a:xfrm>
          <a:off x="3638551" y="381001"/>
          <a:ext cx="1421339" cy="5796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1038225</xdr:colOff>
      <xdr:row>5</xdr:row>
      <xdr:rowOff>20731</xdr:rowOff>
    </xdr:to>
    <xdr:pic>
      <xdr:nvPicPr>
        <xdr:cNvPr id="2049" name="Picture 1" descr="Pearmund Logo.jpg">
          <a:extLst>
            <a:ext uri="{FF2B5EF4-FFF2-40B4-BE49-F238E27FC236}">
              <a16:creationId xmlns:a16="http://schemas.microsoft.com/office/drawing/2014/main" id="{00000000-0008-0000-0400-000001080000}"/>
            </a:ext>
          </a:extLst>
        </xdr:cNvPr>
        <xdr:cNvPicPr>
          <a:picLocks noChangeAspect="1"/>
        </xdr:cNvPicPr>
      </xdr:nvPicPr>
      <xdr:blipFill>
        <a:blip xmlns:r="http://schemas.openxmlformats.org/officeDocument/2006/relationships" r:embed="rId1" cstate="print"/>
        <a:srcRect/>
        <a:stretch>
          <a:fillRect/>
        </a:stretch>
      </xdr:blipFill>
      <xdr:spPr bwMode="auto">
        <a:xfrm>
          <a:off x="609600" y="0"/>
          <a:ext cx="1038225" cy="12192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609600</xdr:colOff>
      <xdr:row>5</xdr:row>
      <xdr:rowOff>20731</xdr:rowOff>
    </xdr:to>
    <xdr:pic>
      <xdr:nvPicPr>
        <xdr:cNvPr id="2" name="Picture 1" descr="Pearmund Logo.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rcRect/>
        <a:stretch>
          <a:fillRect/>
        </a:stretch>
      </xdr:blipFill>
      <xdr:spPr bwMode="auto">
        <a:xfrm>
          <a:off x="1219200" y="0"/>
          <a:ext cx="1038225" cy="1230406"/>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609600</xdr:colOff>
      <xdr:row>5</xdr:row>
      <xdr:rowOff>20731</xdr:rowOff>
    </xdr:to>
    <xdr:pic>
      <xdr:nvPicPr>
        <xdr:cNvPr id="3" name="Picture 2" descr="Pearmund Logo.jp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rcRect/>
        <a:stretch>
          <a:fillRect/>
        </a:stretch>
      </xdr:blipFill>
      <xdr:spPr bwMode="auto">
        <a:xfrm>
          <a:off x="1219200" y="0"/>
          <a:ext cx="609600" cy="944656"/>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609600</xdr:colOff>
      <xdr:row>4</xdr:row>
      <xdr:rowOff>143995</xdr:rowOff>
    </xdr:to>
    <xdr:pic>
      <xdr:nvPicPr>
        <xdr:cNvPr id="2" name="Picture 1" descr="Pearmund Logo.jp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rcRect/>
        <a:stretch>
          <a:fillRect/>
        </a:stretch>
      </xdr:blipFill>
      <xdr:spPr bwMode="auto">
        <a:xfrm>
          <a:off x="1219200" y="0"/>
          <a:ext cx="609600" cy="944656"/>
        </a:xfrm>
        <a:prstGeom prst="rect">
          <a:avLst/>
        </a:prstGeom>
        <a:noFill/>
        <a:ln w="9525">
          <a:noFill/>
          <a:miter lim="800000"/>
          <a:headEnd/>
          <a:tailEnd/>
        </a:ln>
      </xdr:spPr>
    </xdr:pic>
    <xdr:clientData/>
  </xdr:twoCellAnchor>
  <xdr:oneCellAnchor>
    <xdr:from>
      <xdr:col>22</xdr:col>
      <xdr:colOff>0</xdr:colOff>
      <xdr:row>0</xdr:row>
      <xdr:rowOff>0</xdr:rowOff>
    </xdr:from>
    <xdr:ext cx="609600" cy="939613"/>
    <xdr:pic>
      <xdr:nvPicPr>
        <xdr:cNvPr id="3" name="Picture 2" descr="Pearmund Logo.jpg">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srcRect/>
        <a:stretch>
          <a:fillRect/>
        </a:stretch>
      </xdr:blipFill>
      <xdr:spPr bwMode="auto">
        <a:xfrm>
          <a:off x="1210235" y="0"/>
          <a:ext cx="609600" cy="939613"/>
        </a:xfrm>
        <a:prstGeom prst="rect">
          <a:avLst/>
        </a:prstGeom>
        <a:noFill/>
        <a:ln w="9525">
          <a:noFill/>
          <a:miter lim="800000"/>
          <a:headEnd/>
          <a:tailEnd/>
        </a:ln>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7</xdr:col>
      <xdr:colOff>378953</xdr:colOff>
      <xdr:row>0</xdr:row>
      <xdr:rowOff>219404</xdr:rowOff>
    </xdr:from>
    <xdr:to>
      <xdr:col>10</xdr:col>
      <xdr:colOff>133145</xdr:colOff>
      <xdr:row>2</xdr:row>
      <xdr:rowOff>161710</xdr:rowOff>
    </xdr:to>
    <xdr:pic>
      <xdr:nvPicPr>
        <xdr:cNvPr id="2" name="Picture 1">
          <a:extLst>
            <a:ext uri="{FF2B5EF4-FFF2-40B4-BE49-F238E27FC236}">
              <a16:creationId xmlns:a16="http://schemas.microsoft.com/office/drawing/2014/main" id="{5ACBEDA4-FF2A-49FA-A263-F8F551DD6FC5}"/>
            </a:ext>
          </a:extLst>
        </xdr:cNvPr>
        <xdr:cNvPicPr>
          <a:picLocks noChangeAspect="1"/>
        </xdr:cNvPicPr>
      </xdr:nvPicPr>
      <xdr:blipFill>
        <a:blip xmlns:r="http://schemas.openxmlformats.org/officeDocument/2006/relationships" r:embed="rId1" cstate="print"/>
        <a:stretch>
          <a:fillRect/>
        </a:stretch>
      </xdr:blipFill>
      <xdr:spPr>
        <a:xfrm>
          <a:off x="5592098" y="219404"/>
          <a:ext cx="1269999" cy="45440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xdr:colOff>
      <xdr:row>2</xdr:row>
      <xdr:rowOff>1</xdr:rowOff>
    </xdr:from>
    <xdr:to>
      <xdr:col>4</xdr:col>
      <xdr:colOff>503768</xdr:colOff>
      <xdr:row>4</xdr:row>
      <xdr:rowOff>90707</xdr:rowOff>
    </xdr:to>
    <xdr:pic>
      <xdr:nvPicPr>
        <xdr:cNvPr id="4" name="Picture 3">
          <a:extLst>
            <a:ext uri="{FF2B5EF4-FFF2-40B4-BE49-F238E27FC236}">
              <a16:creationId xmlns:a16="http://schemas.microsoft.com/office/drawing/2014/main" id="{7BE88A83-8A7A-4B46-B22B-C326CFC27B21}"/>
            </a:ext>
          </a:extLst>
        </xdr:cNvPr>
        <xdr:cNvPicPr>
          <a:picLocks noChangeAspect="1"/>
        </xdr:cNvPicPr>
      </xdr:nvPicPr>
      <xdr:blipFill>
        <a:blip xmlns:r="http://schemas.openxmlformats.org/officeDocument/2006/relationships" r:embed="rId1" cstate="print"/>
        <a:stretch>
          <a:fillRect/>
        </a:stretch>
      </xdr:blipFill>
      <xdr:spPr>
        <a:xfrm>
          <a:off x="3308351" y="393701"/>
          <a:ext cx="1424517" cy="484406"/>
        </a:xfrm>
        <a:prstGeom prst="rect">
          <a:avLst/>
        </a:prstGeom>
      </xdr:spPr>
    </xdr:pic>
    <xdr:clientData/>
  </xdr:twoCellAnchor>
  <xdr:twoCellAnchor editAs="oneCell">
    <xdr:from>
      <xdr:col>3</xdr:col>
      <xdr:colOff>1</xdr:colOff>
      <xdr:row>2</xdr:row>
      <xdr:rowOff>1</xdr:rowOff>
    </xdr:from>
    <xdr:to>
      <xdr:col>4</xdr:col>
      <xdr:colOff>503768</xdr:colOff>
      <xdr:row>4</xdr:row>
      <xdr:rowOff>90707</xdr:rowOff>
    </xdr:to>
    <xdr:pic>
      <xdr:nvPicPr>
        <xdr:cNvPr id="5" name="Picture 4">
          <a:extLst>
            <a:ext uri="{FF2B5EF4-FFF2-40B4-BE49-F238E27FC236}">
              <a16:creationId xmlns:a16="http://schemas.microsoft.com/office/drawing/2014/main" id="{BFA290D5-5C16-4C65-9D6C-6C3F5592FDDB}"/>
            </a:ext>
          </a:extLst>
        </xdr:cNvPr>
        <xdr:cNvPicPr>
          <a:picLocks noChangeAspect="1"/>
        </xdr:cNvPicPr>
      </xdr:nvPicPr>
      <xdr:blipFill>
        <a:blip xmlns:r="http://schemas.openxmlformats.org/officeDocument/2006/relationships" r:embed="rId1" cstate="print"/>
        <a:stretch>
          <a:fillRect/>
        </a:stretch>
      </xdr:blipFill>
      <xdr:spPr>
        <a:xfrm>
          <a:off x="3308351" y="393701"/>
          <a:ext cx="1424517" cy="484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xdr:colOff>
      <xdr:row>2</xdr:row>
      <xdr:rowOff>1</xdr:rowOff>
    </xdr:from>
    <xdr:to>
      <xdr:col>6</xdr:col>
      <xdr:colOff>21165</xdr:colOff>
      <xdr:row>5</xdr:row>
      <xdr:rowOff>8157</xdr:rowOff>
    </xdr:to>
    <xdr:pic>
      <xdr:nvPicPr>
        <xdr:cNvPr id="2" name="Picture 1">
          <a:extLst>
            <a:ext uri="{FF2B5EF4-FFF2-40B4-BE49-F238E27FC236}">
              <a16:creationId xmlns:a16="http://schemas.microsoft.com/office/drawing/2014/main" id="{836F1A40-536C-4247-B34A-879F85FA6349}"/>
            </a:ext>
          </a:extLst>
        </xdr:cNvPr>
        <xdr:cNvPicPr>
          <a:picLocks noChangeAspect="1"/>
        </xdr:cNvPicPr>
      </xdr:nvPicPr>
      <xdr:blipFill>
        <a:blip xmlns:r="http://schemas.openxmlformats.org/officeDocument/2006/relationships" r:embed="rId1" cstate="print"/>
        <a:stretch>
          <a:fillRect/>
        </a:stretch>
      </xdr:blipFill>
      <xdr:spPr>
        <a:xfrm>
          <a:off x="2362201" y="393701"/>
          <a:ext cx="1424517" cy="484406"/>
        </a:xfrm>
        <a:prstGeom prst="rect">
          <a:avLst/>
        </a:prstGeom>
      </xdr:spPr>
    </xdr:pic>
    <xdr:clientData/>
  </xdr:twoCellAnchor>
  <xdr:twoCellAnchor editAs="oneCell">
    <xdr:from>
      <xdr:col>4</xdr:col>
      <xdr:colOff>1</xdr:colOff>
      <xdr:row>2</xdr:row>
      <xdr:rowOff>1</xdr:rowOff>
    </xdr:from>
    <xdr:to>
      <xdr:col>6</xdr:col>
      <xdr:colOff>21165</xdr:colOff>
      <xdr:row>5</xdr:row>
      <xdr:rowOff>8157</xdr:rowOff>
    </xdr:to>
    <xdr:pic>
      <xdr:nvPicPr>
        <xdr:cNvPr id="3" name="Picture 2">
          <a:extLst>
            <a:ext uri="{FF2B5EF4-FFF2-40B4-BE49-F238E27FC236}">
              <a16:creationId xmlns:a16="http://schemas.microsoft.com/office/drawing/2014/main" id="{1F1B3AD1-730F-4DC3-A172-EDD138AB18A8}"/>
            </a:ext>
          </a:extLst>
        </xdr:cNvPr>
        <xdr:cNvPicPr>
          <a:picLocks noChangeAspect="1"/>
        </xdr:cNvPicPr>
      </xdr:nvPicPr>
      <xdr:blipFill>
        <a:blip xmlns:r="http://schemas.openxmlformats.org/officeDocument/2006/relationships" r:embed="rId1" cstate="print"/>
        <a:stretch>
          <a:fillRect/>
        </a:stretch>
      </xdr:blipFill>
      <xdr:spPr>
        <a:xfrm>
          <a:off x="2362201" y="393701"/>
          <a:ext cx="1424517" cy="484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1</xdr:colOff>
      <xdr:row>2</xdr:row>
      <xdr:rowOff>1</xdr:rowOff>
    </xdr:from>
    <xdr:to>
      <xdr:col>6</xdr:col>
      <xdr:colOff>84665</xdr:colOff>
      <xdr:row>5</xdr:row>
      <xdr:rowOff>122457</xdr:rowOff>
    </xdr:to>
    <xdr:pic>
      <xdr:nvPicPr>
        <xdr:cNvPr id="2" name="Picture 1">
          <a:extLst>
            <a:ext uri="{FF2B5EF4-FFF2-40B4-BE49-F238E27FC236}">
              <a16:creationId xmlns:a16="http://schemas.microsoft.com/office/drawing/2014/main" id="{4A6C8931-8DE8-4A3B-9B1F-E3AE3AB54105}"/>
            </a:ext>
          </a:extLst>
        </xdr:cNvPr>
        <xdr:cNvPicPr>
          <a:picLocks noChangeAspect="1"/>
        </xdr:cNvPicPr>
      </xdr:nvPicPr>
      <xdr:blipFill>
        <a:blip xmlns:r="http://schemas.openxmlformats.org/officeDocument/2006/relationships" r:embed="rId1" cstate="print"/>
        <a:stretch>
          <a:fillRect/>
        </a:stretch>
      </xdr:blipFill>
      <xdr:spPr>
        <a:xfrm>
          <a:off x="3790951" y="393701"/>
          <a:ext cx="1488014" cy="598706"/>
        </a:xfrm>
        <a:prstGeom prst="rect">
          <a:avLst/>
        </a:prstGeom>
      </xdr:spPr>
    </xdr:pic>
    <xdr:clientData/>
  </xdr:twoCellAnchor>
  <xdr:twoCellAnchor editAs="oneCell">
    <xdr:from>
      <xdr:col>4</xdr:col>
      <xdr:colOff>1</xdr:colOff>
      <xdr:row>2</xdr:row>
      <xdr:rowOff>1</xdr:rowOff>
    </xdr:from>
    <xdr:to>
      <xdr:col>6</xdr:col>
      <xdr:colOff>84665</xdr:colOff>
      <xdr:row>5</xdr:row>
      <xdr:rowOff>122457</xdr:rowOff>
    </xdr:to>
    <xdr:pic>
      <xdr:nvPicPr>
        <xdr:cNvPr id="3" name="Picture 2">
          <a:extLst>
            <a:ext uri="{FF2B5EF4-FFF2-40B4-BE49-F238E27FC236}">
              <a16:creationId xmlns:a16="http://schemas.microsoft.com/office/drawing/2014/main" id="{9DFAF788-586A-4AA9-9672-D6DCA108A0ED}"/>
            </a:ext>
          </a:extLst>
        </xdr:cNvPr>
        <xdr:cNvPicPr>
          <a:picLocks noChangeAspect="1"/>
        </xdr:cNvPicPr>
      </xdr:nvPicPr>
      <xdr:blipFill>
        <a:blip xmlns:r="http://schemas.openxmlformats.org/officeDocument/2006/relationships" r:embed="rId1" cstate="print"/>
        <a:stretch>
          <a:fillRect/>
        </a:stretch>
      </xdr:blipFill>
      <xdr:spPr>
        <a:xfrm>
          <a:off x="3790951" y="393701"/>
          <a:ext cx="1488014" cy="598706"/>
        </a:xfrm>
        <a:prstGeom prst="rect">
          <a:avLst/>
        </a:prstGeom>
      </xdr:spPr>
    </xdr:pic>
    <xdr:clientData/>
  </xdr:twoCellAnchor>
  <xdr:twoCellAnchor editAs="oneCell">
    <xdr:from>
      <xdr:col>4</xdr:col>
      <xdr:colOff>1</xdr:colOff>
      <xdr:row>2</xdr:row>
      <xdr:rowOff>1</xdr:rowOff>
    </xdr:from>
    <xdr:to>
      <xdr:col>6</xdr:col>
      <xdr:colOff>21165</xdr:colOff>
      <xdr:row>5</xdr:row>
      <xdr:rowOff>8157</xdr:rowOff>
    </xdr:to>
    <xdr:pic>
      <xdr:nvPicPr>
        <xdr:cNvPr id="4" name="Picture 3">
          <a:extLst>
            <a:ext uri="{FF2B5EF4-FFF2-40B4-BE49-F238E27FC236}">
              <a16:creationId xmlns:a16="http://schemas.microsoft.com/office/drawing/2014/main" id="{E8B8BF33-3025-45CD-B3F4-AB411477DBC8}"/>
            </a:ext>
          </a:extLst>
        </xdr:cNvPr>
        <xdr:cNvPicPr>
          <a:picLocks noChangeAspect="1"/>
        </xdr:cNvPicPr>
      </xdr:nvPicPr>
      <xdr:blipFill>
        <a:blip xmlns:r="http://schemas.openxmlformats.org/officeDocument/2006/relationships" r:embed="rId2" cstate="print"/>
        <a:stretch>
          <a:fillRect/>
        </a:stretch>
      </xdr:blipFill>
      <xdr:spPr>
        <a:xfrm>
          <a:off x="3790951" y="393701"/>
          <a:ext cx="1488014" cy="598706"/>
        </a:xfrm>
        <a:prstGeom prst="rect">
          <a:avLst/>
        </a:prstGeom>
      </xdr:spPr>
    </xdr:pic>
    <xdr:clientData/>
  </xdr:twoCellAnchor>
  <xdr:twoCellAnchor editAs="oneCell">
    <xdr:from>
      <xdr:col>4</xdr:col>
      <xdr:colOff>1</xdr:colOff>
      <xdr:row>2</xdr:row>
      <xdr:rowOff>1</xdr:rowOff>
    </xdr:from>
    <xdr:to>
      <xdr:col>6</xdr:col>
      <xdr:colOff>21165</xdr:colOff>
      <xdr:row>5</xdr:row>
      <xdr:rowOff>8157</xdr:rowOff>
    </xdr:to>
    <xdr:pic>
      <xdr:nvPicPr>
        <xdr:cNvPr id="5" name="Picture 4">
          <a:extLst>
            <a:ext uri="{FF2B5EF4-FFF2-40B4-BE49-F238E27FC236}">
              <a16:creationId xmlns:a16="http://schemas.microsoft.com/office/drawing/2014/main" id="{14BCF3C4-CF1D-4B80-94ED-AF84F579B84D}"/>
            </a:ext>
          </a:extLst>
        </xdr:cNvPr>
        <xdr:cNvPicPr>
          <a:picLocks noChangeAspect="1"/>
        </xdr:cNvPicPr>
      </xdr:nvPicPr>
      <xdr:blipFill>
        <a:blip xmlns:r="http://schemas.openxmlformats.org/officeDocument/2006/relationships" r:embed="rId2" cstate="print"/>
        <a:stretch>
          <a:fillRect/>
        </a:stretch>
      </xdr:blipFill>
      <xdr:spPr>
        <a:xfrm>
          <a:off x="3790951" y="393701"/>
          <a:ext cx="1488014" cy="5987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1"/>
  <sheetViews>
    <sheetView workbookViewId="0">
      <selection activeCell="S3" sqref="S3:S34"/>
    </sheetView>
  </sheetViews>
  <sheetFormatPr defaultRowHeight="12.75" x14ac:dyDescent="0.2"/>
  <cols>
    <col min="1" max="1" width="16.28515625" customWidth="1"/>
    <col min="2" max="2" width="5.7109375" customWidth="1"/>
    <col min="3" max="3" width="5" customWidth="1"/>
    <col min="4" max="4" width="5.28515625" customWidth="1"/>
    <col min="5" max="5" width="5" customWidth="1"/>
    <col min="6" max="7" width="5.28515625" customWidth="1"/>
    <col min="8" max="8" width="4.7109375" customWidth="1"/>
    <col min="9" max="9" width="4.28515625" customWidth="1"/>
    <col min="10" max="11" width="5.28515625" customWidth="1"/>
    <col min="12" max="12" width="5" customWidth="1"/>
    <col min="13" max="13" width="5.5703125" customWidth="1"/>
    <col min="14" max="14" width="5.7109375" customWidth="1"/>
    <col min="15" max="15" width="7.5703125" customWidth="1"/>
    <col min="16" max="16" width="8.7109375" customWidth="1"/>
    <col min="17" max="17" width="16.7109375" customWidth="1"/>
    <col min="18" max="18" width="14.28515625" customWidth="1"/>
    <col min="19" max="19" width="14.7109375" customWidth="1"/>
  </cols>
  <sheetData>
    <row r="1" spans="1:19" ht="21" thickBot="1" x14ac:dyDescent="0.35">
      <c r="A1" s="437" t="s">
        <v>0</v>
      </c>
      <c r="B1" s="438"/>
      <c r="C1" s="438"/>
      <c r="D1" s="438"/>
      <c r="E1" s="438"/>
      <c r="F1" s="438"/>
      <c r="G1" s="438"/>
      <c r="H1" s="438"/>
      <c r="I1" s="438"/>
      <c r="J1" s="438"/>
      <c r="K1" s="438"/>
      <c r="L1" s="438"/>
      <c r="M1" s="438"/>
      <c r="N1" s="438"/>
      <c r="O1" s="439"/>
      <c r="P1" s="5"/>
      <c r="Q1" s="13" t="s">
        <v>1</v>
      </c>
      <c r="R1" s="5"/>
      <c r="S1" s="6"/>
    </row>
    <row r="2" spans="1:19" s="1" customFormat="1" ht="15.75" x14ac:dyDescent="0.25">
      <c r="A2" s="7" t="s">
        <v>2</v>
      </c>
      <c r="B2" s="1" t="s">
        <v>3</v>
      </c>
      <c r="C2" s="7" t="s">
        <v>4</v>
      </c>
      <c r="D2" s="1" t="s">
        <v>5</v>
      </c>
      <c r="E2" s="7" t="s">
        <v>6</v>
      </c>
      <c r="F2" s="8" t="s">
        <v>7</v>
      </c>
      <c r="G2" s="8" t="s">
        <v>8</v>
      </c>
      <c r="H2" s="8" t="s">
        <v>9</v>
      </c>
      <c r="I2" s="8" t="s">
        <v>10</v>
      </c>
      <c r="J2" s="8" t="s">
        <v>11</v>
      </c>
      <c r="K2" s="8" t="s">
        <v>12</v>
      </c>
      <c r="L2" s="8" t="s">
        <v>13</v>
      </c>
      <c r="M2" s="8" t="s">
        <v>14</v>
      </c>
      <c r="N2" s="1" t="s">
        <v>15</v>
      </c>
      <c r="O2" s="9" t="s">
        <v>16</v>
      </c>
      <c r="P2" s="1" t="s">
        <v>17</v>
      </c>
      <c r="Q2" s="1" t="s">
        <v>18</v>
      </c>
      <c r="R2" s="1" t="s">
        <v>19</v>
      </c>
      <c r="S2" s="8" t="s">
        <v>20</v>
      </c>
    </row>
    <row r="3" spans="1:19" x14ac:dyDescent="0.2">
      <c r="A3" s="2" t="s">
        <v>21</v>
      </c>
      <c r="B3" s="2">
        <v>2006</v>
      </c>
      <c r="C3" s="2">
        <v>15</v>
      </c>
      <c r="D3" s="29">
        <v>14</v>
      </c>
      <c r="E3" s="2">
        <v>15</v>
      </c>
      <c r="F3" s="2">
        <v>16</v>
      </c>
      <c r="G3" s="33"/>
      <c r="H3" s="33"/>
      <c r="I3" s="33"/>
      <c r="J3" s="33"/>
      <c r="K3" s="33"/>
      <c r="L3" s="33"/>
      <c r="M3" s="33"/>
      <c r="N3" s="33"/>
      <c r="O3" s="3">
        <f t="shared" ref="O3:O9" si="0">SUM(C3:N3)</f>
        <v>60</v>
      </c>
      <c r="P3" s="11">
        <f t="shared" ref="P3:P9" si="1">AVERAGE(C3:N3)</f>
        <v>15</v>
      </c>
      <c r="Q3" s="199">
        <v>60</v>
      </c>
      <c r="R3" s="34">
        <f t="shared" ref="R3:R19" si="2">S3/P3</f>
        <v>0</v>
      </c>
      <c r="S3" s="35">
        <f t="shared" ref="S3:S9" si="3">SUM(Q3-O3)</f>
        <v>0</v>
      </c>
    </row>
    <row r="4" spans="1:19" x14ac:dyDescent="0.2">
      <c r="A4" s="2" t="s">
        <v>22</v>
      </c>
      <c r="B4" s="2">
        <v>2006</v>
      </c>
      <c r="C4" s="29">
        <v>29</v>
      </c>
      <c r="D4" s="2">
        <v>32</v>
      </c>
      <c r="E4" s="2">
        <v>32</v>
      </c>
      <c r="F4" s="2">
        <v>15</v>
      </c>
      <c r="G4" s="2">
        <v>44</v>
      </c>
      <c r="H4" s="2">
        <v>48</v>
      </c>
      <c r="I4" s="2">
        <v>9</v>
      </c>
      <c r="J4" s="2">
        <v>46</v>
      </c>
      <c r="K4" s="2">
        <v>29</v>
      </c>
      <c r="L4" s="2">
        <v>20</v>
      </c>
      <c r="M4" s="2">
        <v>59</v>
      </c>
      <c r="N4" s="2">
        <v>28</v>
      </c>
      <c r="O4" s="3">
        <f t="shared" si="0"/>
        <v>391</v>
      </c>
      <c r="P4" s="11">
        <f t="shared" si="1"/>
        <v>32.583333333333336</v>
      </c>
      <c r="Q4" s="2">
        <v>418</v>
      </c>
      <c r="R4" s="10">
        <f t="shared" si="2"/>
        <v>0.82864450127877232</v>
      </c>
      <c r="S4" s="14">
        <f t="shared" si="3"/>
        <v>27</v>
      </c>
    </row>
    <row r="5" spans="1:19" x14ac:dyDescent="0.2">
      <c r="A5" s="2" t="s">
        <v>23</v>
      </c>
      <c r="B5" s="2">
        <v>2006</v>
      </c>
      <c r="C5" s="2">
        <v>13</v>
      </c>
      <c r="D5" s="2">
        <v>22</v>
      </c>
      <c r="E5" s="2">
        <v>20</v>
      </c>
      <c r="F5" s="2">
        <v>24</v>
      </c>
      <c r="G5" s="2">
        <v>25</v>
      </c>
      <c r="H5" s="33"/>
      <c r="I5" s="33"/>
      <c r="J5" s="33"/>
      <c r="K5" s="33"/>
      <c r="L5" s="33"/>
      <c r="M5" s="33"/>
      <c r="N5" s="33"/>
      <c r="O5" s="3">
        <f t="shared" si="0"/>
        <v>104</v>
      </c>
      <c r="P5" s="11">
        <f t="shared" si="1"/>
        <v>20.8</v>
      </c>
      <c r="Q5" s="2">
        <v>104</v>
      </c>
      <c r="R5" s="34">
        <f t="shared" si="2"/>
        <v>0</v>
      </c>
      <c r="S5" s="35">
        <f t="shared" si="3"/>
        <v>0</v>
      </c>
    </row>
    <row r="6" spans="1:19" x14ac:dyDescent="0.2">
      <c r="A6" s="2" t="s">
        <v>24</v>
      </c>
      <c r="B6" s="2">
        <v>2006</v>
      </c>
      <c r="C6" s="2">
        <v>11</v>
      </c>
      <c r="D6" s="2">
        <v>13</v>
      </c>
      <c r="E6" s="2">
        <v>17</v>
      </c>
      <c r="F6" s="2">
        <v>14</v>
      </c>
      <c r="G6" s="2">
        <v>28</v>
      </c>
      <c r="H6" s="2">
        <v>24</v>
      </c>
      <c r="I6" s="2">
        <v>6</v>
      </c>
      <c r="J6" s="2">
        <v>22</v>
      </c>
      <c r="K6" s="33"/>
      <c r="L6" s="33"/>
      <c r="M6" s="33"/>
      <c r="N6" s="33"/>
      <c r="O6" s="3">
        <f t="shared" si="0"/>
        <v>135</v>
      </c>
      <c r="P6" s="11">
        <f t="shared" si="1"/>
        <v>16.875</v>
      </c>
      <c r="Q6" s="2">
        <v>135</v>
      </c>
      <c r="R6" s="10">
        <f t="shared" si="2"/>
        <v>0</v>
      </c>
      <c r="S6" s="14">
        <f t="shared" si="3"/>
        <v>0</v>
      </c>
    </row>
    <row r="7" spans="1:19" x14ac:dyDescent="0.2">
      <c r="A7" s="2" t="s">
        <v>25</v>
      </c>
      <c r="B7" s="2">
        <v>2006</v>
      </c>
      <c r="C7" s="2">
        <v>22</v>
      </c>
      <c r="D7" s="2">
        <v>25</v>
      </c>
      <c r="E7" s="2">
        <v>27</v>
      </c>
      <c r="F7" s="2">
        <v>33</v>
      </c>
      <c r="G7" s="2">
        <v>48</v>
      </c>
      <c r="H7" s="2">
        <v>31</v>
      </c>
      <c r="I7" s="33"/>
      <c r="J7" s="33"/>
      <c r="K7" s="33"/>
      <c r="L7" s="33"/>
      <c r="M7" s="33"/>
      <c r="N7" s="33"/>
      <c r="O7" s="3">
        <f t="shared" si="0"/>
        <v>186</v>
      </c>
      <c r="P7" s="11">
        <f t="shared" si="1"/>
        <v>31</v>
      </c>
      <c r="Q7" s="2">
        <v>186</v>
      </c>
      <c r="R7" s="34">
        <f t="shared" si="2"/>
        <v>0</v>
      </c>
      <c r="S7" s="35">
        <f t="shared" si="3"/>
        <v>0</v>
      </c>
    </row>
    <row r="8" spans="1:19" x14ac:dyDescent="0.2">
      <c r="A8" s="2" t="s">
        <v>26</v>
      </c>
      <c r="B8" s="2">
        <v>2006</v>
      </c>
      <c r="C8" s="2">
        <v>16</v>
      </c>
      <c r="D8" s="2">
        <v>16</v>
      </c>
      <c r="E8" s="2">
        <v>24</v>
      </c>
      <c r="F8" s="2">
        <v>25</v>
      </c>
      <c r="G8" s="2">
        <v>32</v>
      </c>
      <c r="H8" s="2">
        <v>29</v>
      </c>
      <c r="I8" s="33"/>
      <c r="J8" s="33"/>
      <c r="K8" s="33"/>
      <c r="L8" s="33"/>
      <c r="M8" s="33"/>
      <c r="N8" s="33"/>
      <c r="O8" s="3">
        <f t="shared" si="0"/>
        <v>142</v>
      </c>
      <c r="P8" s="11">
        <f t="shared" si="1"/>
        <v>23.666666666666668</v>
      </c>
      <c r="Q8" s="12">
        <v>142</v>
      </c>
      <c r="R8" s="34">
        <f t="shared" si="2"/>
        <v>0</v>
      </c>
      <c r="S8" s="35">
        <f t="shared" si="3"/>
        <v>0</v>
      </c>
    </row>
    <row r="9" spans="1:19" x14ac:dyDescent="0.2">
      <c r="A9" s="2" t="s">
        <v>27</v>
      </c>
      <c r="B9" s="2">
        <v>2006</v>
      </c>
      <c r="C9" s="2">
        <v>13</v>
      </c>
      <c r="D9" s="2">
        <v>11</v>
      </c>
      <c r="E9" s="2">
        <v>12</v>
      </c>
      <c r="F9" s="2">
        <v>16</v>
      </c>
      <c r="G9" s="33"/>
      <c r="H9" s="33"/>
      <c r="I9" s="33"/>
      <c r="J9" s="33"/>
      <c r="K9" s="33"/>
      <c r="L9" s="33"/>
      <c r="M9" s="33"/>
      <c r="N9" s="33"/>
      <c r="O9" s="3">
        <f t="shared" si="0"/>
        <v>52</v>
      </c>
      <c r="P9" s="11">
        <f t="shared" si="1"/>
        <v>13</v>
      </c>
      <c r="Q9" s="2">
        <v>52</v>
      </c>
      <c r="R9" s="34">
        <f t="shared" si="2"/>
        <v>0</v>
      </c>
      <c r="S9" s="35">
        <f t="shared" si="3"/>
        <v>0</v>
      </c>
    </row>
    <row r="10" spans="1:19" x14ac:dyDescent="0.2">
      <c r="A10" s="2" t="s">
        <v>22</v>
      </c>
      <c r="B10" s="2">
        <v>2007</v>
      </c>
      <c r="C10" s="2">
        <v>7</v>
      </c>
      <c r="D10" s="2">
        <v>13</v>
      </c>
      <c r="E10" s="30"/>
      <c r="F10" s="30"/>
      <c r="G10" s="2">
        <v>7</v>
      </c>
      <c r="H10" s="2">
        <v>11</v>
      </c>
      <c r="I10" s="2">
        <v>16</v>
      </c>
      <c r="J10" s="2">
        <v>4</v>
      </c>
      <c r="K10" s="30"/>
      <c r="L10" s="2">
        <v>2</v>
      </c>
      <c r="M10" s="2">
        <v>6</v>
      </c>
      <c r="N10" s="2">
        <v>0</v>
      </c>
      <c r="O10" s="3">
        <f>SUM(C10:N10)</f>
        <v>66</v>
      </c>
      <c r="P10" s="11">
        <f>AVERAGE(C10:N10)</f>
        <v>7.333333333333333</v>
      </c>
      <c r="Q10" s="2">
        <v>580</v>
      </c>
      <c r="R10" s="10">
        <f t="shared" ref="R10:R18" si="4">S10/P10</f>
        <v>70.090909090909093</v>
      </c>
      <c r="S10" s="14">
        <f>SUM(Q10-O10)</f>
        <v>514</v>
      </c>
    </row>
    <row r="11" spans="1:19" x14ac:dyDescent="0.2">
      <c r="A11" s="2" t="s">
        <v>21</v>
      </c>
      <c r="B11" s="2">
        <v>2007</v>
      </c>
      <c r="C11" s="2">
        <v>18</v>
      </c>
      <c r="D11" s="30"/>
      <c r="E11" s="30"/>
      <c r="F11" s="2">
        <v>11</v>
      </c>
      <c r="G11" s="2">
        <v>32</v>
      </c>
      <c r="H11" s="2">
        <v>40</v>
      </c>
      <c r="I11" s="2">
        <v>11</v>
      </c>
      <c r="J11" s="2">
        <v>31</v>
      </c>
      <c r="K11" s="2">
        <v>32</v>
      </c>
      <c r="L11" s="2">
        <v>34</v>
      </c>
      <c r="M11" s="2">
        <v>44</v>
      </c>
      <c r="N11" s="2">
        <v>0</v>
      </c>
      <c r="O11" s="3">
        <f>SUM(C11:N11)</f>
        <v>253</v>
      </c>
      <c r="P11" s="11">
        <f>AVERAGE(C11:N11)</f>
        <v>25.3</v>
      </c>
      <c r="Q11" s="2">
        <v>277</v>
      </c>
      <c r="R11" s="10">
        <f t="shared" si="4"/>
        <v>0.9486166007905138</v>
      </c>
      <c r="S11" s="14">
        <f>SUM(Q11-O11)</f>
        <v>24</v>
      </c>
    </row>
    <row r="12" spans="1:19" x14ac:dyDescent="0.2">
      <c r="A12" s="2" t="s">
        <v>23</v>
      </c>
      <c r="B12" s="2">
        <v>2007</v>
      </c>
      <c r="C12" s="2">
        <v>5</v>
      </c>
      <c r="D12" s="2">
        <v>17</v>
      </c>
      <c r="E12" s="30"/>
      <c r="F12" s="2">
        <v>15</v>
      </c>
      <c r="G12" s="2">
        <v>22</v>
      </c>
      <c r="H12" s="2">
        <v>43</v>
      </c>
      <c r="I12" s="2">
        <v>14</v>
      </c>
      <c r="J12" s="2">
        <v>11</v>
      </c>
      <c r="K12" s="147"/>
      <c r="L12" s="147"/>
      <c r="M12" s="147"/>
      <c r="N12" s="147"/>
      <c r="O12" s="3">
        <f>SUM(C12:N12)</f>
        <v>127</v>
      </c>
      <c r="P12" s="11">
        <f>AVERAGE(C12:N12)</f>
        <v>18.142857142857142</v>
      </c>
      <c r="Q12" s="4">
        <v>127</v>
      </c>
      <c r="R12" s="34">
        <f t="shared" si="4"/>
        <v>0</v>
      </c>
      <c r="S12" s="35">
        <f>SUM(Q12-O12)</f>
        <v>0</v>
      </c>
    </row>
    <row r="13" spans="1:19" x14ac:dyDescent="0.2">
      <c r="A13" s="2" t="s">
        <v>24</v>
      </c>
      <c r="B13" s="2">
        <v>2007</v>
      </c>
      <c r="C13" s="2">
        <v>4</v>
      </c>
      <c r="D13" s="2">
        <v>9</v>
      </c>
      <c r="E13" s="30"/>
      <c r="F13" s="2">
        <v>14</v>
      </c>
      <c r="G13" s="30"/>
      <c r="H13" s="2">
        <v>10</v>
      </c>
      <c r="I13" s="2">
        <v>8</v>
      </c>
      <c r="J13" s="2">
        <v>3</v>
      </c>
      <c r="K13" s="2">
        <v>30</v>
      </c>
      <c r="L13" s="2">
        <v>27</v>
      </c>
      <c r="M13" s="2">
        <v>36</v>
      </c>
      <c r="N13" s="2">
        <v>40</v>
      </c>
      <c r="O13" s="3">
        <f>SUM(C13:N13)</f>
        <v>181</v>
      </c>
      <c r="P13" s="11">
        <f>AVERAGE(C13:N13)</f>
        <v>18.100000000000001</v>
      </c>
      <c r="Q13" s="4">
        <v>484</v>
      </c>
      <c r="R13" s="10">
        <f t="shared" si="4"/>
        <v>16.740331491712706</v>
      </c>
      <c r="S13" s="14">
        <f>SUM(Q13-O13)</f>
        <v>303</v>
      </c>
    </row>
    <row r="14" spans="1:19" x14ac:dyDescent="0.2">
      <c r="A14" s="2" t="s">
        <v>25</v>
      </c>
      <c r="B14" s="2">
        <v>2007</v>
      </c>
      <c r="C14" s="2">
        <v>13</v>
      </c>
      <c r="D14" s="2">
        <v>18</v>
      </c>
      <c r="E14" s="2">
        <v>21</v>
      </c>
      <c r="F14" s="2">
        <v>8</v>
      </c>
      <c r="G14" s="2">
        <v>25</v>
      </c>
      <c r="H14" s="2">
        <v>50</v>
      </c>
      <c r="I14" s="2">
        <v>38</v>
      </c>
      <c r="J14" s="2">
        <v>61</v>
      </c>
      <c r="K14" s="2">
        <v>58</v>
      </c>
      <c r="L14" s="2">
        <v>43</v>
      </c>
      <c r="M14" s="2">
        <v>28</v>
      </c>
      <c r="N14" s="33"/>
      <c r="O14" s="3">
        <f t="shared" ref="O14:O19" si="5">SUM(C14:N14)</f>
        <v>363</v>
      </c>
      <c r="P14" s="11">
        <f t="shared" ref="P14:P19" si="6">AVERAGE(C14:N14)</f>
        <v>33</v>
      </c>
      <c r="Q14" s="4">
        <v>363</v>
      </c>
      <c r="R14" s="34">
        <f t="shared" si="4"/>
        <v>0</v>
      </c>
      <c r="S14" s="35">
        <f t="shared" ref="S14:S19" si="7">SUM(Q14-O14)</f>
        <v>0</v>
      </c>
    </row>
    <row r="15" spans="1:19" x14ac:dyDescent="0.2">
      <c r="A15" s="2" t="s">
        <v>28</v>
      </c>
      <c r="B15" s="2">
        <v>2007</v>
      </c>
      <c r="C15" s="2">
        <v>11</v>
      </c>
      <c r="D15" s="2">
        <v>19</v>
      </c>
      <c r="E15" s="2">
        <v>19</v>
      </c>
      <c r="F15" s="2">
        <v>24</v>
      </c>
      <c r="G15" s="2">
        <v>12</v>
      </c>
      <c r="H15" s="33"/>
      <c r="I15" s="33"/>
      <c r="J15" s="33"/>
      <c r="K15" s="33"/>
      <c r="L15" s="33"/>
      <c r="M15" s="33"/>
      <c r="N15" s="33"/>
      <c r="O15" s="3">
        <f t="shared" si="5"/>
        <v>85</v>
      </c>
      <c r="P15" s="11">
        <f t="shared" si="6"/>
        <v>17</v>
      </c>
      <c r="Q15" s="4">
        <v>85</v>
      </c>
      <c r="R15" s="34">
        <f t="shared" si="4"/>
        <v>0</v>
      </c>
      <c r="S15" s="35">
        <f t="shared" si="7"/>
        <v>0</v>
      </c>
    </row>
    <row r="16" spans="1:19" x14ac:dyDescent="0.2">
      <c r="A16" s="2" t="s">
        <v>29</v>
      </c>
      <c r="B16" s="2">
        <v>2007</v>
      </c>
      <c r="C16" s="2">
        <v>6</v>
      </c>
      <c r="D16" s="2">
        <v>17</v>
      </c>
      <c r="E16" s="2">
        <v>13</v>
      </c>
      <c r="F16" s="2">
        <v>15</v>
      </c>
      <c r="G16" s="2">
        <v>10</v>
      </c>
      <c r="H16" s="33"/>
      <c r="I16" s="33"/>
      <c r="J16" s="33"/>
      <c r="K16" s="33"/>
      <c r="L16" s="33"/>
      <c r="M16" s="33"/>
      <c r="N16" s="33"/>
      <c r="O16" s="3">
        <f t="shared" si="5"/>
        <v>61</v>
      </c>
      <c r="P16" s="11">
        <f t="shared" si="6"/>
        <v>12.2</v>
      </c>
      <c r="Q16" s="4">
        <v>61</v>
      </c>
      <c r="R16" s="34">
        <f t="shared" si="4"/>
        <v>0</v>
      </c>
      <c r="S16" s="35">
        <f t="shared" si="7"/>
        <v>0</v>
      </c>
    </row>
    <row r="17" spans="1:19" x14ac:dyDescent="0.2">
      <c r="A17" s="2" t="s">
        <v>26</v>
      </c>
      <c r="B17" s="2">
        <v>2007</v>
      </c>
      <c r="C17" s="2">
        <v>3</v>
      </c>
      <c r="D17" s="2">
        <v>2</v>
      </c>
      <c r="E17" s="30"/>
      <c r="F17" s="30"/>
      <c r="G17" s="30"/>
      <c r="H17" s="2">
        <v>24</v>
      </c>
      <c r="I17" s="2">
        <v>21</v>
      </c>
      <c r="J17" s="2">
        <v>33</v>
      </c>
      <c r="K17" s="2">
        <v>27</v>
      </c>
      <c r="L17" s="33"/>
      <c r="M17" s="33"/>
      <c r="N17" s="33"/>
      <c r="O17" s="3">
        <f t="shared" si="5"/>
        <v>110</v>
      </c>
      <c r="P17" s="11">
        <f t="shared" si="6"/>
        <v>18.333333333333332</v>
      </c>
      <c r="Q17" s="4">
        <v>110</v>
      </c>
      <c r="R17" s="34">
        <f t="shared" si="4"/>
        <v>0</v>
      </c>
      <c r="S17" s="35">
        <f t="shared" si="7"/>
        <v>0</v>
      </c>
    </row>
    <row r="18" spans="1:19" x14ac:dyDescent="0.2">
      <c r="A18" s="2" t="s">
        <v>27</v>
      </c>
      <c r="B18" s="2">
        <v>2007</v>
      </c>
      <c r="C18" s="2">
        <v>3</v>
      </c>
      <c r="D18" s="2">
        <v>8</v>
      </c>
      <c r="E18" s="30"/>
      <c r="F18" s="2">
        <v>16</v>
      </c>
      <c r="G18" s="2">
        <v>24</v>
      </c>
      <c r="H18" s="2">
        <v>38</v>
      </c>
      <c r="I18" s="2">
        <v>13</v>
      </c>
      <c r="J18" s="2">
        <v>35</v>
      </c>
      <c r="K18" s="2">
        <v>24</v>
      </c>
      <c r="L18" s="2">
        <v>23</v>
      </c>
      <c r="M18" s="2">
        <v>79</v>
      </c>
      <c r="N18" s="2">
        <v>0</v>
      </c>
      <c r="O18" s="3">
        <f t="shared" si="5"/>
        <v>263</v>
      </c>
      <c r="P18" s="11">
        <f t="shared" si="6"/>
        <v>23.90909090909091</v>
      </c>
      <c r="Q18" s="4">
        <v>319</v>
      </c>
      <c r="R18" s="10">
        <f t="shared" si="4"/>
        <v>2.3422053231939164</v>
      </c>
      <c r="S18" s="14">
        <f t="shared" si="7"/>
        <v>56</v>
      </c>
    </row>
    <row r="19" spans="1:19" x14ac:dyDescent="0.2">
      <c r="A19" s="2" t="s">
        <v>30</v>
      </c>
      <c r="B19" s="2">
        <v>2007</v>
      </c>
      <c r="C19" s="2">
        <v>24</v>
      </c>
      <c r="D19" s="2">
        <v>11</v>
      </c>
      <c r="E19" s="29">
        <v>18</v>
      </c>
      <c r="F19" s="29">
        <v>33</v>
      </c>
      <c r="G19" s="36"/>
      <c r="H19" s="36"/>
      <c r="I19" s="36"/>
      <c r="J19" s="36"/>
      <c r="K19" s="36"/>
      <c r="L19" s="36"/>
      <c r="M19" s="36"/>
      <c r="N19" s="33"/>
      <c r="O19" s="3">
        <f t="shared" si="5"/>
        <v>86</v>
      </c>
      <c r="P19" s="11">
        <f t="shared" si="6"/>
        <v>21.5</v>
      </c>
      <c r="Q19" s="4">
        <v>86</v>
      </c>
      <c r="R19" s="34">
        <f t="shared" si="2"/>
        <v>0</v>
      </c>
      <c r="S19" s="35">
        <f t="shared" si="7"/>
        <v>0</v>
      </c>
    </row>
    <row r="20" spans="1:19" x14ac:dyDescent="0.2">
      <c r="A20" s="2" t="s">
        <v>31</v>
      </c>
      <c r="B20" s="16">
        <v>2007</v>
      </c>
      <c r="C20" s="16">
        <v>29</v>
      </c>
      <c r="D20" s="16">
        <v>48</v>
      </c>
      <c r="E20" s="16">
        <v>38</v>
      </c>
      <c r="F20" s="16">
        <v>16</v>
      </c>
      <c r="G20" s="37"/>
      <c r="H20" s="37"/>
      <c r="I20" s="37"/>
      <c r="J20" s="37"/>
      <c r="K20" s="37"/>
      <c r="L20" s="37"/>
      <c r="M20" s="37"/>
      <c r="N20" s="37"/>
      <c r="O20" s="17">
        <f>SUM(C20:N20)</f>
        <v>131</v>
      </c>
      <c r="P20" s="18">
        <f>AVERAGE(C20:N20)</f>
        <v>32.75</v>
      </c>
      <c r="Q20" s="19">
        <v>131</v>
      </c>
      <c r="R20" s="38">
        <f t="shared" ref="R20:R33" si="8">S20/P20</f>
        <v>0</v>
      </c>
      <c r="S20" s="39">
        <f t="shared" ref="S20:S34" si="9">SUM(Q20-O20)</f>
        <v>0</v>
      </c>
    </row>
    <row r="21" spans="1:19" x14ac:dyDescent="0.2">
      <c r="A21" s="2" t="s">
        <v>22</v>
      </c>
      <c r="B21" s="16">
        <v>2008</v>
      </c>
      <c r="C21" s="32"/>
      <c r="D21" s="32"/>
      <c r="E21" s="32"/>
      <c r="F21" s="32"/>
      <c r="G21" s="32"/>
      <c r="H21" s="32"/>
      <c r="I21" s="32"/>
      <c r="J21" s="32"/>
      <c r="K21" s="32"/>
      <c r="L21" s="32"/>
      <c r="M21" s="32"/>
      <c r="N21" s="16">
        <v>0</v>
      </c>
      <c r="O21" s="17">
        <f>SUM(C21:N21)</f>
        <v>0</v>
      </c>
      <c r="P21" s="18">
        <f>AVERAGE(C21:N21)</f>
        <v>0</v>
      </c>
      <c r="Q21" s="16">
        <v>827</v>
      </c>
      <c r="R21" s="20" t="e">
        <f t="shared" si="8"/>
        <v>#DIV/0!</v>
      </c>
      <c r="S21" s="21">
        <f t="shared" si="9"/>
        <v>827</v>
      </c>
    </row>
    <row r="22" spans="1:19" x14ac:dyDescent="0.2">
      <c r="A22" s="2" t="s">
        <v>21</v>
      </c>
      <c r="B22" s="16">
        <v>2008</v>
      </c>
      <c r="C22" s="32"/>
      <c r="D22" s="32"/>
      <c r="E22" s="32"/>
      <c r="F22" s="32"/>
      <c r="G22" s="32"/>
      <c r="H22" s="32"/>
      <c r="I22" s="32"/>
      <c r="J22" s="32"/>
      <c r="K22" s="32"/>
      <c r="L22" s="32"/>
      <c r="M22" s="32"/>
      <c r="N22" s="16">
        <v>0</v>
      </c>
      <c r="O22" s="17">
        <f>SUM(C22:N22)</f>
        <v>0</v>
      </c>
      <c r="P22" s="18">
        <f>AVERAGE(C22:N22)</f>
        <v>0</v>
      </c>
      <c r="Q22" s="16">
        <v>342</v>
      </c>
      <c r="R22" s="20" t="e">
        <f t="shared" si="8"/>
        <v>#DIV/0!</v>
      </c>
      <c r="S22" s="21">
        <f t="shared" si="9"/>
        <v>342</v>
      </c>
    </row>
    <row r="23" spans="1:19" x14ac:dyDescent="0.2">
      <c r="A23" s="2" t="s">
        <v>23</v>
      </c>
      <c r="B23" s="16">
        <v>2008</v>
      </c>
      <c r="C23" s="32"/>
      <c r="D23" s="32"/>
      <c r="E23" s="32"/>
      <c r="F23" s="32"/>
      <c r="G23" s="32"/>
      <c r="H23" s="32"/>
      <c r="I23" s="16">
        <v>5</v>
      </c>
      <c r="J23" s="16">
        <v>30</v>
      </c>
      <c r="K23" s="16">
        <v>30</v>
      </c>
      <c r="L23" s="16">
        <v>37</v>
      </c>
      <c r="M23" s="16">
        <v>52</v>
      </c>
      <c r="N23" s="16">
        <v>21</v>
      </c>
      <c r="O23" s="17">
        <f t="shared" ref="O23:O33" si="10">SUM(C23:N23)</f>
        <v>175</v>
      </c>
      <c r="P23" s="18">
        <f t="shared" ref="P23:P33" si="11">AVERAGE(C23:N23)</f>
        <v>29.166666666666668</v>
      </c>
      <c r="Q23" s="19">
        <v>524</v>
      </c>
      <c r="R23" s="20">
        <f t="shared" si="8"/>
        <v>11.965714285714284</v>
      </c>
      <c r="S23" s="21">
        <f t="shared" si="9"/>
        <v>349</v>
      </c>
    </row>
    <row r="24" spans="1:19" x14ac:dyDescent="0.2">
      <c r="A24" s="2" t="s">
        <v>24</v>
      </c>
      <c r="B24" s="16">
        <v>2008</v>
      </c>
      <c r="C24" s="32"/>
      <c r="D24" s="32"/>
      <c r="E24" s="32"/>
      <c r="F24" s="32"/>
      <c r="G24" s="32"/>
      <c r="H24" s="32"/>
      <c r="I24" s="32"/>
      <c r="J24" s="32"/>
      <c r="K24" s="32"/>
      <c r="L24" s="32"/>
      <c r="M24" s="32"/>
      <c r="N24" s="16">
        <v>0</v>
      </c>
      <c r="O24" s="17">
        <f>SUM(C24:N24)</f>
        <v>0</v>
      </c>
      <c r="P24" s="18">
        <f>AVERAGE(C24:N24)</f>
        <v>0</v>
      </c>
      <c r="Q24" s="19">
        <v>230</v>
      </c>
      <c r="R24" s="20" t="e">
        <f t="shared" si="8"/>
        <v>#DIV/0!</v>
      </c>
      <c r="S24" s="21">
        <f t="shared" si="9"/>
        <v>230</v>
      </c>
    </row>
    <row r="25" spans="1:19" x14ac:dyDescent="0.2">
      <c r="A25" s="2" t="s">
        <v>25</v>
      </c>
      <c r="B25" s="16">
        <v>2008</v>
      </c>
      <c r="C25" s="32"/>
      <c r="D25" s="32"/>
      <c r="E25" s="32"/>
      <c r="F25" s="32"/>
      <c r="G25" s="32"/>
      <c r="H25" s="16">
        <v>48</v>
      </c>
      <c r="I25" s="32"/>
      <c r="J25" s="32"/>
      <c r="K25" s="32"/>
      <c r="L25" s="200"/>
      <c r="M25" s="16">
        <v>50</v>
      </c>
      <c r="N25" s="16">
        <v>48</v>
      </c>
      <c r="O25" s="17">
        <f t="shared" si="10"/>
        <v>146</v>
      </c>
      <c r="P25" s="18">
        <f t="shared" si="11"/>
        <v>48.666666666666664</v>
      </c>
      <c r="Q25" s="19">
        <v>700</v>
      </c>
      <c r="R25" s="41">
        <f t="shared" si="8"/>
        <v>11.383561643835616</v>
      </c>
      <c r="S25" s="21">
        <f t="shared" si="9"/>
        <v>554</v>
      </c>
    </row>
    <row r="26" spans="1:19" x14ac:dyDescent="0.2">
      <c r="A26" s="2" t="s">
        <v>28</v>
      </c>
      <c r="B26" s="16">
        <v>2008</v>
      </c>
      <c r="C26" s="32"/>
      <c r="D26" s="32"/>
      <c r="E26" s="32"/>
      <c r="F26" s="32"/>
      <c r="G26" s="32"/>
      <c r="H26" s="16">
        <v>32</v>
      </c>
      <c r="I26" s="16">
        <v>33</v>
      </c>
      <c r="J26" s="16">
        <v>24</v>
      </c>
      <c r="K26" s="16">
        <v>23</v>
      </c>
      <c r="L26" s="16">
        <v>22</v>
      </c>
      <c r="M26" s="16">
        <v>27</v>
      </c>
      <c r="N26" s="16">
        <v>16</v>
      </c>
      <c r="O26" s="17">
        <f t="shared" si="10"/>
        <v>177</v>
      </c>
      <c r="P26" s="18">
        <f t="shared" si="11"/>
        <v>25.285714285714285</v>
      </c>
      <c r="Q26" s="19">
        <v>350</v>
      </c>
      <c r="R26" s="20">
        <f t="shared" si="8"/>
        <v>6.8418079096045199</v>
      </c>
      <c r="S26" s="21">
        <f t="shared" si="9"/>
        <v>173</v>
      </c>
    </row>
    <row r="27" spans="1:19" x14ac:dyDescent="0.2">
      <c r="A27" s="2" t="s">
        <v>29</v>
      </c>
      <c r="B27" s="16">
        <v>2008</v>
      </c>
      <c r="C27" s="32"/>
      <c r="D27" s="32"/>
      <c r="E27" s="32"/>
      <c r="F27" s="32"/>
      <c r="G27" s="32"/>
      <c r="H27" s="32"/>
      <c r="I27" s="32"/>
      <c r="J27" s="32"/>
      <c r="K27" s="32"/>
      <c r="L27" s="16">
        <v>45</v>
      </c>
      <c r="M27" s="16">
        <v>16</v>
      </c>
      <c r="N27" s="16">
        <v>17</v>
      </c>
      <c r="O27" s="17">
        <f>SUM(C27:N27)</f>
        <v>78</v>
      </c>
      <c r="P27" s="18">
        <f>AVERAGE(C27:N27)</f>
        <v>26</v>
      </c>
      <c r="Q27" s="19">
        <v>154</v>
      </c>
      <c r="R27" s="20">
        <f t="shared" si="8"/>
        <v>2.9230769230769229</v>
      </c>
      <c r="S27" s="21">
        <f t="shared" si="9"/>
        <v>76</v>
      </c>
    </row>
    <row r="28" spans="1:19" x14ac:dyDescent="0.2">
      <c r="A28" s="2" t="s">
        <v>26</v>
      </c>
      <c r="B28" s="16">
        <v>2008</v>
      </c>
      <c r="C28" s="32"/>
      <c r="D28" s="32"/>
      <c r="E28" s="32"/>
      <c r="F28" s="32"/>
      <c r="G28" s="32"/>
      <c r="H28" s="32"/>
      <c r="I28" s="32"/>
      <c r="J28" s="16">
        <v>7</v>
      </c>
      <c r="K28" s="16">
        <v>10</v>
      </c>
      <c r="L28" s="16">
        <v>30</v>
      </c>
      <c r="M28" s="16">
        <v>46</v>
      </c>
      <c r="N28" s="16">
        <v>17</v>
      </c>
      <c r="O28" s="17">
        <f t="shared" si="10"/>
        <v>110</v>
      </c>
      <c r="P28" s="18">
        <f t="shared" si="11"/>
        <v>22</v>
      </c>
      <c r="Q28" s="19">
        <v>372</v>
      </c>
      <c r="R28" s="20">
        <f t="shared" si="8"/>
        <v>11.909090909090908</v>
      </c>
      <c r="S28" s="21">
        <f t="shared" si="9"/>
        <v>262</v>
      </c>
    </row>
    <row r="29" spans="1:19" x14ac:dyDescent="0.2">
      <c r="A29" s="2" t="s">
        <v>27</v>
      </c>
      <c r="B29" s="16">
        <v>2008</v>
      </c>
      <c r="C29" s="32"/>
      <c r="D29" s="32"/>
      <c r="E29" s="32"/>
      <c r="F29" s="32"/>
      <c r="G29" s="32"/>
      <c r="H29" s="32"/>
      <c r="I29" s="32"/>
      <c r="J29" s="32"/>
      <c r="K29" s="16">
        <v>4</v>
      </c>
      <c r="L29" s="16">
        <v>8</v>
      </c>
      <c r="M29" s="16">
        <v>2</v>
      </c>
      <c r="N29" s="16">
        <v>0</v>
      </c>
      <c r="O29" s="17">
        <f>SUM(C29:N29)</f>
        <v>14</v>
      </c>
      <c r="P29" s="18">
        <f>AVERAGE(C29:N29)</f>
        <v>3.5</v>
      </c>
      <c r="Q29" s="19">
        <v>247</v>
      </c>
      <c r="R29" s="20">
        <f>S29/P29</f>
        <v>66.571428571428569</v>
      </c>
      <c r="S29" s="21">
        <f t="shared" si="9"/>
        <v>233</v>
      </c>
    </row>
    <row r="30" spans="1:19" x14ac:dyDescent="0.2">
      <c r="A30" s="2" t="s">
        <v>32</v>
      </c>
      <c r="B30" s="16">
        <v>2008</v>
      </c>
      <c r="C30" s="32"/>
      <c r="D30" s="32"/>
      <c r="E30" s="32"/>
      <c r="F30" s="32"/>
      <c r="G30" s="32"/>
      <c r="H30" s="16">
        <v>20</v>
      </c>
      <c r="I30" s="16">
        <v>2</v>
      </c>
      <c r="J30" s="16">
        <v>10</v>
      </c>
      <c r="K30" s="16">
        <v>7</v>
      </c>
      <c r="L30" s="16">
        <v>9</v>
      </c>
      <c r="M30" s="16">
        <v>7</v>
      </c>
      <c r="N30" s="16">
        <v>4</v>
      </c>
      <c r="O30" s="17">
        <f t="shared" si="10"/>
        <v>59</v>
      </c>
      <c r="P30" s="18">
        <f t="shared" si="11"/>
        <v>8.4285714285714288</v>
      </c>
      <c r="Q30" s="19">
        <v>180</v>
      </c>
      <c r="R30" s="20">
        <f t="shared" si="8"/>
        <v>14.35593220338983</v>
      </c>
      <c r="S30" s="21">
        <f t="shared" si="9"/>
        <v>121</v>
      </c>
    </row>
    <row r="31" spans="1:19" x14ac:dyDescent="0.2">
      <c r="A31" s="2" t="s">
        <v>33</v>
      </c>
      <c r="B31" s="16">
        <v>2008</v>
      </c>
      <c r="C31" s="32"/>
      <c r="D31" s="32"/>
      <c r="E31" s="31">
        <v>101</v>
      </c>
      <c r="F31" s="31">
        <v>42</v>
      </c>
      <c r="G31" s="31">
        <v>53</v>
      </c>
      <c r="H31" s="31">
        <v>57</v>
      </c>
      <c r="I31" s="31">
        <v>38</v>
      </c>
      <c r="J31" s="31">
        <v>21</v>
      </c>
      <c r="K31" s="31">
        <v>36</v>
      </c>
      <c r="L31" s="31">
        <v>34</v>
      </c>
      <c r="M31" s="31">
        <v>38</v>
      </c>
      <c r="N31" s="16">
        <v>24</v>
      </c>
      <c r="O31" s="17">
        <f t="shared" si="10"/>
        <v>444</v>
      </c>
      <c r="P31" s="18">
        <f t="shared" si="11"/>
        <v>44.4</v>
      </c>
      <c r="Q31" s="19">
        <v>515</v>
      </c>
      <c r="R31" s="20">
        <f t="shared" si="8"/>
        <v>1.5990990990990992</v>
      </c>
      <c r="S31" s="21">
        <f t="shared" si="9"/>
        <v>71</v>
      </c>
    </row>
    <row r="32" spans="1:19" x14ac:dyDescent="0.2">
      <c r="A32" s="2" t="s">
        <v>30</v>
      </c>
      <c r="B32" s="16">
        <v>2008</v>
      </c>
      <c r="C32" s="32"/>
      <c r="D32" s="32"/>
      <c r="E32" s="31">
        <v>8</v>
      </c>
      <c r="F32" s="40"/>
      <c r="G32" s="31">
        <v>41</v>
      </c>
      <c r="H32" s="31">
        <v>25</v>
      </c>
      <c r="I32" s="31">
        <v>24</v>
      </c>
      <c r="J32" s="31">
        <v>29</v>
      </c>
      <c r="K32" s="31">
        <v>24</v>
      </c>
      <c r="L32" s="31">
        <v>182</v>
      </c>
      <c r="M32" s="31">
        <v>25</v>
      </c>
      <c r="N32" s="16">
        <v>16</v>
      </c>
      <c r="O32" s="17">
        <f t="shared" si="10"/>
        <v>374</v>
      </c>
      <c r="P32" s="18">
        <f t="shared" si="11"/>
        <v>41.555555555555557</v>
      </c>
      <c r="Q32" s="19">
        <v>449</v>
      </c>
      <c r="R32" s="20">
        <f t="shared" si="8"/>
        <v>1.8048128342245988</v>
      </c>
      <c r="S32" s="21">
        <f t="shared" si="9"/>
        <v>75</v>
      </c>
    </row>
    <row r="33" spans="1:19" x14ac:dyDescent="0.2">
      <c r="A33" s="2" t="s">
        <v>34</v>
      </c>
      <c r="B33" s="16">
        <v>2008</v>
      </c>
      <c r="C33" s="32"/>
      <c r="D33" s="32"/>
      <c r="E33" s="40"/>
      <c r="F33" s="40"/>
      <c r="G33" s="40"/>
      <c r="H33" s="31">
        <v>75</v>
      </c>
      <c r="I33" s="31">
        <v>10</v>
      </c>
      <c r="J33" s="31">
        <v>26</v>
      </c>
      <c r="K33" s="31">
        <v>28</v>
      </c>
      <c r="L33" s="31">
        <v>19</v>
      </c>
      <c r="M33" s="31">
        <v>36</v>
      </c>
      <c r="N33" s="16">
        <v>16</v>
      </c>
      <c r="O33" s="17">
        <f t="shared" si="10"/>
        <v>210</v>
      </c>
      <c r="P33" s="18">
        <f t="shared" si="11"/>
        <v>30</v>
      </c>
      <c r="Q33" s="19">
        <v>340</v>
      </c>
      <c r="R33" s="20">
        <f t="shared" si="8"/>
        <v>4.333333333333333</v>
      </c>
      <c r="S33" s="21">
        <f t="shared" si="9"/>
        <v>130</v>
      </c>
    </row>
    <row r="34" spans="1:19" x14ac:dyDescent="0.2">
      <c r="A34" s="2" t="s">
        <v>31</v>
      </c>
      <c r="B34" s="16">
        <v>2008</v>
      </c>
      <c r="C34" s="32"/>
      <c r="D34" s="32"/>
      <c r="E34" s="40"/>
      <c r="F34" s="40"/>
      <c r="G34" s="31">
        <v>69</v>
      </c>
      <c r="H34" s="31">
        <v>64</v>
      </c>
      <c r="I34" s="31">
        <v>17</v>
      </c>
      <c r="J34" s="31">
        <v>52</v>
      </c>
      <c r="K34" s="31">
        <v>53</v>
      </c>
      <c r="L34" s="31">
        <v>45</v>
      </c>
      <c r="M34" s="31">
        <v>52</v>
      </c>
      <c r="N34" s="16">
        <v>29</v>
      </c>
      <c r="O34" s="17">
        <f>SUM(C34:N34)</f>
        <v>381</v>
      </c>
      <c r="P34" s="18">
        <f>AVERAGE(C34:N34)</f>
        <v>47.625</v>
      </c>
      <c r="Q34" s="19">
        <v>653</v>
      </c>
      <c r="R34" s="20">
        <f>S34/P34</f>
        <v>5.7112860892388451</v>
      </c>
      <c r="S34" s="21">
        <f t="shared" si="9"/>
        <v>272</v>
      </c>
    </row>
    <row r="35" spans="1:19" x14ac:dyDescent="0.2">
      <c r="A35" s="15"/>
      <c r="B35" s="26"/>
      <c r="C35" s="26"/>
      <c r="D35" s="26"/>
      <c r="E35" s="26"/>
      <c r="F35" s="26"/>
      <c r="G35" s="26"/>
      <c r="H35" s="26"/>
      <c r="I35" s="26"/>
      <c r="J35" s="26"/>
      <c r="K35" s="26"/>
      <c r="L35" s="26"/>
      <c r="M35" s="26"/>
      <c r="N35" s="26"/>
      <c r="O35" s="26"/>
      <c r="P35" s="27"/>
      <c r="Q35" s="26"/>
      <c r="R35" s="201" t="s">
        <v>35</v>
      </c>
      <c r="S35" s="28"/>
    </row>
    <row r="36" spans="1:19" x14ac:dyDescent="0.2">
      <c r="A36" s="2" t="s">
        <v>16</v>
      </c>
      <c r="B36" s="2">
        <v>2006</v>
      </c>
      <c r="C36" s="2">
        <f>SUM(C3:C34)</f>
        <v>242</v>
      </c>
      <c r="D36" s="2">
        <f>SUM(D3:D10)</f>
        <v>146</v>
      </c>
      <c r="E36" s="2">
        <f>SUM(E3:E9)</f>
        <v>147</v>
      </c>
      <c r="F36" s="2">
        <f>SUM(F3:F16)</f>
        <v>230</v>
      </c>
      <c r="G36" s="2">
        <f>SUM(G3:G12)</f>
        <v>238</v>
      </c>
      <c r="H36" s="2">
        <f>SUM(H3:H14)</f>
        <v>286</v>
      </c>
      <c r="I36" s="2">
        <f t="shared" ref="I36:N36" si="12">SUM(I3:I9)</f>
        <v>15</v>
      </c>
      <c r="J36" s="2">
        <f t="shared" si="12"/>
        <v>68</v>
      </c>
      <c r="K36" s="2">
        <f t="shared" si="12"/>
        <v>29</v>
      </c>
      <c r="L36" s="2">
        <f t="shared" si="12"/>
        <v>20</v>
      </c>
      <c r="M36" s="2">
        <f t="shared" si="12"/>
        <v>59</v>
      </c>
      <c r="N36" s="2">
        <f t="shared" si="12"/>
        <v>28</v>
      </c>
      <c r="O36" s="3">
        <f>SUM(C36:N36)</f>
        <v>1508</v>
      </c>
      <c r="P36" s="11">
        <f>O36/4</f>
        <v>377</v>
      </c>
      <c r="Q36" s="2">
        <f>SUM(Q3:Q9)</f>
        <v>1097</v>
      </c>
      <c r="R36" s="10">
        <f>Q36/P36</f>
        <v>2.909814323607427</v>
      </c>
      <c r="S36" s="2"/>
    </row>
    <row r="37" spans="1:19" x14ac:dyDescent="0.2">
      <c r="A37" s="16"/>
      <c r="B37" s="16">
        <v>2007</v>
      </c>
      <c r="C37" s="16">
        <f>SUM(C10:C20)</f>
        <v>123</v>
      </c>
      <c r="D37" s="16">
        <f t="shared" ref="D37:N37" si="13">SUM(D10:D20)</f>
        <v>162</v>
      </c>
      <c r="E37" s="16">
        <f t="shared" si="13"/>
        <v>109</v>
      </c>
      <c r="F37" s="16">
        <f t="shared" si="13"/>
        <v>152</v>
      </c>
      <c r="G37" s="16">
        <f t="shared" si="13"/>
        <v>132</v>
      </c>
      <c r="H37" s="16">
        <f t="shared" si="13"/>
        <v>216</v>
      </c>
      <c r="I37" s="16">
        <f t="shared" si="13"/>
        <v>121</v>
      </c>
      <c r="J37" s="16">
        <f t="shared" si="13"/>
        <v>178</v>
      </c>
      <c r="K37" s="16">
        <f t="shared" si="13"/>
        <v>171</v>
      </c>
      <c r="L37" s="16">
        <f t="shared" si="13"/>
        <v>129</v>
      </c>
      <c r="M37" s="16">
        <f t="shared" si="13"/>
        <v>193</v>
      </c>
      <c r="N37" s="16">
        <f t="shared" si="13"/>
        <v>40</v>
      </c>
      <c r="O37" s="17">
        <f>SUM(C37:N37)</f>
        <v>1726</v>
      </c>
      <c r="P37" s="18">
        <f>O37/4</f>
        <v>431.5</v>
      </c>
      <c r="Q37" s="16">
        <f>SUM(Q12:Q34)</f>
        <v>7649</v>
      </c>
      <c r="R37" s="20">
        <f>Q37/P37</f>
        <v>17.726535341830822</v>
      </c>
      <c r="S37" s="16"/>
    </row>
    <row r="38" spans="1:19" x14ac:dyDescent="0.2">
      <c r="A38" s="2"/>
      <c r="B38" s="2">
        <v>2008</v>
      </c>
      <c r="C38" s="16">
        <f>SUM(C31:C34)</f>
        <v>0</v>
      </c>
      <c r="D38" s="16">
        <f t="shared" ref="D38:N38" si="14">SUM(D31:D34)</f>
        <v>0</v>
      </c>
      <c r="E38" s="16">
        <f t="shared" si="14"/>
        <v>109</v>
      </c>
      <c r="F38" s="16">
        <f t="shared" si="14"/>
        <v>42</v>
      </c>
      <c r="G38" s="16">
        <f t="shared" si="14"/>
        <v>163</v>
      </c>
      <c r="H38" s="16">
        <f t="shared" si="14"/>
        <v>221</v>
      </c>
      <c r="I38" s="16">
        <f t="shared" si="14"/>
        <v>89</v>
      </c>
      <c r="J38" s="16">
        <f t="shared" si="14"/>
        <v>128</v>
      </c>
      <c r="K38" s="16">
        <f t="shared" si="14"/>
        <v>141</v>
      </c>
      <c r="L38" s="16">
        <f t="shared" si="14"/>
        <v>280</v>
      </c>
      <c r="M38" s="16">
        <f t="shared" si="14"/>
        <v>151</v>
      </c>
      <c r="N38" s="16">
        <f t="shared" si="14"/>
        <v>85</v>
      </c>
      <c r="O38" s="17">
        <f>SUM(C38:N38)</f>
        <v>1409</v>
      </c>
      <c r="P38" s="18">
        <f>O38/4</f>
        <v>352.25</v>
      </c>
      <c r="Q38" s="16">
        <f>SUM(Q31:Q34)</f>
        <v>1957</v>
      </c>
      <c r="R38" s="20">
        <f>Q38/P38</f>
        <v>5.555713271823989</v>
      </c>
      <c r="S38" s="2"/>
    </row>
    <row r="39" spans="1:19" x14ac:dyDescent="0.2">
      <c r="A39" s="26"/>
      <c r="B39" s="26"/>
      <c r="C39" s="26"/>
      <c r="D39" s="26"/>
      <c r="E39" s="26"/>
      <c r="F39" s="26"/>
      <c r="G39" s="26"/>
      <c r="H39" s="26"/>
      <c r="I39" s="26"/>
      <c r="J39" s="26"/>
      <c r="K39" s="26"/>
      <c r="L39" s="26"/>
      <c r="M39" s="26"/>
      <c r="N39" s="26"/>
      <c r="O39" s="26"/>
      <c r="P39" s="27"/>
      <c r="Q39" s="26"/>
      <c r="R39" s="201"/>
      <c r="S39" s="26"/>
    </row>
    <row r="40" spans="1:19" x14ac:dyDescent="0.2">
      <c r="A40" s="22" t="s">
        <v>36</v>
      </c>
      <c r="B40" s="22"/>
      <c r="C40" s="22">
        <f>SUM(C3:C6,C8:C13, C16:C18)</f>
        <v>143</v>
      </c>
      <c r="D40" s="22">
        <f t="shared" ref="D40:N40" si="15">SUM(D3:D6,D8:D13, D16:D18)</f>
        <v>174</v>
      </c>
      <c r="E40" s="22">
        <f t="shared" si="15"/>
        <v>133</v>
      </c>
      <c r="F40" s="22">
        <f t="shared" si="15"/>
        <v>181</v>
      </c>
      <c r="G40" s="22">
        <f t="shared" si="15"/>
        <v>224</v>
      </c>
      <c r="H40" s="22">
        <f t="shared" si="15"/>
        <v>267</v>
      </c>
      <c r="I40" s="22">
        <f t="shared" si="15"/>
        <v>98</v>
      </c>
      <c r="J40" s="22">
        <f t="shared" si="15"/>
        <v>185</v>
      </c>
      <c r="K40" s="22">
        <f t="shared" si="15"/>
        <v>142</v>
      </c>
      <c r="L40" s="22">
        <f t="shared" si="15"/>
        <v>106</v>
      </c>
      <c r="M40" s="22">
        <f t="shared" si="15"/>
        <v>224</v>
      </c>
      <c r="N40" s="22">
        <f t="shared" si="15"/>
        <v>68</v>
      </c>
      <c r="O40" s="23">
        <f>SUM(C40:N40)</f>
        <v>1945</v>
      </c>
      <c r="P40" s="24">
        <f>O40/4</f>
        <v>486.25</v>
      </c>
      <c r="Q40" s="22">
        <f>SUM(Q3:Q6, Q8:Q13, Q16:Q18)</f>
        <v>2869</v>
      </c>
      <c r="R40" s="25">
        <f>Q40/P40</f>
        <v>5.90025706940874</v>
      </c>
      <c r="S40" s="22"/>
    </row>
    <row r="41" spans="1:19" x14ac:dyDescent="0.2">
      <c r="A41" s="2" t="s">
        <v>37</v>
      </c>
      <c r="B41" s="2"/>
      <c r="C41" s="2">
        <f t="shared" ref="C41:N41" si="16">SUM(C7, C14:C15, C19:C34)</f>
        <v>99</v>
      </c>
      <c r="D41" s="2">
        <f t="shared" si="16"/>
        <v>121</v>
      </c>
      <c r="E41" s="2">
        <f t="shared" si="16"/>
        <v>232</v>
      </c>
      <c r="F41" s="2">
        <f t="shared" si="16"/>
        <v>156</v>
      </c>
      <c r="G41" s="2">
        <f t="shared" si="16"/>
        <v>248</v>
      </c>
      <c r="H41" s="2">
        <f t="shared" si="16"/>
        <v>402</v>
      </c>
      <c r="I41" s="2">
        <f t="shared" si="16"/>
        <v>167</v>
      </c>
      <c r="J41" s="2">
        <f t="shared" si="16"/>
        <v>260</v>
      </c>
      <c r="K41" s="2">
        <f t="shared" si="16"/>
        <v>273</v>
      </c>
      <c r="L41" s="2">
        <f t="shared" si="16"/>
        <v>474</v>
      </c>
      <c r="M41" s="2">
        <f t="shared" si="16"/>
        <v>379</v>
      </c>
      <c r="N41" s="2">
        <f t="shared" si="16"/>
        <v>208</v>
      </c>
      <c r="O41" s="3">
        <f>SUM(C41:N41)</f>
        <v>3019</v>
      </c>
      <c r="P41" s="11">
        <f>O41/4</f>
        <v>754.75</v>
      </c>
      <c r="Q41" s="2">
        <f>SUM(Q7,Q14:Q15, Q19:Q34)</f>
        <v>6734</v>
      </c>
      <c r="R41" s="10">
        <f>Q41/P41</f>
        <v>8.9221596555150704</v>
      </c>
      <c r="S41" s="2"/>
    </row>
  </sheetData>
  <mergeCells count="1">
    <mergeCell ref="A1:O1"/>
  </mergeCells>
  <phoneticPr fontId="0" type="noConversion"/>
  <pageMargins left="0.75" right="0.75" top="1" bottom="1" header="0.5" footer="0.5"/>
  <pageSetup scale="84"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E95"/>
  <sheetViews>
    <sheetView topLeftCell="A11" zoomScale="93" zoomScaleNormal="90" workbookViewId="0">
      <selection activeCell="H8" sqref="H8"/>
    </sheetView>
  </sheetViews>
  <sheetFormatPr defaultColWidth="9.28515625" defaultRowHeight="15" x14ac:dyDescent="0.2"/>
  <cols>
    <col min="1" max="2" width="9.28515625" style="297"/>
    <col min="3" max="3" width="29" style="297" customWidth="1"/>
    <col min="4" max="4" width="9.42578125" style="297" customWidth="1"/>
    <col min="5" max="6" width="8.5703125" style="297" customWidth="1"/>
    <col min="7" max="7" width="7.28515625" style="297" customWidth="1"/>
    <col min="8" max="8" width="6.28515625" style="297" customWidth="1"/>
    <col min="9" max="10" width="7.28515625" style="297" customWidth="1"/>
    <col min="11" max="11" width="8.28515625" style="297" customWidth="1"/>
    <col min="12" max="12" width="6.7109375" style="297" customWidth="1"/>
    <col min="13" max="13" width="8.42578125" style="297" customWidth="1"/>
    <col min="14" max="18" width="8.7109375" style="297" customWidth="1"/>
    <col min="19" max="19" width="10.28515625" style="297" customWidth="1"/>
    <col min="20" max="20" width="8.7109375" style="297" customWidth="1"/>
    <col min="21" max="21" width="8.7109375" style="298" customWidth="1"/>
    <col min="22" max="22" width="9.28515625" style="297"/>
    <col min="23" max="23" width="15.7109375" style="297" customWidth="1"/>
    <col min="24" max="27" width="9.28515625" style="297"/>
    <col min="28" max="28" width="22.7109375" style="297" customWidth="1"/>
    <col min="29" max="29" width="10.28515625" style="297" customWidth="1"/>
    <col min="30" max="30" width="46.28515625" style="297" customWidth="1"/>
    <col min="31" max="32" width="19.42578125" style="297" customWidth="1"/>
    <col min="33" max="16384" width="9.28515625" style="297"/>
  </cols>
  <sheetData>
    <row r="1" spans="1:31" ht="20.25" x14ac:dyDescent="0.3">
      <c r="A1" s="220"/>
      <c r="B1" s="220"/>
      <c r="C1" s="299" t="s">
        <v>129</v>
      </c>
      <c r="D1" s="220"/>
      <c r="E1" s="221"/>
      <c r="F1" s="221"/>
      <c r="G1" s="221"/>
      <c r="H1" s="221"/>
      <c r="I1" s="221"/>
      <c r="J1" s="221"/>
      <c r="K1" s="221"/>
      <c r="L1" s="221"/>
      <c r="M1" s="221"/>
      <c r="N1" s="221"/>
      <c r="O1" s="221"/>
      <c r="P1" s="221"/>
      <c r="Q1" s="221"/>
      <c r="R1" s="220"/>
      <c r="S1" s="220"/>
      <c r="T1" s="220"/>
      <c r="U1" s="221"/>
      <c r="V1" s="220"/>
      <c r="W1" s="220"/>
      <c r="X1" s="220"/>
      <c r="Y1" s="220"/>
      <c r="Z1" s="220"/>
      <c r="AA1" s="220"/>
      <c r="AB1" s="220"/>
      <c r="AC1" s="220"/>
      <c r="AD1" s="220"/>
      <c r="AE1" s="220"/>
    </row>
    <row r="2" spans="1:31" ht="16.5" thickBot="1" x14ac:dyDescent="0.25">
      <c r="A2" s="220"/>
      <c r="B2" s="220"/>
      <c r="C2" s="220"/>
      <c r="D2" s="220"/>
      <c r="E2" s="169"/>
      <c r="F2" s="221"/>
      <c r="G2" s="221"/>
      <c r="H2" s="221"/>
      <c r="I2" s="221"/>
      <c r="J2" s="221"/>
      <c r="K2" s="221"/>
      <c r="L2" s="221"/>
      <c r="M2" s="221"/>
      <c r="N2" s="221"/>
      <c r="O2" s="221"/>
      <c r="P2" s="221"/>
      <c r="Q2" s="221"/>
      <c r="R2" s="220"/>
      <c r="S2" s="220"/>
      <c r="T2" s="220"/>
      <c r="U2" s="221"/>
      <c r="V2" s="220"/>
      <c r="W2" s="220"/>
      <c r="X2" s="220"/>
      <c r="Y2" s="220"/>
      <c r="Z2" s="220"/>
      <c r="AA2" s="220"/>
      <c r="AB2" s="220"/>
      <c r="AC2" s="220"/>
      <c r="AD2" s="220"/>
      <c r="AE2" s="220"/>
    </row>
    <row r="3" spans="1:31" ht="16.5" thickBot="1" x14ac:dyDescent="0.3">
      <c r="A3" s="222"/>
      <c r="B3" s="223" t="s">
        <v>0</v>
      </c>
      <c r="C3" s="224"/>
      <c r="D3" s="224"/>
      <c r="E3" s="327"/>
      <c r="F3" s="327"/>
      <c r="G3" s="327"/>
      <c r="H3" s="327"/>
      <c r="I3" s="327"/>
      <c r="J3" s="327"/>
      <c r="K3" s="327"/>
      <c r="L3" s="327"/>
      <c r="M3" s="327"/>
      <c r="N3" s="327"/>
      <c r="O3" s="327"/>
      <c r="P3" s="327"/>
      <c r="Q3" s="327"/>
      <c r="R3" s="224"/>
      <c r="S3" s="224"/>
      <c r="T3" s="224"/>
      <c r="U3" s="300"/>
      <c r="V3" s="223" t="s">
        <v>0</v>
      </c>
      <c r="W3" s="224"/>
      <c r="X3" s="220"/>
      <c r="Y3" s="220"/>
      <c r="Z3" s="220"/>
      <c r="AA3" s="220"/>
      <c r="AB3" s="220"/>
      <c r="AC3" s="220"/>
      <c r="AD3" s="221"/>
      <c r="AE3" s="220"/>
    </row>
    <row r="4" spans="1:31" ht="63.75" thickBot="1" x14ac:dyDescent="0.3">
      <c r="A4" s="160" t="s">
        <v>79</v>
      </c>
      <c r="B4" s="156" t="s">
        <v>3</v>
      </c>
      <c r="C4" s="107" t="s">
        <v>2</v>
      </c>
      <c r="D4" s="108" t="s">
        <v>125</v>
      </c>
      <c r="E4" s="109" t="s">
        <v>141</v>
      </c>
      <c r="F4" s="219" t="s">
        <v>4</v>
      </c>
      <c r="G4" s="110" t="s">
        <v>5</v>
      </c>
      <c r="H4" s="110" t="s">
        <v>6</v>
      </c>
      <c r="I4" s="110" t="s">
        <v>7</v>
      </c>
      <c r="J4" s="110" t="s">
        <v>8</v>
      </c>
      <c r="K4" s="110" t="s">
        <v>9</v>
      </c>
      <c r="L4" s="110" t="s">
        <v>10</v>
      </c>
      <c r="M4" s="110" t="s">
        <v>11</v>
      </c>
      <c r="N4" s="110" t="s">
        <v>12</v>
      </c>
      <c r="O4" s="110" t="s">
        <v>13</v>
      </c>
      <c r="P4" s="110" t="s">
        <v>14</v>
      </c>
      <c r="Q4" s="110" t="s">
        <v>15</v>
      </c>
      <c r="R4" s="111" t="s">
        <v>16</v>
      </c>
      <c r="S4" s="112" t="s">
        <v>125</v>
      </c>
      <c r="T4" s="109" t="s">
        <v>19</v>
      </c>
      <c r="U4" s="113" t="s">
        <v>41</v>
      </c>
      <c r="V4" s="156" t="s">
        <v>3</v>
      </c>
      <c r="W4" s="107" t="s">
        <v>2</v>
      </c>
      <c r="X4" s="220"/>
      <c r="Y4" s="220"/>
      <c r="Z4" s="220"/>
      <c r="AA4" s="220"/>
      <c r="AB4" s="301" t="s">
        <v>142</v>
      </c>
      <c r="AC4" s="301" t="s">
        <v>143</v>
      </c>
      <c r="AD4" s="301" t="s">
        <v>144</v>
      </c>
      <c r="AE4" s="301" t="s">
        <v>102</v>
      </c>
    </row>
    <row r="5" spans="1:31" x14ac:dyDescent="0.2">
      <c r="A5" s="226"/>
      <c r="B5" s="227"/>
      <c r="C5" s="228"/>
      <c r="D5" s="228"/>
      <c r="E5" s="229"/>
      <c r="F5" s="229">
        <v>1</v>
      </c>
      <c r="G5" s="229"/>
      <c r="H5" s="229"/>
      <c r="I5" s="229"/>
      <c r="J5" s="229"/>
      <c r="K5" s="229"/>
      <c r="L5" s="229"/>
      <c r="M5" s="229"/>
      <c r="N5" s="229"/>
      <c r="O5" s="229"/>
      <c r="P5" s="229"/>
      <c r="Q5" s="229"/>
      <c r="R5" s="228"/>
      <c r="S5" s="230"/>
      <c r="T5" s="231"/>
      <c r="U5" s="302"/>
      <c r="V5" s="227"/>
      <c r="W5" s="228"/>
      <c r="X5" s="220"/>
      <c r="Y5" s="220"/>
      <c r="Z5" s="220"/>
      <c r="AA5" s="220"/>
      <c r="AB5" s="303">
        <v>43049</v>
      </c>
      <c r="AC5" s="304" t="s">
        <v>145</v>
      </c>
      <c r="AD5" s="304" t="s">
        <v>146</v>
      </c>
      <c r="AE5" s="304">
        <v>121</v>
      </c>
    </row>
    <row r="6" spans="1:31" x14ac:dyDescent="0.2">
      <c r="A6" s="226"/>
      <c r="B6" s="269"/>
      <c r="C6" s="269"/>
      <c r="D6" s="270"/>
      <c r="E6" s="271"/>
      <c r="F6" s="271"/>
      <c r="G6" s="271"/>
      <c r="H6" s="271"/>
      <c r="I6" s="271"/>
      <c r="J6" s="271"/>
      <c r="K6" s="272"/>
      <c r="L6" s="272"/>
      <c r="M6" s="272"/>
      <c r="N6" s="272"/>
      <c r="O6" s="272"/>
      <c r="P6" s="272"/>
      <c r="Q6" s="272"/>
      <c r="R6" s="269"/>
      <c r="S6" s="270"/>
      <c r="T6" s="273"/>
      <c r="U6" s="305"/>
      <c r="V6" s="269"/>
      <c r="W6" s="269"/>
      <c r="X6" s="220"/>
      <c r="Y6" s="220"/>
      <c r="Z6" s="220"/>
      <c r="AA6" s="220"/>
      <c r="AB6" s="304"/>
      <c r="AC6" s="304"/>
      <c r="AD6" s="304"/>
      <c r="AE6" s="304"/>
    </row>
    <row r="7" spans="1:31" x14ac:dyDescent="0.2">
      <c r="A7" s="220"/>
      <c r="B7" s="220"/>
      <c r="C7" s="220"/>
      <c r="D7" s="275"/>
      <c r="E7" s="276"/>
      <c r="F7" s="276"/>
      <c r="G7" s="276"/>
      <c r="H7" s="276"/>
      <c r="I7" s="276"/>
      <c r="J7" s="276"/>
      <c r="K7" s="221"/>
      <c r="L7" s="221"/>
      <c r="M7" s="221"/>
      <c r="N7" s="221"/>
      <c r="O7" s="221"/>
      <c r="P7" s="221"/>
      <c r="Q7" s="221"/>
      <c r="R7" s="220"/>
      <c r="S7" s="275"/>
      <c r="T7" s="277"/>
      <c r="U7" s="221"/>
      <c r="V7" s="220"/>
      <c r="W7" s="220"/>
      <c r="X7" s="220"/>
      <c r="Y7" s="220"/>
      <c r="Z7" s="220"/>
      <c r="AA7" s="220"/>
      <c r="AB7" s="303"/>
      <c r="AC7" s="304"/>
      <c r="AD7" s="304"/>
      <c r="AE7" s="304"/>
    </row>
    <row r="8" spans="1:31" ht="15.75" x14ac:dyDescent="0.25">
      <c r="A8" s="220"/>
      <c r="B8" s="278" t="s">
        <v>129</v>
      </c>
      <c r="C8" s="278"/>
      <c r="D8" s="275"/>
      <c r="E8" s="221"/>
      <c r="F8" s="221"/>
      <c r="G8" s="221"/>
      <c r="H8" s="221"/>
      <c r="I8" s="221"/>
      <c r="J8" s="221"/>
      <c r="K8" s="221"/>
      <c r="L8" s="221"/>
      <c r="M8" s="221"/>
      <c r="N8" s="221"/>
      <c r="O8" s="221"/>
      <c r="P8" s="221"/>
      <c r="Q8" s="221"/>
      <c r="R8" s="220"/>
      <c r="S8" s="275"/>
      <c r="T8" s="277"/>
      <c r="U8" s="221"/>
      <c r="V8" s="278" t="s">
        <v>129</v>
      </c>
      <c r="W8" s="278"/>
      <c r="X8" s="220"/>
      <c r="Y8" s="220"/>
      <c r="Z8" s="220"/>
      <c r="AA8" s="220"/>
      <c r="AB8" s="303"/>
      <c r="AC8" s="304"/>
      <c r="AD8" s="304"/>
      <c r="AE8" s="304"/>
    </row>
    <row r="9" spans="1:31" x14ac:dyDescent="0.2">
      <c r="A9" s="220"/>
      <c r="B9" s="220"/>
      <c r="C9" s="220"/>
      <c r="D9" s="275"/>
      <c r="E9" s="221"/>
      <c r="F9" s="221"/>
      <c r="G9" s="221"/>
      <c r="H9" s="221"/>
      <c r="I9" s="221"/>
      <c r="J9" s="221"/>
      <c r="K9" s="221"/>
      <c r="L9" s="221"/>
      <c r="M9" s="221"/>
      <c r="N9" s="221"/>
      <c r="O9" s="221"/>
      <c r="P9" s="221"/>
      <c r="Q9" s="221"/>
      <c r="R9" s="220"/>
      <c r="S9" s="275"/>
      <c r="T9" s="277"/>
      <c r="U9" s="221"/>
      <c r="V9" s="220"/>
      <c r="W9" s="220"/>
      <c r="X9" s="220"/>
      <c r="Y9" s="220"/>
      <c r="Z9" s="220"/>
      <c r="AA9" s="220"/>
      <c r="AB9" s="303"/>
      <c r="AC9" s="304"/>
      <c r="AD9" s="304"/>
      <c r="AE9" s="304"/>
    </row>
    <row r="10" spans="1:31" x14ac:dyDescent="0.2">
      <c r="A10" s="226"/>
      <c r="B10" s="226"/>
      <c r="C10" s="226"/>
      <c r="D10" s="226"/>
      <c r="E10" s="226"/>
      <c r="F10" s="226"/>
      <c r="G10" s="226"/>
      <c r="H10" s="226"/>
      <c r="I10" s="226"/>
      <c r="J10" s="226"/>
      <c r="K10" s="226"/>
      <c r="L10" s="226"/>
      <c r="M10" s="226"/>
      <c r="N10" s="226"/>
      <c r="O10" s="243"/>
      <c r="P10" s="243"/>
      <c r="Q10" s="226"/>
      <c r="R10" s="226"/>
      <c r="S10" s="226"/>
      <c r="T10" s="226"/>
      <c r="U10" s="243"/>
      <c r="V10" s="226"/>
      <c r="W10" s="226"/>
      <c r="X10" s="220"/>
      <c r="Y10" s="220"/>
      <c r="Z10" s="220"/>
      <c r="AA10" s="220"/>
      <c r="AB10" s="303"/>
      <c r="AC10" s="304"/>
      <c r="AD10" s="304"/>
      <c r="AE10" s="304"/>
    </row>
    <row r="11" spans="1:31" x14ac:dyDescent="0.2">
      <c r="A11" s="234">
        <v>100465</v>
      </c>
      <c r="B11" s="255">
        <v>2014</v>
      </c>
      <c r="C11" s="234" t="s">
        <v>135</v>
      </c>
      <c r="D11" s="256"/>
      <c r="E11" s="237">
        <v>284</v>
      </c>
      <c r="F11" s="246"/>
      <c r="G11" s="246"/>
      <c r="H11" s="246"/>
      <c r="I11" s="246"/>
      <c r="J11" s="246"/>
      <c r="K11" s="246"/>
      <c r="L11" s="246"/>
      <c r="M11" s="246"/>
      <c r="N11" s="246">
        <v>4</v>
      </c>
      <c r="O11" s="246">
        <v>31</v>
      </c>
      <c r="P11" s="246">
        <v>16</v>
      </c>
      <c r="Q11" s="246">
        <v>25</v>
      </c>
      <c r="R11" s="238">
        <f>SUM(F11:Q11)</f>
        <v>76</v>
      </c>
      <c r="S11" s="239">
        <f>IFERROR((AVERAGE(F11:Q11)),0)</f>
        <v>19</v>
      </c>
      <c r="T11" s="240">
        <f>IFERROR((U11/S11),0)</f>
        <v>10.947368421052632</v>
      </c>
      <c r="U11" s="306">
        <f>SUM(E11-R11)</f>
        <v>208</v>
      </c>
      <c r="V11" s="255">
        <v>2014</v>
      </c>
      <c r="W11" s="234" t="s">
        <v>130</v>
      </c>
      <c r="X11" s="220"/>
      <c r="Y11" s="220"/>
      <c r="Z11" s="220"/>
      <c r="AA11" s="220"/>
      <c r="AB11" s="303"/>
      <c r="AC11" s="304"/>
      <c r="AD11" s="304"/>
      <c r="AE11" s="304"/>
    </row>
    <row r="12" spans="1:31" x14ac:dyDescent="0.2">
      <c r="A12" s="234">
        <v>97511</v>
      </c>
      <c r="B12" s="248">
        <v>2014</v>
      </c>
      <c r="C12" s="234" t="s">
        <v>25</v>
      </c>
      <c r="D12" s="235"/>
      <c r="E12" s="236">
        <v>375</v>
      </c>
      <c r="F12" s="246"/>
      <c r="G12" s="246"/>
      <c r="H12" s="246"/>
      <c r="I12" s="246"/>
      <c r="J12" s="246"/>
      <c r="K12" s="246"/>
      <c r="L12" s="246"/>
      <c r="M12" s="246"/>
      <c r="N12" s="246">
        <v>15</v>
      </c>
      <c r="O12" s="246">
        <v>43</v>
      </c>
      <c r="P12" s="246">
        <v>45</v>
      </c>
      <c r="Q12" s="246">
        <v>0</v>
      </c>
      <c r="R12" s="238">
        <f>SUM(F12:Q12)</f>
        <v>103</v>
      </c>
      <c r="S12" s="239">
        <f>IFERROR((AVERAGE(F12:Q12)),0)</f>
        <v>25.75</v>
      </c>
      <c r="T12" s="240">
        <f>IFERROR((U12/S12),0)</f>
        <v>10.563106796116505</v>
      </c>
      <c r="U12" s="306">
        <f>SUM(E12-R12)</f>
        <v>272</v>
      </c>
      <c r="V12" s="248">
        <v>2014</v>
      </c>
      <c r="W12" s="234" t="s">
        <v>25</v>
      </c>
      <c r="X12" s="220"/>
      <c r="Y12" s="220"/>
      <c r="Z12" s="220"/>
      <c r="AA12" s="220"/>
      <c r="AB12" s="303"/>
      <c r="AC12" s="304"/>
      <c r="AD12" s="304"/>
      <c r="AE12" s="304"/>
    </row>
    <row r="13" spans="1:31" x14ac:dyDescent="0.2">
      <c r="A13" s="234">
        <v>102768</v>
      </c>
      <c r="B13" s="255">
        <v>2014</v>
      </c>
      <c r="C13" s="234" t="s">
        <v>131</v>
      </c>
      <c r="D13" s="256"/>
      <c r="E13" s="236">
        <v>87</v>
      </c>
      <c r="F13" s="246"/>
      <c r="G13" s="246"/>
      <c r="H13" s="246"/>
      <c r="I13" s="246"/>
      <c r="J13" s="246"/>
      <c r="K13" s="246"/>
      <c r="L13" s="246"/>
      <c r="M13" s="246"/>
      <c r="N13" s="246">
        <v>3</v>
      </c>
      <c r="O13" s="246">
        <v>29</v>
      </c>
      <c r="P13" s="246">
        <v>5</v>
      </c>
      <c r="Q13" s="246">
        <v>0</v>
      </c>
      <c r="R13" s="238">
        <f>SUM(F13:Q13)</f>
        <v>37</v>
      </c>
      <c r="S13" s="239">
        <f>IFERROR((AVERAGE(F13:Q13)),0)</f>
        <v>9.25</v>
      </c>
      <c r="T13" s="240">
        <f>IFERROR((U13/S13),0)</f>
        <v>5.4054054054054053</v>
      </c>
      <c r="U13" s="306">
        <f>SUM(E13-R13)</f>
        <v>50</v>
      </c>
      <c r="V13" s="255">
        <v>2014</v>
      </c>
      <c r="W13" s="234" t="s">
        <v>131</v>
      </c>
      <c r="X13" s="220"/>
      <c r="Y13" s="220"/>
      <c r="Z13" s="220"/>
      <c r="AA13" s="220"/>
      <c r="AB13" s="303"/>
      <c r="AC13" s="304"/>
      <c r="AD13" s="304"/>
      <c r="AE13" s="304"/>
    </row>
    <row r="14" spans="1:31" x14ac:dyDescent="0.2">
      <c r="A14" s="234">
        <v>101639</v>
      </c>
      <c r="B14" s="255">
        <v>2014</v>
      </c>
      <c r="C14" s="234" t="s">
        <v>120</v>
      </c>
      <c r="D14" s="256"/>
      <c r="E14" s="236">
        <v>420</v>
      </c>
      <c r="F14" s="246"/>
      <c r="G14" s="246"/>
      <c r="H14" s="246"/>
      <c r="I14" s="246"/>
      <c r="J14" s="246"/>
      <c r="K14" s="246"/>
      <c r="L14" s="246"/>
      <c r="M14" s="246"/>
      <c r="N14" s="246">
        <v>3</v>
      </c>
      <c r="O14" s="246">
        <v>44</v>
      </c>
      <c r="P14" s="246">
        <v>1</v>
      </c>
      <c r="Q14" s="246">
        <v>8</v>
      </c>
      <c r="R14" s="238">
        <f>SUM(F14:Q14)</f>
        <v>56</v>
      </c>
      <c r="S14" s="239">
        <f>IFERROR((AVERAGE(F14:Q14)),0)</f>
        <v>14</v>
      </c>
      <c r="T14" s="240">
        <f>IFERROR((U14/S14),0)</f>
        <v>26</v>
      </c>
      <c r="U14" s="306">
        <f>SUM(E14-R14)</f>
        <v>364</v>
      </c>
      <c r="V14" s="255">
        <v>2014</v>
      </c>
      <c r="W14" s="234" t="s">
        <v>120</v>
      </c>
      <c r="X14" s="220"/>
      <c r="Y14" s="220"/>
      <c r="Z14" s="220"/>
      <c r="AA14" s="220"/>
      <c r="AB14" s="303"/>
      <c r="AC14" s="304"/>
      <c r="AD14" s="304"/>
      <c r="AE14" s="304"/>
    </row>
    <row r="15" spans="1:31" x14ac:dyDescent="0.2">
      <c r="A15" s="234">
        <v>100463</v>
      </c>
      <c r="B15" s="255">
        <v>2014</v>
      </c>
      <c r="C15" s="234" t="s">
        <v>147</v>
      </c>
      <c r="D15" s="256"/>
      <c r="E15" s="236">
        <v>50</v>
      </c>
      <c r="F15" s="246"/>
      <c r="G15" s="246"/>
      <c r="H15" s="246"/>
      <c r="I15" s="246"/>
      <c r="J15" s="246"/>
      <c r="K15" s="246"/>
      <c r="L15" s="246"/>
      <c r="M15" s="246"/>
      <c r="N15" s="246">
        <v>2</v>
      </c>
      <c r="O15" s="246">
        <v>48</v>
      </c>
      <c r="P15" s="242"/>
      <c r="Q15" s="242"/>
      <c r="R15" s="238">
        <f>SUM(F15:Q15)</f>
        <v>50</v>
      </c>
      <c r="S15" s="239">
        <f>IFERROR((AVERAGE(F15:Q15)),0)</f>
        <v>25</v>
      </c>
      <c r="T15" s="240">
        <f>IFERROR((U15/S15),0)</f>
        <v>0</v>
      </c>
      <c r="U15" s="306">
        <f>SUM(E15-R15)</f>
        <v>0</v>
      </c>
      <c r="V15" s="255">
        <v>2014</v>
      </c>
      <c r="W15" s="234" t="s">
        <v>132</v>
      </c>
      <c r="X15" s="220"/>
      <c r="Y15" s="220"/>
      <c r="Z15" s="220"/>
      <c r="AA15" s="220"/>
      <c r="AB15" s="307"/>
      <c r="AC15" s="304"/>
      <c r="AD15" s="304"/>
      <c r="AE15" s="304"/>
    </row>
    <row r="16" spans="1:31" x14ac:dyDescent="0.2">
      <c r="A16" s="226"/>
      <c r="B16" s="226"/>
      <c r="C16" s="226"/>
      <c r="D16" s="226"/>
      <c r="E16" s="226"/>
      <c r="F16" s="226"/>
      <c r="G16" s="226"/>
      <c r="H16" s="226"/>
      <c r="I16" s="226"/>
      <c r="J16" s="226"/>
      <c r="K16" s="226"/>
      <c r="L16" s="226"/>
      <c r="M16" s="226"/>
      <c r="N16" s="226"/>
      <c r="O16" s="243"/>
      <c r="P16" s="243"/>
      <c r="Q16" s="226"/>
      <c r="R16" s="226"/>
      <c r="S16" s="226"/>
      <c r="T16" s="226"/>
      <c r="U16" s="243"/>
      <c r="V16" s="226"/>
      <c r="W16" s="226"/>
      <c r="X16" s="220"/>
      <c r="Y16" s="220"/>
      <c r="Z16" s="220"/>
      <c r="AA16" s="220"/>
      <c r="AB16" s="303"/>
      <c r="AC16" s="304"/>
      <c r="AD16" s="304"/>
      <c r="AE16" s="304"/>
    </row>
    <row r="17" spans="1:31" x14ac:dyDescent="0.2">
      <c r="A17" s="234">
        <v>97509</v>
      </c>
      <c r="B17" s="255">
        <v>2015</v>
      </c>
      <c r="C17" s="234" t="s">
        <v>107</v>
      </c>
      <c r="D17" s="256"/>
      <c r="E17" s="236">
        <v>215</v>
      </c>
      <c r="F17" s="246"/>
      <c r="G17" s="246"/>
      <c r="H17" s="246"/>
      <c r="I17" s="246"/>
      <c r="J17" s="246"/>
      <c r="K17" s="246"/>
      <c r="L17" s="246"/>
      <c r="M17" s="246"/>
      <c r="N17" s="246">
        <v>11</v>
      </c>
      <c r="O17" s="246">
        <v>38</v>
      </c>
      <c r="P17" s="246">
        <v>10</v>
      </c>
      <c r="Q17" s="246">
        <v>6</v>
      </c>
      <c r="R17" s="238">
        <f t="shared" ref="R17:R24" si="0">SUM(F17:Q17)</f>
        <v>65</v>
      </c>
      <c r="S17" s="239">
        <f t="shared" ref="S17:S24" si="1">IFERROR((AVERAGE(F17:Q17)),0)</f>
        <v>16.25</v>
      </c>
      <c r="T17" s="240">
        <f>IFERROR((U17/S17),0)</f>
        <v>9.2307692307692299</v>
      </c>
      <c r="U17" s="306">
        <f t="shared" ref="U17:U24" si="2">SUM(E17-R17)</f>
        <v>150</v>
      </c>
      <c r="V17" s="255">
        <v>2015</v>
      </c>
      <c r="W17" s="234" t="s">
        <v>107</v>
      </c>
      <c r="X17" s="220"/>
      <c r="Y17" s="220"/>
      <c r="Z17" s="220"/>
      <c r="AA17" s="220"/>
      <c r="AB17" s="303"/>
      <c r="AC17" s="304"/>
      <c r="AD17" s="304"/>
      <c r="AE17" s="304"/>
    </row>
    <row r="18" spans="1:31" x14ac:dyDescent="0.2">
      <c r="A18" s="234">
        <v>101636</v>
      </c>
      <c r="B18" s="248">
        <v>2015</v>
      </c>
      <c r="C18" s="234" t="s">
        <v>31</v>
      </c>
      <c r="D18" s="256"/>
      <c r="E18" s="236">
        <v>175</v>
      </c>
      <c r="F18" s="246"/>
      <c r="G18" s="246"/>
      <c r="H18" s="246"/>
      <c r="I18" s="246"/>
      <c r="J18" s="246"/>
      <c r="K18" s="246"/>
      <c r="L18" s="246"/>
      <c r="M18" s="246"/>
      <c r="N18" s="246">
        <v>2</v>
      </c>
      <c r="O18" s="246">
        <v>29</v>
      </c>
      <c r="P18" s="246">
        <v>17</v>
      </c>
      <c r="Q18" s="246">
        <v>8</v>
      </c>
      <c r="R18" s="238">
        <f t="shared" si="0"/>
        <v>56</v>
      </c>
      <c r="S18" s="239">
        <f t="shared" si="1"/>
        <v>14</v>
      </c>
      <c r="T18" s="240">
        <f>IFERROR((U18/S18),0)</f>
        <v>8.5</v>
      </c>
      <c r="U18" s="306">
        <f t="shared" si="2"/>
        <v>119</v>
      </c>
      <c r="V18" s="248">
        <v>2015</v>
      </c>
      <c r="W18" s="234" t="s">
        <v>31</v>
      </c>
      <c r="X18" s="220"/>
      <c r="Y18" s="220"/>
      <c r="Z18" s="220"/>
      <c r="AA18" s="220"/>
      <c r="AB18" s="303"/>
      <c r="AC18" s="304"/>
      <c r="AD18" s="304"/>
      <c r="AE18" s="304"/>
    </row>
    <row r="19" spans="1:31" x14ac:dyDescent="0.2">
      <c r="A19" s="234">
        <v>101819</v>
      </c>
      <c r="B19" s="295" t="s">
        <v>133</v>
      </c>
      <c r="C19" s="234" t="s">
        <v>148</v>
      </c>
      <c r="D19" s="235"/>
      <c r="E19" s="236">
        <v>66</v>
      </c>
      <c r="F19" s="246"/>
      <c r="G19" s="246"/>
      <c r="H19" s="246"/>
      <c r="I19" s="246"/>
      <c r="J19" s="246"/>
      <c r="K19" s="246"/>
      <c r="L19" s="246"/>
      <c r="M19" s="246"/>
      <c r="N19" s="246">
        <v>0</v>
      </c>
      <c r="O19" s="246">
        <v>10</v>
      </c>
      <c r="P19" s="246">
        <v>14</v>
      </c>
      <c r="Q19" s="246">
        <v>13</v>
      </c>
      <c r="R19" s="238">
        <f t="shared" si="0"/>
        <v>37</v>
      </c>
      <c r="S19" s="239">
        <f t="shared" si="1"/>
        <v>9.25</v>
      </c>
      <c r="T19" s="240">
        <f>IFERROR((U19/S19),0)</f>
        <v>3.1351351351351351</v>
      </c>
      <c r="U19" s="306">
        <f t="shared" si="2"/>
        <v>29</v>
      </c>
      <c r="V19" s="248" t="s">
        <v>35</v>
      </c>
      <c r="W19" s="234" t="s">
        <v>134</v>
      </c>
      <c r="X19" s="220"/>
      <c r="Y19" s="220"/>
      <c r="Z19" s="220"/>
      <c r="AA19" s="220"/>
      <c r="AB19" s="303"/>
      <c r="AC19" s="304"/>
      <c r="AD19" s="304"/>
      <c r="AE19" s="304"/>
    </row>
    <row r="20" spans="1:31" x14ac:dyDescent="0.2">
      <c r="A20" s="234">
        <v>101638</v>
      </c>
      <c r="B20" s="248">
        <v>2015</v>
      </c>
      <c r="C20" s="234" t="s">
        <v>26</v>
      </c>
      <c r="D20" s="235"/>
      <c r="E20" s="236">
        <v>320</v>
      </c>
      <c r="F20" s="246"/>
      <c r="G20" s="246"/>
      <c r="H20" s="246"/>
      <c r="I20" s="246"/>
      <c r="J20" s="246"/>
      <c r="K20" s="246"/>
      <c r="L20" s="246"/>
      <c r="M20" s="246"/>
      <c r="N20" s="246">
        <v>0</v>
      </c>
      <c r="O20" s="246">
        <v>21</v>
      </c>
      <c r="P20" s="246">
        <v>10</v>
      </c>
      <c r="Q20" s="246">
        <v>8</v>
      </c>
      <c r="R20" s="238">
        <f t="shared" si="0"/>
        <v>39</v>
      </c>
      <c r="S20" s="239">
        <f t="shared" si="1"/>
        <v>9.75</v>
      </c>
      <c r="T20" s="240">
        <f>IFERROR((U20/S20),0)</f>
        <v>28.820512820512821</v>
      </c>
      <c r="U20" s="306">
        <f t="shared" si="2"/>
        <v>281</v>
      </c>
      <c r="V20" s="248">
        <v>2015</v>
      </c>
      <c r="W20" s="234" t="s">
        <v>26</v>
      </c>
      <c r="X20" s="220"/>
      <c r="Y20" s="220"/>
      <c r="Z20" s="220"/>
      <c r="AA20" s="220"/>
      <c r="AB20" s="303"/>
      <c r="AC20" s="304"/>
      <c r="AD20" s="304"/>
      <c r="AE20" s="304"/>
    </row>
    <row r="21" spans="1:31" x14ac:dyDescent="0.2">
      <c r="A21" s="234">
        <v>100464</v>
      </c>
      <c r="B21" s="248">
        <v>2015</v>
      </c>
      <c r="C21" s="234" t="s">
        <v>110</v>
      </c>
      <c r="D21" s="235"/>
      <c r="E21" s="236">
        <v>100</v>
      </c>
      <c r="F21" s="246"/>
      <c r="G21" s="246"/>
      <c r="H21" s="246"/>
      <c r="I21" s="246"/>
      <c r="J21" s="246"/>
      <c r="K21" s="246"/>
      <c r="L21" s="246"/>
      <c r="M21" s="246"/>
      <c r="N21" s="246">
        <v>40</v>
      </c>
      <c r="O21" s="246">
        <v>60</v>
      </c>
      <c r="P21" s="242"/>
      <c r="Q21" s="242"/>
      <c r="R21" s="238">
        <f t="shared" si="0"/>
        <v>100</v>
      </c>
      <c r="S21" s="239">
        <f t="shared" si="1"/>
        <v>50</v>
      </c>
      <c r="T21" s="240">
        <f>IFERROR((U21/S21),0)</f>
        <v>0</v>
      </c>
      <c r="U21" s="306">
        <f t="shared" si="2"/>
        <v>0</v>
      </c>
      <c r="V21" s="248">
        <v>2015</v>
      </c>
      <c r="W21" s="234" t="s">
        <v>110</v>
      </c>
      <c r="X21" s="220"/>
      <c r="Y21" s="220"/>
      <c r="Z21" s="220"/>
      <c r="AA21" s="220"/>
      <c r="AB21" s="303"/>
      <c r="AC21" s="304"/>
      <c r="AD21" s="304"/>
      <c r="AE21" s="304"/>
    </row>
    <row r="22" spans="1:31" x14ac:dyDescent="0.2">
      <c r="A22" s="234">
        <v>100465</v>
      </c>
      <c r="B22" s="248">
        <v>2015</v>
      </c>
      <c r="C22" s="234" t="s">
        <v>135</v>
      </c>
      <c r="D22" s="235"/>
      <c r="E22" s="236">
        <v>180</v>
      </c>
      <c r="F22" s="246"/>
      <c r="G22" s="246"/>
      <c r="H22" s="246"/>
      <c r="I22" s="246"/>
      <c r="J22" s="246"/>
      <c r="K22" s="246"/>
      <c r="L22" s="246"/>
      <c r="M22" s="246"/>
      <c r="N22" s="246">
        <v>5</v>
      </c>
      <c r="O22" s="246">
        <v>1</v>
      </c>
      <c r="P22" s="246">
        <v>3</v>
      </c>
      <c r="Q22" s="246">
        <v>1</v>
      </c>
      <c r="R22" s="238">
        <f t="shared" si="0"/>
        <v>10</v>
      </c>
      <c r="S22" s="239">
        <f t="shared" si="1"/>
        <v>2.5</v>
      </c>
      <c r="T22" s="240"/>
      <c r="U22" s="306">
        <f t="shared" si="2"/>
        <v>170</v>
      </c>
      <c r="V22" s="248">
        <v>2015</v>
      </c>
      <c r="W22" s="234" t="s">
        <v>135</v>
      </c>
      <c r="X22" s="220"/>
      <c r="Y22" s="220"/>
      <c r="Z22" s="220"/>
      <c r="AA22" s="220"/>
      <c r="AB22" s="303"/>
      <c r="AC22" s="304"/>
      <c r="AD22" s="304"/>
      <c r="AE22" s="304"/>
    </row>
    <row r="23" spans="1:31" x14ac:dyDescent="0.2">
      <c r="A23" s="234">
        <v>100463</v>
      </c>
      <c r="B23" s="248">
        <v>2015</v>
      </c>
      <c r="C23" s="234" t="s">
        <v>136</v>
      </c>
      <c r="D23" s="235"/>
      <c r="E23" s="236">
        <v>152</v>
      </c>
      <c r="F23" s="246"/>
      <c r="G23" s="246"/>
      <c r="H23" s="246"/>
      <c r="I23" s="246"/>
      <c r="J23" s="246"/>
      <c r="K23" s="246"/>
      <c r="L23" s="246"/>
      <c r="M23" s="246"/>
      <c r="N23" s="246" t="s">
        <v>35</v>
      </c>
      <c r="O23" s="246">
        <v>3</v>
      </c>
      <c r="P23" s="246">
        <v>36</v>
      </c>
      <c r="Q23" s="246">
        <v>28</v>
      </c>
      <c r="R23" s="238">
        <f t="shared" si="0"/>
        <v>67</v>
      </c>
      <c r="S23" s="239">
        <f t="shared" si="1"/>
        <v>22.333333333333332</v>
      </c>
      <c r="T23" s="240"/>
      <c r="U23" s="306">
        <f t="shared" si="2"/>
        <v>85</v>
      </c>
      <c r="V23" s="248">
        <v>2015</v>
      </c>
      <c r="W23" s="234" t="s">
        <v>136</v>
      </c>
      <c r="X23" s="220"/>
      <c r="Y23" s="220"/>
      <c r="Z23" s="220"/>
      <c r="AA23" s="220"/>
      <c r="AB23" s="303"/>
      <c r="AC23" s="304"/>
      <c r="AD23" s="304"/>
      <c r="AE23" s="304"/>
    </row>
    <row r="24" spans="1:31" x14ac:dyDescent="0.2">
      <c r="A24" s="234">
        <v>97510</v>
      </c>
      <c r="B24" s="255">
        <v>2015</v>
      </c>
      <c r="C24" s="234" t="s">
        <v>23</v>
      </c>
      <c r="D24" s="256"/>
      <c r="E24" s="236">
        <v>0</v>
      </c>
      <c r="F24" s="246"/>
      <c r="G24" s="246"/>
      <c r="H24" s="246"/>
      <c r="I24" s="246"/>
      <c r="J24" s="246"/>
      <c r="K24" s="246"/>
      <c r="L24" s="246"/>
      <c r="M24" s="246"/>
      <c r="N24" s="246"/>
      <c r="O24" s="246"/>
      <c r="P24" s="246"/>
      <c r="Q24" s="246"/>
      <c r="R24" s="238">
        <f t="shared" si="0"/>
        <v>0</v>
      </c>
      <c r="S24" s="239">
        <f t="shared" si="1"/>
        <v>0</v>
      </c>
      <c r="T24" s="240">
        <f>IFERROR((U24/S24),0)</f>
        <v>0</v>
      </c>
      <c r="U24" s="306">
        <f t="shared" si="2"/>
        <v>0</v>
      </c>
      <c r="V24" s="255">
        <v>2015</v>
      </c>
      <c r="W24" s="234" t="s">
        <v>23</v>
      </c>
      <c r="X24" s="220"/>
      <c r="Y24" s="220"/>
      <c r="Z24" s="220"/>
      <c r="AA24" s="220"/>
      <c r="AB24" s="303"/>
      <c r="AC24" s="304"/>
      <c r="AD24" s="304"/>
      <c r="AE24" s="304"/>
    </row>
    <row r="25" spans="1:31" x14ac:dyDescent="0.2">
      <c r="A25" s="226"/>
      <c r="B25" s="269"/>
      <c r="C25" s="269"/>
      <c r="D25" s="270"/>
      <c r="E25" s="272"/>
      <c r="F25" s="272"/>
      <c r="G25" s="272"/>
      <c r="H25" s="272"/>
      <c r="I25" s="272"/>
      <c r="J25" s="272"/>
      <c r="K25" s="272"/>
      <c r="L25" s="272"/>
      <c r="M25" s="272"/>
      <c r="N25" s="272"/>
      <c r="O25" s="272"/>
      <c r="P25" s="272"/>
      <c r="Q25" s="272"/>
      <c r="R25" s="269"/>
      <c r="S25" s="270"/>
      <c r="T25" s="273"/>
      <c r="U25" s="305"/>
      <c r="V25" s="269"/>
      <c r="W25" s="269"/>
      <c r="X25" s="220"/>
      <c r="Y25" s="220"/>
      <c r="Z25" s="220"/>
      <c r="AA25" s="220"/>
      <c r="AB25" s="303"/>
      <c r="AC25" s="304"/>
      <c r="AD25" s="304"/>
      <c r="AE25" s="304"/>
    </row>
    <row r="26" spans="1:31" x14ac:dyDescent="0.2">
      <c r="A26" s="234">
        <v>100464</v>
      </c>
      <c r="B26" s="308">
        <v>2016</v>
      </c>
      <c r="C26" s="308" t="s">
        <v>110</v>
      </c>
      <c r="D26" s="256"/>
      <c r="E26" s="309">
        <v>217</v>
      </c>
      <c r="F26" s="246"/>
      <c r="G26" s="246"/>
      <c r="H26" s="246"/>
      <c r="I26" s="246"/>
      <c r="J26" s="246"/>
      <c r="K26" s="246"/>
      <c r="L26" s="246"/>
      <c r="M26" s="246"/>
      <c r="N26" s="246" t="s">
        <v>35</v>
      </c>
      <c r="O26" s="246">
        <v>39</v>
      </c>
      <c r="P26" s="246">
        <v>18</v>
      </c>
      <c r="Q26" s="246">
        <v>12</v>
      </c>
      <c r="R26" s="238">
        <f t="shared" ref="R26:R32" si="3">SUM(F26:Q26)</f>
        <v>69</v>
      </c>
      <c r="S26" s="239">
        <f t="shared" ref="S26:S32" si="4">IFERROR((AVERAGE(F26:Q26)),0)</f>
        <v>23</v>
      </c>
      <c r="T26" s="240">
        <f t="shared" ref="T26:T32" si="5">IFERROR((U26/S26),0)</f>
        <v>6.4347826086956523</v>
      </c>
      <c r="U26" s="306">
        <f t="shared" ref="U26:U32" si="6">SUM(E26-R26)</f>
        <v>148</v>
      </c>
      <c r="V26" s="308">
        <v>2016</v>
      </c>
      <c r="W26" s="308" t="s">
        <v>149</v>
      </c>
      <c r="X26" s="220"/>
      <c r="Y26" s="220"/>
      <c r="Z26" s="220"/>
      <c r="AA26" s="220"/>
      <c r="AB26" s="303"/>
      <c r="AC26" s="304"/>
      <c r="AD26" s="304"/>
      <c r="AE26" s="304"/>
    </row>
    <row r="27" spans="1:31" x14ac:dyDescent="0.2">
      <c r="A27" s="234">
        <v>97509</v>
      </c>
      <c r="B27" s="308">
        <v>2016</v>
      </c>
      <c r="C27" s="308" t="s">
        <v>107</v>
      </c>
      <c r="D27" s="256"/>
      <c r="E27" s="309">
        <v>139</v>
      </c>
      <c r="F27" s="246"/>
      <c r="G27" s="246"/>
      <c r="H27" s="246"/>
      <c r="I27" s="246"/>
      <c r="J27" s="246"/>
      <c r="K27" s="246"/>
      <c r="L27" s="246"/>
      <c r="M27" s="246"/>
      <c r="N27" s="246" t="s">
        <v>35</v>
      </c>
      <c r="O27" s="246">
        <v>2</v>
      </c>
      <c r="P27" s="246">
        <v>0</v>
      </c>
      <c r="Q27" s="246">
        <v>1</v>
      </c>
      <c r="R27" s="238">
        <f t="shared" si="3"/>
        <v>3</v>
      </c>
      <c r="S27" s="239">
        <f t="shared" si="4"/>
        <v>1</v>
      </c>
      <c r="T27" s="240">
        <f t="shared" si="5"/>
        <v>136</v>
      </c>
      <c r="U27" s="306">
        <f t="shared" si="6"/>
        <v>136</v>
      </c>
      <c r="V27" s="308">
        <v>2016</v>
      </c>
      <c r="W27" s="308" t="s">
        <v>107</v>
      </c>
      <c r="X27" s="220"/>
      <c r="Y27" s="220"/>
      <c r="Z27" s="220"/>
      <c r="AA27" s="220"/>
      <c r="AB27" s="303"/>
      <c r="AC27" s="304"/>
      <c r="AD27" s="304"/>
      <c r="AE27" s="304"/>
    </row>
    <row r="28" spans="1:31" x14ac:dyDescent="0.2">
      <c r="A28" s="234">
        <v>97511</v>
      </c>
      <c r="B28" s="308">
        <v>2016</v>
      </c>
      <c r="C28" s="308" t="s">
        <v>25</v>
      </c>
      <c r="D28" s="256"/>
      <c r="E28" s="309">
        <v>310</v>
      </c>
      <c r="F28" s="237"/>
      <c r="G28" s="237"/>
      <c r="H28" s="237"/>
      <c r="I28" s="237"/>
      <c r="J28" s="237"/>
      <c r="K28" s="237"/>
      <c r="L28" s="246"/>
      <c r="M28" s="246"/>
      <c r="N28" s="246" t="s">
        <v>35</v>
      </c>
      <c r="O28" s="246">
        <v>0</v>
      </c>
      <c r="P28" s="246">
        <v>0</v>
      </c>
      <c r="Q28" s="246">
        <v>0</v>
      </c>
      <c r="R28" s="238">
        <f t="shared" si="3"/>
        <v>0</v>
      </c>
      <c r="S28" s="239">
        <f t="shared" si="4"/>
        <v>0</v>
      </c>
      <c r="T28" s="240">
        <f t="shared" si="5"/>
        <v>0</v>
      </c>
      <c r="U28" s="306">
        <f t="shared" si="6"/>
        <v>310</v>
      </c>
      <c r="V28" s="308">
        <v>2016</v>
      </c>
      <c r="W28" s="308" t="s">
        <v>25</v>
      </c>
      <c r="X28" s="220"/>
      <c r="Y28" s="220"/>
      <c r="Z28" s="220"/>
      <c r="AA28" s="220"/>
      <c r="AB28" s="303"/>
      <c r="AC28" s="304"/>
      <c r="AD28" s="304"/>
      <c r="AE28" s="304"/>
    </row>
    <row r="29" spans="1:31" x14ac:dyDescent="0.2">
      <c r="A29" s="234">
        <v>100465</v>
      </c>
      <c r="B29" s="308">
        <v>2016</v>
      </c>
      <c r="C29" s="308" t="s">
        <v>135</v>
      </c>
      <c r="D29" s="256"/>
      <c r="E29" s="309">
        <v>299</v>
      </c>
      <c r="F29" s="237"/>
      <c r="G29" s="237"/>
      <c r="H29" s="237"/>
      <c r="I29" s="237"/>
      <c r="J29" s="237"/>
      <c r="K29" s="237"/>
      <c r="L29" s="237"/>
      <c r="M29" s="237"/>
      <c r="N29" s="246" t="s">
        <v>35</v>
      </c>
      <c r="O29" s="246">
        <v>2</v>
      </c>
      <c r="P29" s="246">
        <v>5</v>
      </c>
      <c r="Q29" s="246">
        <v>12</v>
      </c>
      <c r="R29" s="238">
        <f t="shared" si="3"/>
        <v>19</v>
      </c>
      <c r="S29" s="239">
        <f t="shared" si="4"/>
        <v>6.333333333333333</v>
      </c>
      <c r="T29" s="240">
        <f t="shared" si="5"/>
        <v>44.210526315789473</v>
      </c>
      <c r="U29" s="306">
        <f t="shared" si="6"/>
        <v>280</v>
      </c>
      <c r="V29" s="308">
        <v>2016</v>
      </c>
      <c r="W29" s="308" t="s">
        <v>135</v>
      </c>
      <c r="X29" s="220"/>
      <c r="Y29" s="220"/>
      <c r="Z29" s="220"/>
      <c r="AA29" s="220"/>
      <c r="AB29" s="303"/>
      <c r="AC29" s="304"/>
      <c r="AD29" s="304"/>
      <c r="AE29" s="304"/>
    </row>
    <row r="30" spans="1:31" x14ac:dyDescent="0.2">
      <c r="A30" s="234">
        <v>102768</v>
      </c>
      <c r="B30" s="308">
        <v>2016</v>
      </c>
      <c r="C30" s="308" t="s">
        <v>131</v>
      </c>
      <c r="D30" s="256"/>
      <c r="E30" s="309">
        <v>167</v>
      </c>
      <c r="F30" s="237"/>
      <c r="G30" s="237"/>
      <c r="H30" s="237"/>
      <c r="I30" s="237"/>
      <c r="J30" s="237"/>
      <c r="K30" s="237"/>
      <c r="L30" s="237"/>
      <c r="M30" s="237"/>
      <c r="N30" s="246"/>
      <c r="O30" s="246"/>
      <c r="P30" s="246"/>
      <c r="Q30" s="246">
        <v>12</v>
      </c>
      <c r="R30" s="238">
        <f t="shared" si="3"/>
        <v>12</v>
      </c>
      <c r="S30" s="239">
        <f t="shared" si="4"/>
        <v>12</v>
      </c>
      <c r="T30" s="240">
        <f t="shared" si="5"/>
        <v>12.916666666666666</v>
      </c>
      <c r="U30" s="306">
        <f t="shared" si="6"/>
        <v>155</v>
      </c>
      <c r="V30" s="308">
        <v>2016</v>
      </c>
      <c r="W30" s="308" t="s">
        <v>131</v>
      </c>
      <c r="X30" s="220"/>
      <c r="Y30" s="220"/>
      <c r="Z30" s="220"/>
      <c r="AA30" s="220"/>
      <c r="AB30" s="303"/>
      <c r="AC30" s="304"/>
      <c r="AD30" s="304"/>
      <c r="AE30" s="304"/>
    </row>
    <row r="31" spans="1:31" x14ac:dyDescent="0.2">
      <c r="A31" s="234">
        <v>101638</v>
      </c>
      <c r="B31" s="308">
        <v>2016</v>
      </c>
      <c r="C31" s="308" t="s">
        <v>26</v>
      </c>
      <c r="D31" s="256"/>
      <c r="E31" s="309">
        <v>200</v>
      </c>
      <c r="F31" s="237"/>
      <c r="G31" s="237"/>
      <c r="H31" s="237"/>
      <c r="I31" s="237"/>
      <c r="J31" s="237"/>
      <c r="K31" s="237"/>
      <c r="L31" s="237"/>
      <c r="M31" s="237"/>
      <c r="N31" s="246" t="s">
        <v>35</v>
      </c>
      <c r="O31" s="246">
        <v>2</v>
      </c>
      <c r="P31" s="246">
        <v>0</v>
      </c>
      <c r="Q31" s="246">
        <v>0</v>
      </c>
      <c r="R31" s="238">
        <f t="shared" si="3"/>
        <v>2</v>
      </c>
      <c r="S31" s="239">
        <f t="shared" si="4"/>
        <v>0.66666666666666663</v>
      </c>
      <c r="T31" s="240">
        <f t="shared" si="5"/>
        <v>297</v>
      </c>
      <c r="U31" s="306">
        <f t="shared" si="6"/>
        <v>198</v>
      </c>
      <c r="V31" s="308">
        <v>2016</v>
      </c>
      <c r="W31" s="308" t="s">
        <v>26</v>
      </c>
      <c r="X31" s="220"/>
      <c r="Y31" s="220"/>
      <c r="Z31" s="220"/>
      <c r="AA31" s="220"/>
      <c r="AB31" s="303"/>
      <c r="AC31" s="304"/>
      <c r="AD31" s="304"/>
      <c r="AE31" s="304"/>
    </row>
    <row r="32" spans="1:31" x14ac:dyDescent="0.2">
      <c r="A32" s="234">
        <v>116509</v>
      </c>
      <c r="B32" s="308">
        <v>2014</v>
      </c>
      <c r="C32" s="308" t="s">
        <v>150</v>
      </c>
      <c r="D32" s="256"/>
      <c r="E32" s="309">
        <v>121</v>
      </c>
      <c r="F32" s="246"/>
      <c r="G32" s="246"/>
      <c r="H32" s="246"/>
      <c r="I32" s="246"/>
      <c r="J32" s="246"/>
      <c r="K32" s="246"/>
      <c r="L32" s="246"/>
      <c r="M32" s="246"/>
      <c r="N32" s="246"/>
      <c r="O32" s="246"/>
      <c r="P32" s="246">
        <v>8</v>
      </c>
      <c r="Q32" s="246">
        <v>8</v>
      </c>
      <c r="R32" s="238">
        <f t="shared" si="3"/>
        <v>16</v>
      </c>
      <c r="S32" s="239">
        <f t="shared" si="4"/>
        <v>8</v>
      </c>
      <c r="T32" s="240">
        <f t="shared" si="5"/>
        <v>13.125</v>
      </c>
      <c r="U32" s="306">
        <f t="shared" si="6"/>
        <v>105</v>
      </c>
      <c r="V32" s="308">
        <v>2016</v>
      </c>
      <c r="W32" s="308" t="s">
        <v>150</v>
      </c>
      <c r="X32" s="220"/>
      <c r="Y32" s="220"/>
      <c r="Z32" s="220"/>
      <c r="AA32" s="220"/>
      <c r="AB32" s="303"/>
      <c r="AC32" s="304"/>
      <c r="AD32" s="304"/>
      <c r="AE32" s="304"/>
    </row>
    <row r="33" spans="1:31" x14ac:dyDescent="0.2">
      <c r="A33" s="226"/>
      <c r="B33" s="269"/>
      <c r="C33" s="269"/>
      <c r="D33" s="270"/>
      <c r="E33" s="272"/>
      <c r="F33" s="272"/>
      <c r="G33" s="272"/>
      <c r="H33" s="272"/>
      <c r="I33" s="272"/>
      <c r="J33" s="272"/>
      <c r="K33" s="272"/>
      <c r="L33" s="272"/>
      <c r="M33" s="272"/>
      <c r="N33" s="272"/>
      <c r="O33" s="272"/>
      <c r="P33" s="272"/>
      <c r="Q33" s="272"/>
      <c r="R33" s="269"/>
      <c r="S33" s="283"/>
      <c r="T33" s="284"/>
      <c r="U33" s="271"/>
      <c r="V33" s="269"/>
      <c r="W33" s="269"/>
      <c r="X33" s="220"/>
      <c r="Y33" s="220"/>
      <c r="Z33" s="220"/>
      <c r="AA33" s="220"/>
      <c r="AB33" s="303"/>
      <c r="AC33" s="304"/>
      <c r="AD33" s="304"/>
      <c r="AE33" s="304"/>
    </row>
    <row r="34" spans="1:31" x14ac:dyDescent="0.2">
      <c r="A34" s="234"/>
      <c r="B34" s="234">
        <v>2014</v>
      </c>
      <c r="C34" s="234"/>
      <c r="D34" s="262"/>
      <c r="E34" s="267">
        <f t="shared" ref="E34:R34" si="7">SUM(E11:E15)</f>
        <v>1216</v>
      </c>
      <c r="F34" s="267">
        <f t="shared" si="7"/>
        <v>0</v>
      </c>
      <c r="G34" s="267">
        <f t="shared" si="7"/>
        <v>0</v>
      </c>
      <c r="H34" s="267">
        <f t="shared" si="7"/>
        <v>0</v>
      </c>
      <c r="I34" s="267">
        <f t="shared" si="7"/>
        <v>0</v>
      </c>
      <c r="J34" s="267">
        <f t="shared" si="7"/>
        <v>0</v>
      </c>
      <c r="K34" s="267">
        <f t="shared" si="7"/>
        <v>0</v>
      </c>
      <c r="L34" s="267">
        <f t="shared" si="7"/>
        <v>0</v>
      </c>
      <c r="M34" s="267">
        <f t="shared" si="7"/>
        <v>0</v>
      </c>
      <c r="N34" s="267">
        <f t="shared" si="7"/>
        <v>27</v>
      </c>
      <c r="O34" s="267">
        <f t="shared" si="7"/>
        <v>195</v>
      </c>
      <c r="P34" s="267">
        <f t="shared" si="7"/>
        <v>67</v>
      </c>
      <c r="Q34" s="267">
        <f t="shared" si="7"/>
        <v>33</v>
      </c>
      <c r="R34" s="238">
        <f t="shared" si="7"/>
        <v>322</v>
      </c>
      <c r="S34" s="239">
        <f>IFERROR((AVERAGE(F34:Q34)),0)</f>
        <v>26.833333333333332</v>
      </c>
      <c r="T34" s="240">
        <f>IFERROR((U34/S34),0)</f>
        <v>33.316770186335404</v>
      </c>
      <c r="U34" s="306">
        <f>SUM(E34-R34)</f>
        <v>894</v>
      </c>
      <c r="V34" s="234">
        <v>2014</v>
      </c>
      <c r="W34" s="234"/>
      <c r="X34" s="220"/>
      <c r="Y34" s="220"/>
      <c r="Z34" s="220"/>
      <c r="AA34" s="220"/>
      <c r="AB34" s="303"/>
      <c r="AC34" s="304"/>
      <c r="AD34" s="304"/>
      <c r="AE34" s="304"/>
    </row>
    <row r="35" spans="1:31" x14ac:dyDescent="0.2">
      <c r="A35" s="234"/>
      <c r="B35" s="234">
        <v>2015</v>
      </c>
      <c r="C35" s="234"/>
      <c r="D35" s="262"/>
      <c r="E35" s="267">
        <f t="shared" ref="E35:R35" si="8">SUM(E17:E24)</f>
        <v>1208</v>
      </c>
      <c r="F35" s="267">
        <f t="shared" si="8"/>
        <v>0</v>
      </c>
      <c r="G35" s="267">
        <f t="shared" si="8"/>
        <v>0</v>
      </c>
      <c r="H35" s="267">
        <f t="shared" si="8"/>
        <v>0</v>
      </c>
      <c r="I35" s="267">
        <f t="shared" si="8"/>
        <v>0</v>
      </c>
      <c r="J35" s="267">
        <f t="shared" si="8"/>
        <v>0</v>
      </c>
      <c r="K35" s="267">
        <f t="shared" si="8"/>
        <v>0</v>
      </c>
      <c r="L35" s="267">
        <f t="shared" si="8"/>
        <v>0</v>
      </c>
      <c r="M35" s="267">
        <f t="shared" si="8"/>
        <v>0</v>
      </c>
      <c r="N35" s="267">
        <f t="shared" si="8"/>
        <v>58</v>
      </c>
      <c r="O35" s="267">
        <f t="shared" si="8"/>
        <v>162</v>
      </c>
      <c r="P35" s="267">
        <f t="shared" si="8"/>
        <v>90</v>
      </c>
      <c r="Q35" s="267">
        <f t="shared" si="8"/>
        <v>64</v>
      </c>
      <c r="R35" s="238">
        <f t="shared" si="8"/>
        <v>374</v>
      </c>
      <c r="S35" s="239">
        <f>IFERROR((AVERAGE(F35:Q35)),0)</f>
        <v>31.166666666666668</v>
      </c>
      <c r="T35" s="240">
        <f>IFERROR((U35/S35),0)</f>
        <v>26.759358288770052</v>
      </c>
      <c r="U35" s="306">
        <f>SUM(E35-R35)</f>
        <v>834</v>
      </c>
      <c r="V35" s="234">
        <v>2015</v>
      </c>
      <c r="W35" s="234"/>
      <c r="X35" s="220"/>
      <c r="Y35" s="220"/>
      <c r="Z35" s="220"/>
      <c r="AA35" s="220"/>
      <c r="AB35" s="303"/>
      <c r="AC35" s="304"/>
      <c r="AD35" s="304"/>
      <c r="AE35" s="304"/>
    </row>
    <row r="36" spans="1:31" x14ac:dyDescent="0.2">
      <c r="A36" s="220"/>
      <c r="B36" s="266" t="s">
        <v>59</v>
      </c>
      <c r="C36" s="234"/>
      <c r="D36" s="234"/>
      <c r="E36" s="279">
        <f>SUM(E34:E35)</f>
        <v>2424</v>
      </c>
      <c r="F36" s="279">
        <f>SUM(F34:F35)</f>
        <v>0</v>
      </c>
      <c r="G36" s="279">
        <f t="shared" ref="G36:Q36" si="9">SUM(G34:G35)</f>
        <v>0</v>
      </c>
      <c r="H36" s="279">
        <f t="shared" si="9"/>
        <v>0</v>
      </c>
      <c r="I36" s="279">
        <f t="shared" si="9"/>
        <v>0</v>
      </c>
      <c r="J36" s="279">
        <f t="shared" si="9"/>
        <v>0</v>
      </c>
      <c r="K36" s="279">
        <f t="shared" si="9"/>
        <v>0</v>
      </c>
      <c r="L36" s="279">
        <f t="shared" si="9"/>
        <v>0</v>
      </c>
      <c r="M36" s="279">
        <f t="shared" si="9"/>
        <v>0</v>
      </c>
      <c r="N36" s="279">
        <f t="shared" si="9"/>
        <v>85</v>
      </c>
      <c r="O36" s="279">
        <f t="shared" si="9"/>
        <v>357</v>
      </c>
      <c r="P36" s="279">
        <f t="shared" si="9"/>
        <v>157</v>
      </c>
      <c r="Q36" s="279">
        <f t="shared" si="9"/>
        <v>97</v>
      </c>
      <c r="R36" s="234">
        <f>SUM(R34:R35)</f>
        <v>696</v>
      </c>
      <c r="S36" s="234">
        <f>SUM(S34:S35)</f>
        <v>58</v>
      </c>
      <c r="T36" s="234">
        <f>SUM(T34:T35)</f>
        <v>60.076128475105456</v>
      </c>
      <c r="U36" s="279">
        <f>SUM(U34:U35)</f>
        <v>1728</v>
      </c>
      <c r="V36" s="266" t="s">
        <v>59</v>
      </c>
      <c r="W36" s="234"/>
      <c r="X36" s="220"/>
      <c r="Y36" s="220"/>
      <c r="Z36" s="220"/>
      <c r="AA36" s="220"/>
      <c r="AB36" s="303"/>
      <c r="AC36" s="304"/>
      <c r="AD36" s="304"/>
      <c r="AE36" s="304"/>
    </row>
    <row r="37" spans="1:31" x14ac:dyDescent="0.2">
      <c r="A37" s="226"/>
      <c r="B37" s="269"/>
      <c r="C37" s="269"/>
      <c r="D37" s="270"/>
      <c r="E37" s="272"/>
      <c r="F37" s="272"/>
      <c r="G37" s="272"/>
      <c r="H37" s="272"/>
      <c r="I37" s="272"/>
      <c r="J37" s="272"/>
      <c r="K37" s="272"/>
      <c r="L37" s="272"/>
      <c r="M37" s="272"/>
      <c r="N37" s="272"/>
      <c r="O37" s="272"/>
      <c r="P37" s="272"/>
      <c r="Q37" s="272"/>
      <c r="R37" s="269"/>
      <c r="S37" s="270"/>
      <c r="T37" s="273"/>
      <c r="U37" s="305"/>
      <c r="V37" s="269"/>
      <c r="W37" s="269"/>
      <c r="X37" s="220"/>
      <c r="Y37" s="220"/>
      <c r="Z37" s="220"/>
      <c r="AA37" s="220"/>
      <c r="AB37" s="303"/>
      <c r="AC37" s="304"/>
      <c r="AD37" s="304"/>
      <c r="AE37" s="304"/>
    </row>
    <row r="38" spans="1:31" x14ac:dyDescent="0.2">
      <c r="A38" s="220"/>
      <c r="B38" s="220"/>
      <c r="C38" s="220"/>
      <c r="D38" s="220"/>
      <c r="E38" s="220"/>
      <c r="F38" s="220"/>
      <c r="G38" s="220"/>
      <c r="H38" s="220"/>
      <c r="I38" s="220"/>
      <c r="J38" s="220"/>
      <c r="K38" s="220"/>
      <c r="L38" s="220"/>
      <c r="M38" s="220"/>
      <c r="N38" s="220">
        <v>25</v>
      </c>
      <c r="O38" s="220"/>
      <c r="P38" s="220"/>
      <c r="Q38" s="220"/>
      <c r="R38" s="220"/>
      <c r="S38" s="220"/>
      <c r="T38" s="220"/>
      <c r="U38" s="221"/>
      <c r="V38" s="220"/>
      <c r="W38" s="220"/>
      <c r="X38" s="220"/>
      <c r="Y38" s="220"/>
      <c r="Z38" s="220"/>
      <c r="AA38" s="220"/>
      <c r="AB38" s="303"/>
      <c r="AC38" s="304"/>
      <c r="AD38" s="304"/>
      <c r="AE38" s="304"/>
    </row>
    <row r="39" spans="1:31" x14ac:dyDescent="0.2">
      <c r="A39" s="281"/>
      <c r="B39" s="282"/>
      <c r="C39" s="282"/>
      <c r="D39" s="283"/>
      <c r="E39" s="271"/>
      <c r="F39" s="271"/>
      <c r="G39" s="271"/>
      <c r="H39" s="271"/>
      <c r="I39" s="271"/>
      <c r="J39" s="271"/>
      <c r="K39" s="271"/>
      <c r="L39" s="271"/>
      <c r="M39" s="271"/>
      <c r="N39" s="271"/>
      <c r="O39" s="271"/>
      <c r="P39" s="271"/>
      <c r="Q39" s="271"/>
      <c r="R39" s="282"/>
      <c r="S39" s="283"/>
      <c r="T39" s="284"/>
      <c r="U39" s="271"/>
      <c r="V39" s="282"/>
      <c r="W39" s="282"/>
      <c r="X39" s="220"/>
      <c r="Y39" s="220"/>
      <c r="Z39" s="220"/>
      <c r="AA39" s="220"/>
      <c r="AB39" s="303"/>
      <c r="AC39" s="304"/>
      <c r="AD39" s="304"/>
      <c r="AE39" s="304"/>
    </row>
    <row r="40" spans="1:31" ht="15.75" x14ac:dyDescent="0.25">
      <c r="A40" s="220"/>
      <c r="B40" s="278" t="s">
        <v>137</v>
      </c>
      <c r="C40" s="220"/>
      <c r="D40" s="275"/>
      <c r="E40" s="221"/>
      <c r="F40" s="221"/>
      <c r="G40" s="221"/>
      <c r="H40" s="221"/>
      <c r="I40" s="221"/>
      <c r="J40" s="221"/>
      <c r="K40" s="221"/>
      <c r="L40" s="221"/>
      <c r="M40" s="221"/>
      <c r="N40" s="221"/>
      <c r="O40" s="221"/>
      <c r="P40" s="221"/>
      <c r="Q40" s="221"/>
      <c r="R40" s="220"/>
      <c r="S40" s="275"/>
      <c r="T40" s="277"/>
      <c r="U40" s="221"/>
      <c r="V40" s="278" t="s">
        <v>137</v>
      </c>
      <c r="W40" s="220"/>
      <c r="X40" s="220"/>
      <c r="Y40" s="220"/>
      <c r="Z40" s="220"/>
      <c r="AA40" s="220"/>
      <c r="AB40" s="303"/>
      <c r="AC40" s="304"/>
      <c r="AD40" s="304"/>
      <c r="AE40" s="304"/>
    </row>
    <row r="41" spans="1:31" ht="16.149999999999999" customHeight="1" x14ac:dyDescent="0.2">
      <c r="A41" s="234"/>
      <c r="B41" s="233">
        <v>2012</v>
      </c>
      <c r="C41" s="234"/>
      <c r="D41" s="262"/>
      <c r="E41" s="263" t="e">
        <f>#REF!</f>
        <v>#REF!</v>
      </c>
      <c r="F41" s="263" t="e">
        <f>#REF!</f>
        <v>#REF!</v>
      </c>
      <c r="G41" s="263" t="e">
        <f>#REF!</f>
        <v>#REF!</v>
      </c>
      <c r="H41" s="263" t="e">
        <f>#REF!</f>
        <v>#REF!</v>
      </c>
      <c r="I41" s="263" t="e">
        <f>#REF!</f>
        <v>#REF!</v>
      </c>
      <c r="J41" s="263" t="e">
        <f>#REF!</f>
        <v>#REF!</v>
      </c>
      <c r="K41" s="263" t="e">
        <f>#REF!</f>
        <v>#REF!</v>
      </c>
      <c r="L41" s="263" t="e">
        <f>#REF!</f>
        <v>#REF!</v>
      </c>
      <c r="M41" s="263" t="e">
        <f>#REF!</f>
        <v>#REF!</v>
      </c>
      <c r="N41" s="263" t="e">
        <f>#REF!</f>
        <v>#REF!</v>
      </c>
      <c r="O41" s="263" t="e">
        <f>#REF!</f>
        <v>#REF!</v>
      </c>
      <c r="P41" s="263" t="e">
        <f>#REF!</f>
        <v>#REF!</v>
      </c>
      <c r="Q41" s="263" t="e">
        <f>#REF!</f>
        <v>#REF!</v>
      </c>
      <c r="R41" s="238" t="e">
        <f>#REF!</f>
        <v>#REF!</v>
      </c>
      <c r="S41" s="239" t="e">
        <f>AVERAGE(F41:Q41)</f>
        <v>#REF!</v>
      </c>
      <c r="T41" s="240" t="e">
        <f>U41/S41</f>
        <v>#REF!</v>
      </c>
      <c r="U41" s="306" t="e">
        <f>SUM(E41-R41)</f>
        <v>#REF!</v>
      </c>
      <c r="V41" s="233">
        <v>2012</v>
      </c>
      <c r="W41" s="234"/>
      <c r="X41" s="220"/>
      <c r="Y41" s="220"/>
      <c r="Z41" s="220"/>
      <c r="AA41" s="220"/>
      <c r="AB41" s="303"/>
      <c r="AC41" s="304"/>
      <c r="AD41" s="304"/>
      <c r="AE41" s="304"/>
    </row>
    <row r="42" spans="1:31" ht="16.149999999999999" customHeight="1" x14ac:dyDescent="0.2">
      <c r="A42" s="234"/>
      <c r="B42" s="233">
        <v>2013</v>
      </c>
      <c r="C42" s="234"/>
      <c r="D42" s="262"/>
      <c r="E42" s="263" t="e">
        <f>#REF!</f>
        <v>#REF!</v>
      </c>
      <c r="F42" s="263" t="e">
        <f>#REF!</f>
        <v>#REF!</v>
      </c>
      <c r="G42" s="263" t="e">
        <f>#REF!</f>
        <v>#REF!</v>
      </c>
      <c r="H42" s="263" t="e">
        <f>#REF!</f>
        <v>#REF!</v>
      </c>
      <c r="I42" s="263" t="e">
        <f>#REF!</f>
        <v>#REF!</v>
      </c>
      <c r="J42" s="263" t="e">
        <f>#REF!</f>
        <v>#REF!</v>
      </c>
      <c r="K42" s="263" t="e">
        <f>#REF!</f>
        <v>#REF!</v>
      </c>
      <c r="L42" s="263" t="e">
        <f>#REF!</f>
        <v>#REF!</v>
      </c>
      <c r="M42" s="263" t="e">
        <f>#REF!</f>
        <v>#REF!</v>
      </c>
      <c r="N42" s="263" t="e">
        <f>#REF!</f>
        <v>#REF!</v>
      </c>
      <c r="O42" s="263" t="e">
        <f>#REF!</f>
        <v>#REF!</v>
      </c>
      <c r="P42" s="263" t="e">
        <f>#REF!</f>
        <v>#REF!</v>
      </c>
      <c r="Q42" s="263" t="e">
        <f>#REF!</f>
        <v>#REF!</v>
      </c>
      <c r="R42" s="238" t="e">
        <f>#REF!</f>
        <v>#REF!</v>
      </c>
      <c r="S42" s="264" t="e">
        <f>AVERAGE(F42:Q42)</f>
        <v>#REF!</v>
      </c>
      <c r="T42" s="265" t="e">
        <f>U42/S42</f>
        <v>#REF!</v>
      </c>
      <c r="U42" s="306" t="e">
        <f>SUM(E42-R42)</f>
        <v>#REF!</v>
      </c>
      <c r="V42" s="233">
        <v>2013</v>
      </c>
      <c r="W42" s="234"/>
      <c r="X42" s="220"/>
      <c r="Y42" s="220"/>
      <c r="Z42" s="220"/>
      <c r="AA42" s="220"/>
      <c r="AB42" s="303"/>
      <c r="AC42" s="304"/>
      <c r="AD42" s="304"/>
      <c r="AE42" s="304"/>
    </row>
    <row r="43" spans="1:31" x14ac:dyDescent="0.2">
      <c r="A43" s="234"/>
      <c r="B43" s="233">
        <v>2014</v>
      </c>
      <c r="C43" s="234"/>
      <c r="D43" s="262"/>
      <c r="E43" s="263" t="e">
        <f>E34+#REF!</f>
        <v>#REF!</v>
      </c>
      <c r="F43" s="263" t="e">
        <f>F34+#REF!</f>
        <v>#REF!</v>
      </c>
      <c r="G43" s="263" t="e">
        <f>G34+#REF!</f>
        <v>#REF!</v>
      </c>
      <c r="H43" s="263" t="e">
        <f>H34+#REF!</f>
        <v>#REF!</v>
      </c>
      <c r="I43" s="263" t="e">
        <f>I34+#REF!</f>
        <v>#REF!</v>
      </c>
      <c r="J43" s="263" t="e">
        <f>J34+#REF!</f>
        <v>#REF!</v>
      </c>
      <c r="K43" s="263" t="e">
        <f>K34+#REF!</f>
        <v>#REF!</v>
      </c>
      <c r="L43" s="263" t="e">
        <f>L34+#REF!</f>
        <v>#REF!</v>
      </c>
      <c r="M43" s="263" t="e">
        <f>M34+#REF!</f>
        <v>#REF!</v>
      </c>
      <c r="N43" s="263" t="e">
        <f>N34+#REF!</f>
        <v>#REF!</v>
      </c>
      <c r="O43" s="263" t="e">
        <f>O34+#REF!</f>
        <v>#REF!</v>
      </c>
      <c r="P43" s="263" t="e">
        <f>P34+#REF!</f>
        <v>#REF!</v>
      </c>
      <c r="Q43" s="263" t="e">
        <f>Q34+#REF!</f>
        <v>#REF!</v>
      </c>
      <c r="R43" s="238" t="e">
        <f>#REF!+R34</f>
        <v>#REF!</v>
      </c>
      <c r="S43" s="264" t="e">
        <f>AVERAGE(F43:Q43)</f>
        <v>#REF!</v>
      </c>
      <c r="T43" s="265" t="e">
        <f>U43/S43</f>
        <v>#REF!</v>
      </c>
      <c r="U43" s="306" t="e">
        <f>SUM(E43-R43)</f>
        <v>#REF!</v>
      </c>
      <c r="V43" s="233">
        <v>2014</v>
      </c>
      <c r="W43" s="234"/>
      <c r="X43" s="220"/>
      <c r="Y43" s="220"/>
      <c r="Z43" s="220"/>
      <c r="AA43" s="220"/>
      <c r="AB43" s="303"/>
      <c r="AC43" s="304"/>
      <c r="AD43" s="304"/>
      <c r="AE43" s="304"/>
    </row>
    <row r="44" spans="1:31" x14ac:dyDescent="0.2">
      <c r="A44" s="234"/>
      <c r="B44" s="233">
        <v>2015</v>
      </c>
      <c r="C44" s="234"/>
      <c r="D44" s="262"/>
      <c r="E44" s="263" t="e">
        <f>E35+#REF!</f>
        <v>#REF!</v>
      </c>
      <c r="F44" s="263" t="e">
        <f>F35+#REF!</f>
        <v>#REF!</v>
      </c>
      <c r="G44" s="263" t="e">
        <f>G35+#REF!</f>
        <v>#REF!</v>
      </c>
      <c r="H44" s="263" t="e">
        <f>H35+#REF!</f>
        <v>#REF!</v>
      </c>
      <c r="I44" s="263" t="e">
        <f>I35+#REF!</f>
        <v>#REF!</v>
      </c>
      <c r="J44" s="263" t="e">
        <f>J35+#REF!</f>
        <v>#REF!</v>
      </c>
      <c r="K44" s="263" t="e">
        <f>K35+#REF!</f>
        <v>#REF!</v>
      </c>
      <c r="L44" s="263" t="e">
        <f>L35+#REF!</f>
        <v>#REF!</v>
      </c>
      <c r="M44" s="263" t="e">
        <f>M35+#REF!</f>
        <v>#REF!</v>
      </c>
      <c r="N44" s="263" t="e">
        <f>N35+#REF!</f>
        <v>#REF!</v>
      </c>
      <c r="O44" s="263" t="e">
        <f>O35+#REF!</f>
        <v>#REF!</v>
      </c>
      <c r="P44" s="263" t="e">
        <f>P35+#REF!</f>
        <v>#REF!</v>
      </c>
      <c r="Q44" s="263" t="e">
        <f>Q35+#REF!</f>
        <v>#REF!</v>
      </c>
      <c r="R44" s="238" t="e">
        <f>#REF!+R35</f>
        <v>#REF!</v>
      </c>
      <c r="S44" s="264" t="e">
        <f>AVERAGE(F44:Q44)</f>
        <v>#REF!</v>
      </c>
      <c r="T44" s="265" t="e">
        <f>U44/S44</f>
        <v>#REF!</v>
      </c>
      <c r="U44" s="306" t="e">
        <f>SUM(E44-R44)</f>
        <v>#REF!</v>
      </c>
      <c r="V44" s="233">
        <v>2015</v>
      </c>
      <c r="W44" s="234"/>
      <c r="X44" s="220"/>
      <c r="Y44" s="220"/>
      <c r="Z44" s="220"/>
      <c r="AA44" s="220"/>
      <c r="AB44" s="303"/>
      <c r="AC44" s="304"/>
      <c r="AD44" s="304"/>
      <c r="AE44" s="304"/>
    </row>
    <row r="45" spans="1:31" x14ac:dyDescent="0.2">
      <c r="A45" s="234"/>
      <c r="B45" s="266" t="s">
        <v>59</v>
      </c>
      <c r="C45" s="234"/>
      <c r="D45" s="262"/>
      <c r="E45" s="267" t="e">
        <f>SUM(E41:E44)</f>
        <v>#REF!</v>
      </c>
      <c r="F45" s="267" t="e">
        <f t="shared" ref="F45:Q45" si="10">SUM(F41:F44)</f>
        <v>#REF!</v>
      </c>
      <c r="G45" s="267" t="e">
        <f t="shared" si="10"/>
        <v>#REF!</v>
      </c>
      <c r="H45" s="267" t="e">
        <f t="shared" si="10"/>
        <v>#REF!</v>
      </c>
      <c r="I45" s="267" t="e">
        <f t="shared" si="10"/>
        <v>#REF!</v>
      </c>
      <c r="J45" s="267" t="e">
        <f t="shared" si="10"/>
        <v>#REF!</v>
      </c>
      <c r="K45" s="267" t="e">
        <f t="shared" si="10"/>
        <v>#REF!</v>
      </c>
      <c r="L45" s="267" t="e">
        <f t="shared" si="10"/>
        <v>#REF!</v>
      </c>
      <c r="M45" s="267" t="e">
        <f t="shared" si="10"/>
        <v>#REF!</v>
      </c>
      <c r="N45" s="267" t="e">
        <f t="shared" si="10"/>
        <v>#REF!</v>
      </c>
      <c r="O45" s="267" t="e">
        <f t="shared" si="10"/>
        <v>#REF!</v>
      </c>
      <c r="P45" s="267" t="e">
        <f t="shared" si="10"/>
        <v>#REF!</v>
      </c>
      <c r="Q45" s="267" t="e">
        <f t="shared" si="10"/>
        <v>#REF!</v>
      </c>
      <c r="R45" s="238" t="e">
        <f>SUM(R41:R44)</f>
        <v>#REF!</v>
      </c>
      <c r="S45" s="268" t="e">
        <f>SUM(S41:S44)</f>
        <v>#REF!</v>
      </c>
      <c r="T45" s="240" t="e">
        <f>U45/S45</f>
        <v>#REF!</v>
      </c>
      <c r="U45" s="306" t="e">
        <f>SUM(E45-R45)</f>
        <v>#REF!</v>
      </c>
      <c r="V45" s="266" t="s">
        <v>59</v>
      </c>
      <c r="W45" s="234"/>
      <c r="X45" s="220"/>
      <c r="Y45" s="220"/>
      <c r="Z45" s="220"/>
      <c r="AA45" s="220"/>
      <c r="AB45" s="303"/>
      <c r="AC45" s="304"/>
      <c r="AD45" s="304"/>
      <c r="AE45" s="304"/>
    </row>
    <row r="46" spans="1:31" x14ac:dyDescent="0.2">
      <c r="A46" s="226"/>
      <c r="B46" s="269"/>
      <c r="C46" s="269"/>
      <c r="D46" s="270"/>
      <c r="E46" s="272"/>
      <c r="F46" s="272"/>
      <c r="G46" s="272"/>
      <c r="H46" s="272"/>
      <c r="I46" s="272"/>
      <c r="J46" s="272"/>
      <c r="K46" s="272"/>
      <c r="L46" s="272"/>
      <c r="M46" s="272"/>
      <c r="N46" s="272"/>
      <c r="O46" s="272"/>
      <c r="P46" s="272"/>
      <c r="Q46" s="272"/>
      <c r="R46" s="269"/>
      <c r="S46" s="270"/>
      <c r="T46" s="273"/>
      <c r="U46" s="305"/>
      <c r="V46" s="269"/>
      <c r="W46" s="269"/>
      <c r="X46" s="220"/>
      <c r="Y46" s="220"/>
      <c r="Z46" s="220"/>
      <c r="AA46" s="220"/>
      <c r="AB46" s="220"/>
      <c r="AC46" s="220"/>
      <c r="AD46" s="220"/>
      <c r="AE46" s="220"/>
    </row>
    <row r="47" spans="1:31" ht="16.5" thickBot="1" x14ac:dyDescent="0.3">
      <c r="A47" s="220"/>
      <c r="B47" s="220"/>
      <c r="C47" s="220"/>
      <c r="D47" s="220"/>
      <c r="E47" s="221"/>
      <c r="F47" s="221"/>
      <c r="G47" s="221"/>
      <c r="H47" s="221"/>
      <c r="I47" s="221"/>
      <c r="J47" s="221"/>
      <c r="K47" s="221"/>
      <c r="L47" s="221"/>
      <c r="M47" s="221"/>
      <c r="N47" s="221"/>
      <c r="O47" s="221"/>
      <c r="P47" s="221"/>
      <c r="Q47" s="221"/>
      <c r="R47" s="220"/>
      <c r="S47" s="275"/>
      <c r="T47" s="277"/>
      <c r="U47" s="276"/>
      <c r="V47" s="220"/>
      <c r="W47" s="220"/>
      <c r="X47" s="220"/>
      <c r="Y47" s="220"/>
      <c r="Z47" s="220"/>
      <c r="AA47" s="220"/>
      <c r="AB47" s="310"/>
      <c r="AC47" s="310"/>
      <c r="AD47" s="311"/>
      <c r="AE47" s="310"/>
    </row>
    <row r="48" spans="1:31" ht="48" thickBot="1" x14ac:dyDescent="0.3">
      <c r="A48" s="220"/>
      <c r="B48" s="286" t="s">
        <v>60</v>
      </c>
      <c r="C48" s="287"/>
      <c r="D48" s="287"/>
      <c r="E48" s="127" t="s">
        <v>138</v>
      </c>
      <c r="F48" s="449" t="s">
        <v>139</v>
      </c>
      <c r="G48" s="450"/>
      <c r="H48" s="450"/>
      <c r="I48" s="450"/>
      <c r="J48" s="450"/>
      <c r="K48" s="450"/>
      <c r="L48" s="450"/>
      <c r="M48" s="450"/>
      <c r="N48" s="450"/>
      <c r="O48" s="450"/>
      <c r="P48" s="450"/>
      <c r="Q48" s="450"/>
      <c r="R48" s="119" t="s">
        <v>63</v>
      </c>
      <c r="S48" s="288"/>
      <c r="T48" s="288"/>
      <c r="U48" s="221"/>
      <c r="V48" s="286" t="s">
        <v>60</v>
      </c>
      <c r="W48" s="287"/>
      <c r="X48" s="220"/>
      <c r="Y48" s="220"/>
      <c r="Z48" s="220"/>
      <c r="AA48" s="220"/>
      <c r="AB48" s="310"/>
      <c r="AC48" s="310"/>
      <c r="AD48" s="311"/>
      <c r="AE48" s="310"/>
    </row>
    <row r="49" spans="1:31" ht="15.75" x14ac:dyDescent="0.25">
      <c r="A49" s="220"/>
      <c r="B49" s="289"/>
      <c r="C49" s="289"/>
      <c r="D49" s="289"/>
      <c r="E49" s="290"/>
      <c r="F49" s="291"/>
      <c r="G49" s="291"/>
      <c r="H49" s="291"/>
      <c r="I49" s="291"/>
      <c r="J49" s="291"/>
      <c r="K49" s="291"/>
      <c r="L49" s="291"/>
      <c r="M49" s="291"/>
      <c r="N49" s="291"/>
      <c r="O49" s="291"/>
      <c r="P49" s="291"/>
      <c r="Q49" s="292"/>
      <c r="R49" s="289"/>
      <c r="S49" s="220"/>
      <c r="T49" s="220"/>
      <c r="U49" s="312"/>
      <c r="V49" s="289"/>
      <c r="W49" s="289"/>
      <c r="X49" s="220"/>
      <c r="Y49" s="220"/>
      <c r="Z49" s="220"/>
      <c r="AA49" s="220"/>
      <c r="AB49" s="310"/>
      <c r="AC49" s="310"/>
      <c r="AD49" s="311"/>
      <c r="AE49" s="310"/>
    </row>
    <row r="50" spans="1:31" x14ac:dyDescent="0.2">
      <c r="A50" s="220"/>
      <c r="B50" s="234"/>
      <c r="C50" s="234"/>
      <c r="D50" s="234"/>
      <c r="E50" s="291"/>
      <c r="F50" s="236"/>
      <c r="G50" s="236"/>
      <c r="H50" s="236"/>
      <c r="I50" s="236"/>
      <c r="J50" s="236"/>
      <c r="K50" s="236"/>
      <c r="L50" s="236"/>
      <c r="M50" s="236"/>
      <c r="N50" s="236"/>
      <c r="O50" s="236"/>
      <c r="P50" s="236"/>
      <c r="Q50" s="293"/>
      <c r="R50" s="234"/>
      <c r="S50" s="220"/>
      <c r="T50" s="220"/>
      <c r="U50" s="221"/>
      <c r="V50" s="234"/>
      <c r="W50" s="234"/>
      <c r="X50" s="220"/>
      <c r="Y50" s="220"/>
      <c r="Z50" s="220"/>
      <c r="AA50" s="220"/>
      <c r="AB50" s="310"/>
      <c r="AC50" s="310"/>
      <c r="AD50" s="310"/>
      <c r="AE50" s="310"/>
    </row>
    <row r="51" spans="1:31" x14ac:dyDescent="0.2">
      <c r="A51" s="220"/>
      <c r="B51" s="228"/>
      <c r="C51" s="228"/>
      <c r="D51" s="228"/>
      <c r="E51" s="229"/>
      <c r="F51" s="229"/>
      <c r="G51" s="229"/>
      <c r="H51" s="229"/>
      <c r="I51" s="229"/>
      <c r="J51" s="229"/>
      <c r="K51" s="229"/>
      <c r="L51" s="229"/>
      <c r="M51" s="229"/>
      <c r="N51" s="229"/>
      <c r="O51" s="229"/>
      <c r="P51" s="229"/>
      <c r="Q51" s="294"/>
      <c r="R51" s="228"/>
      <c r="S51" s="220"/>
      <c r="T51" s="220"/>
      <c r="U51" s="221"/>
      <c r="V51" s="228"/>
      <c r="W51" s="228"/>
      <c r="X51" s="220"/>
      <c r="Y51" s="220"/>
      <c r="Z51" s="220"/>
      <c r="AA51" s="220"/>
      <c r="AB51" s="313"/>
      <c r="AC51" s="310"/>
      <c r="AD51" s="310"/>
      <c r="AE51" s="310"/>
    </row>
    <row r="52" spans="1:31" x14ac:dyDescent="0.2">
      <c r="A52" s="220"/>
      <c r="B52" s="234"/>
      <c r="C52" s="234"/>
      <c r="D52" s="234"/>
      <c r="E52" s="236"/>
      <c r="F52" s="236"/>
      <c r="G52" s="236"/>
      <c r="H52" s="236"/>
      <c r="I52" s="236"/>
      <c r="J52" s="236"/>
      <c r="K52" s="236"/>
      <c r="L52" s="236"/>
      <c r="M52" s="236"/>
      <c r="N52" s="236"/>
      <c r="O52" s="236"/>
      <c r="P52" s="236"/>
      <c r="Q52" s="293"/>
      <c r="R52" s="234"/>
      <c r="S52" s="220"/>
      <c r="T52" s="220"/>
      <c r="U52" s="221"/>
      <c r="V52" s="234"/>
      <c r="W52" s="234"/>
      <c r="X52" s="220"/>
      <c r="Y52" s="220"/>
      <c r="Z52" s="220"/>
      <c r="AA52" s="220"/>
      <c r="AB52" s="313"/>
      <c r="AC52" s="310"/>
      <c r="AD52" s="310"/>
      <c r="AE52" s="310"/>
    </row>
    <row r="53" spans="1:31" x14ac:dyDescent="0.2">
      <c r="A53" s="220"/>
      <c r="B53" s="234"/>
      <c r="C53" s="234"/>
      <c r="D53" s="234"/>
      <c r="E53" s="236"/>
      <c r="F53" s="236"/>
      <c r="G53" s="236"/>
      <c r="H53" s="236"/>
      <c r="I53" s="236"/>
      <c r="J53" s="236"/>
      <c r="K53" s="236"/>
      <c r="L53" s="236"/>
      <c r="M53" s="236"/>
      <c r="N53" s="236"/>
      <c r="O53" s="236"/>
      <c r="P53" s="236"/>
      <c r="Q53" s="293"/>
      <c r="R53" s="234"/>
      <c r="S53" s="220"/>
      <c r="T53" s="220"/>
      <c r="U53" s="221"/>
      <c r="V53" s="234"/>
      <c r="W53" s="234"/>
      <c r="X53" s="220"/>
      <c r="Y53" s="220"/>
      <c r="Z53" s="220"/>
      <c r="AA53" s="220"/>
      <c r="AB53" s="313"/>
      <c r="AC53" s="310"/>
      <c r="AD53" s="310"/>
      <c r="AE53" s="310"/>
    </row>
    <row r="54" spans="1:31" x14ac:dyDescent="0.2">
      <c r="A54" s="220"/>
      <c r="B54" s="282"/>
      <c r="C54" s="282"/>
      <c r="D54" s="282"/>
      <c r="E54" s="271"/>
      <c r="F54" s="271"/>
      <c r="G54" s="271"/>
      <c r="H54" s="271"/>
      <c r="I54" s="271"/>
      <c r="J54" s="271"/>
      <c r="K54" s="271"/>
      <c r="L54" s="271"/>
      <c r="M54" s="271"/>
      <c r="N54" s="271"/>
      <c r="O54" s="271"/>
      <c r="P54" s="271"/>
      <c r="Q54" s="271"/>
      <c r="R54" s="228"/>
      <c r="S54" s="220"/>
      <c r="T54" s="220"/>
      <c r="U54" s="221"/>
      <c r="V54" s="282"/>
      <c r="W54" s="282"/>
      <c r="X54" s="220"/>
      <c r="Y54" s="220"/>
      <c r="Z54" s="220"/>
      <c r="AA54" s="220"/>
      <c r="AB54" s="313"/>
      <c r="AC54" s="310"/>
      <c r="AD54" s="310"/>
      <c r="AE54" s="310"/>
    </row>
    <row r="55" spans="1:31" ht="15.75" thickBot="1" x14ac:dyDescent="0.25">
      <c r="A55" s="220"/>
      <c r="B55" s="220"/>
      <c r="C55" s="220"/>
      <c r="D55" s="220"/>
      <c r="E55" s="221"/>
      <c r="F55" s="221"/>
      <c r="G55" s="221"/>
      <c r="H55" s="221"/>
      <c r="I55" s="221"/>
      <c r="J55" s="221"/>
      <c r="K55" s="221"/>
      <c r="L55" s="221"/>
      <c r="M55" s="221"/>
      <c r="N55" s="221"/>
      <c r="O55" s="221"/>
      <c r="P55" s="221"/>
      <c r="Q55" s="221"/>
      <c r="R55" s="220"/>
      <c r="S55" s="220"/>
      <c r="T55" s="220"/>
      <c r="U55" s="221"/>
      <c r="V55" s="220"/>
      <c r="W55" s="220"/>
      <c r="X55" s="220"/>
      <c r="Y55" s="220"/>
      <c r="Z55" s="220"/>
      <c r="AA55" s="220"/>
      <c r="AB55" s="313"/>
      <c r="AC55" s="310"/>
      <c r="AD55" s="310"/>
      <c r="AE55" s="310"/>
    </row>
    <row r="56" spans="1:31" ht="63.75" thickBot="1" x14ac:dyDescent="0.3">
      <c r="A56" s="220"/>
      <c r="B56" s="451" t="s">
        <v>60</v>
      </c>
      <c r="C56" s="452"/>
      <c r="D56" s="453"/>
      <c r="E56" s="127" t="s">
        <v>64</v>
      </c>
      <c r="F56" s="449" t="s">
        <v>140</v>
      </c>
      <c r="G56" s="450"/>
      <c r="H56" s="450"/>
      <c r="I56" s="450"/>
      <c r="J56" s="450"/>
      <c r="K56" s="450"/>
      <c r="L56" s="450"/>
      <c r="M56" s="450"/>
      <c r="N56" s="450"/>
      <c r="O56" s="450"/>
      <c r="P56" s="450"/>
      <c r="Q56" s="454"/>
      <c r="R56" s="119" t="s">
        <v>66</v>
      </c>
      <c r="S56" s="220"/>
      <c r="T56" s="220"/>
      <c r="U56" s="221"/>
      <c r="V56" s="220"/>
      <c r="W56" s="220"/>
      <c r="X56" s="220"/>
      <c r="Y56" s="220"/>
      <c r="Z56" s="220"/>
      <c r="AA56" s="220"/>
      <c r="AB56" s="314"/>
      <c r="AC56" s="310"/>
      <c r="AD56" s="310"/>
      <c r="AE56" s="310"/>
    </row>
    <row r="57" spans="1:31" ht="15.75" x14ac:dyDescent="0.25">
      <c r="A57" s="220"/>
      <c r="B57" s="289"/>
      <c r="C57" s="289"/>
      <c r="D57" s="289"/>
      <c r="E57" s="122"/>
      <c r="F57" s="291"/>
      <c r="G57" s="291"/>
      <c r="H57" s="291"/>
      <c r="I57" s="291"/>
      <c r="J57" s="291"/>
      <c r="K57" s="291"/>
      <c r="L57" s="291"/>
      <c r="M57" s="291"/>
      <c r="N57" s="291"/>
      <c r="O57" s="291"/>
      <c r="P57" s="291"/>
      <c r="Q57" s="291"/>
      <c r="R57" s="289"/>
      <c r="S57" s="220"/>
      <c r="T57" s="220"/>
      <c r="U57" s="221"/>
      <c r="V57" s="289"/>
      <c r="W57" s="289"/>
      <c r="X57" s="220"/>
      <c r="Y57" s="220"/>
      <c r="Z57" s="220"/>
      <c r="AA57" s="220"/>
      <c r="AB57" s="315"/>
      <c r="AC57" s="220"/>
      <c r="AD57" s="220"/>
      <c r="AE57" s="310"/>
    </row>
    <row r="58" spans="1:31" x14ac:dyDescent="0.2">
      <c r="A58" s="220"/>
      <c r="B58" s="234"/>
      <c r="C58" s="234"/>
      <c r="D58" s="234"/>
      <c r="E58" s="291"/>
      <c r="F58" s="236"/>
      <c r="G58" s="236"/>
      <c r="H58" s="236"/>
      <c r="I58" s="236"/>
      <c r="J58" s="236"/>
      <c r="K58" s="236"/>
      <c r="L58" s="236"/>
      <c r="M58" s="236"/>
      <c r="N58" s="236"/>
      <c r="O58" s="236"/>
      <c r="P58" s="236"/>
      <c r="Q58" s="236"/>
      <c r="R58" s="234"/>
      <c r="S58" s="220"/>
      <c r="T58" s="220"/>
      <c r="U58" s="221"/>
      <c r="V58" s="234"/>
      <c r="W58" s="234"/>
      <c r="X58" s="220"/>
      <c r="Y58" s="220"/>
      <c r="Z58" s="220"/>
      <c r="AA58" s="220"/>
      <c r="AB58" s="314"/>
      <c r="AC58" s="310"/>
      <c r="AD58" s="310"/>
      <c r="AE58" s="310"/>
    </row>
    <row r="59" spans="1:31" x14ac:dyDescent="0.2">
      <c r="A59" s="220"/>
      <c r="B59" s="228"/>
      <c r="C59" s="228"/>
      <c r="D59" s="228"/>
      <c r="E59" s="229"/>
      <c r="F59" s="229"/>
      <c r="G59" s="229"/>
      <c r="H59" s="229"/>
      <c r="I59" s="229"/>
      <c r="J59" s="229"/>
      <c r="K59" s="229"/>
      <c r="L59" s="229"/>
      <c r="M59" s="229"/>
      <c r="N59" s="229"/>
      <c r="O59" s="229"/>
      <c r="P59" s="229"/>
      <c r="Q59" s="229"/>
      <c r="R59" s="228"/>
      <c r="S59" s="220"/>
      <c r="T59" s="220"/>
      <c r="U59" s="221"/>
      <c r="V59" s="228"/>
      <c r="W59" s="228"/>
      <c r="X59" s="220"/>
      <c r="Y59" s="220"/>
      <c r="Z59" s="220"/>
      <c r="AA59" s="220"/>
      <c r="AB59" s="314"/>
      <c r="AC59" s="310"/>
      <c r="AD59" s="310"/>
      <c r="AE59" s="310"/>
    </row>
    <row r="60" spans="1:31" x14ac:dyDescent="0.2">
      <c r="A60" s="220"/>
      <c r="B60" s="234"/>
      <c r="C60" s="234"/>
      <c r="D60" s="234"/>
      <c r="E60" s="236"/>
      <c r="F60" s="236"/>
      <c r="G60" s="236"/>
      <c r="H60" s="236"/>
      <c r="I60" s="236"/>
      <c r="J60" s="236"/>
      <c r="K60" s="236"/>
      <c r="L60" s="236"/>
      <c r="M60" s="236"/>
      <c r="N60" s="236"/>
      <c r="O60" s="236"/>
      <c r="P60" s="236"/>
      <c r="Q60" s="236"/>
      <c r="R60" s="234"/>
      <c r="S60" s="220"/>
      <c r="T60" s="220"/>
      <c r="U60" s="221"/>
      <c r="V60" s="234"/>
      <c r="W60" s="234"/>
      <c r="X60" s="220"/>
      <c r="Y60" s="220"/>
      <c r="Z60" s="220"/>
      <c r="AA60" s="220"/>
      <c r="AB60" s="310"/>
      <c r="AC60" s="310"/>
      <c r="AD60" s="310"/>
      <c r="AE60" s="310"/>
    </row>
    <row r="61" spans="1:31" x14ac:dyDescent="0.2">
      <c r="A61" s="220"/>
      <c r="B61" s="234"/>
      <c r="C61" s="234"/>
      <c r="D61" s="234"/>
      <c r="E61" s="236"/>
      <c r="F61" s="236"/>
      <c r="G61" s="236"/>
      <c r="H61" s="236"/>
      <c r="I61" s="236"/>
      <c r="J61" s="236"/>
      <c r="K61" s="236"/>
      <c r="L61" s="236"/>
      <c r="M61" s="236"/>
      <c r="N61" s="236"/>
      <c r="O61" s="236"/>
      <c r="P61" s="236"/>
      <c r="Q61" s="236"/>
      <c r="R61" s="234"/>
      <c r="S61" s="220"/>
      <c r="T61" s="220"/>
      <c r="U61" s="221"/>
      <c r="V61" s="234"/>
      <c r="W61" s="234"/>
      <c r="X61" s="220"/>
      <c r="Y61" s="220"/>
      <c r="Z61" s="220"/>
      <c r="AA61" s="220"/>
      <c r="AB61" s="310"/>
      <c r="AC61" s="310"/>
      <c r="AD61" s="310"/>
      <c r="AE61" s="310"/>
    </row>
    <row r="62" spans="1:31" x14ac:dyDescent="0.2">
      <c r="A62" s="220"/>
      <c r="B62" s="220"/>
      <c r="C62" s="220"/>
      <c r="D62" s="220"/>
      <c r="E62" s="220"/>
      <c r="F62" s="220"/>
      <c r="G62" s="220"/>
      <c r="H62" s="220"/>
      <c r="I62" s="220"/>
      <c r="J62" s="220"/>
      <c r="K62" s="220"/>
      <c r="L62" s="220"/>
      <c r="M62" s="220"/>
      <c r="N62" s="220"/>
      <c r="O62" s="220"/>
      <c r="P62" s="220"/>
      <c r="Q62" s="220"/>
      <c r="R62" s="220"/>
      <c r="S62" s="220"/>
      <c r="T62" s="220"/>
      <c r="U62" s="221"/>
      <c r="V62" s="220"/>
      <c r="W62" s="220"/>
      <c r="X62" s="220"/>
      <c r="Y62" s="220"/>
      <c r="Z62" s="220"/>
      <c r="AA62" s="220"/>
      <c r="AB62" s="310"/>
      <c r="AC62" s="310"/>
      <c r="AD62" s="310"/>
      <c r="AE62" s="310"/>
    </row>
    <row r="63" spans="1:31" x14ac:dyDescent="0.2">
      <c r="A63" s="220"/>
      <c r="B63" s="220"/>
      <c r="C63" s="220"/>
      <c r="D63" s="220"/>
      <c r="E63" s="220"/>
      <c r="F63" s="220"/>
      <c r="G63" s="220"/>
      <c r="H63" s="220"/>
      <c r="I63" s="220"/>
      <c r="J63" s="220"/>
      <c r="K63" s="220"/>
      <c r="L63" s="220"/>
      <c r="M63" s="220"/>
      <c r="N63" s="220"/>
      <c r="O63" s="220"/>
      <c r="P63" s="220"/>
      <c r="Q63" s="220"/>
      <c r="R63" s="220"/>
      <c r="S63" s="220"/>
      <c r="T63" s="220"/>
      <c r="U63" s="221"/>
      <c r="V63" s="220"/>
      <c r="W63" s="220"/>
      <c r="X63" s="220"/>
      <c r="Y63" s="220"/>
      <c r="Z63" s="220"/>
      <c r="AA63" s="220"/>
      <c r="AB63" s="310"/>
      <c r="AC63" s="310"/>
      <c r="AD63" s="310"/>
      <c r="AE63" s="310"/>
    </row>
    <row r="64" spans="1:31" x14ac:dyDescent="0.2">
      <c r="A64" s="220"/>
      <c r="B64" s="220"/>
      <c r="C64" s="220"/>
      <c r="D64" s="220"/>
      <c r="E64" s="220"/>
      <c r="F64" s="220"/>
      <c r="G64" s="220"/>
      <c r="H64" s="220"/>
      <c r="I64" s="220"/>
      <c r="J64" s="220"/>
      <c r="K64" s="220"/>
      <c r="L64" s="220"/>
      <c r="M64" s="220"/>
      <c r="N64" s="220"/>
      <c r="O64" s="220"/>
      <c r="P64" s="220"/>
      <c r="Q64" s="220"/>
      <c r="R64" s="220"/>
      <c r="S64" s="220"/>
      <c r="T64" s="220"/>
      <c r="U64" s="221"/>
      <c r="V64" s="220"/>
      <c r="W64" s="220"/>
      <c r="X64" s="220"/>
      <c r="Y64" s="220"/>
      <c r="Z64" s="220"/>
      <c r="AA64" s="220"/>
      <c r="AB64" s="310"/>
      <c r="AC64" s="310"/>
      <c r="AD64" s="310"/>
      <c r="AE64" s="310"/>
    </row>
    <row r="65" spans="1:31" x14ac:dyDescent="0.2">
      <c r="A65" s="220"/>
      <c r="B65" s="220"/>
      <c r="C65" s="220"/>
      <c r="D65" s="220"/>
      <c r="E65" s="220"/>
      <c r="F65" s="220"/>
      <c r="G65" s="220"/>
      <c r="H65" s="220"/>
      <c r="I65" s="220"/>
      <c r="J65" s="220"/>
      <c r="K65" s="220"/>
      <c r="L65" s="220"/>
      <c r="M65" s="220"/>
      <c r="N65" s="220"/>
      <c r="O65" s="220"/>
      <c r="P65" s="220"/>
      <c r="Q65" s="220"/>
      <c r="R65" s="220"/>
      <c r="S65" s="220"/>
      <c r="T65" s="220"/>
      <c r="U65" s="221"/>
      <c r="V65" s="220"/>
      <c r="W65" s="220"/>
      <c r="X65" s="220"/>
      <c r="Y65" s="220"/>
      <c r="Z65" s="220"/>
      <c r="AA65" s="220"/>
      <c r="AB65" s="310"/>
      <c r="AC65" s="310"/>
      <c r="AD65" s="310"/>
      <c r="AE65" s="310"/>
    </row>
    <row r="66" spans="1:31" x14ac:dyDescent="0.2">
      <c r="A66" s="220"/>
      <c r="B66" s="220"/>
      <c r="C66" s="220"/>
      <c r="D66" s="220"/>
      <c r="E66" s="220"/>
      <c r="F66" s="220"/>
      <c r="G66" s="220"/>
      <c r="H66" s="220"/>
      <c r="I66" s="220"/>
      <c r="J66" s="220"/>
      <c r="K66" s="220"/>
      <c r="L66" s="220"/>
      <c r="M66" s="220"/>
      <c r="N66" s="220"/>
      <c r="O66" s="220"/>
      <c r="P66" s="220"/>
      <c r="Q66" s="220"/>
      <c r="R66" s="220"/>
      <c r="S66" s="220"/>
      <c r="T66" s="220"/>
      <c r="U66" s="221"/>
      <c r="V66" s="220"/>
      <c r="W66" s="220"/>
      <c r="X66" s="220"/>
      <c r="Y66" s="220"/>
      <c r="Z66" s="220"/>
      <c r="AA66" s="220"/>
      <c r="AB66" s="310"/>
      <c r="AC66" s="310"/>
      <c r="AD66" s="310"/>
      <c r="AE66" s="310"/>
    </row>
    <row r="67" spans="1:31" x14ac:dyDescent="0.2">
      <c r="A67" s="220"/>
      <c r="B67" s="220"/>
      <c r="C67" s="220"/>
      <c r="D67" s="220"/>
      <c r="E67" s="220"/>
      <c r="F67" s="220"/>
      <c r="G67" s="220"/>
      <c r="H67" s="220"/>
      <c r="I67" s="220"/>
      <c r="J67" s="220"/>
      <c r="K67" s="220"/>
      <c r="L67" s="220"/>
      <c r="M67" s="220"/>
      <c r="N67" s="220"/>
      <c r="O67" s="220"/>
      <c r="P67" s="220"/>
      <c r="Q67" s="220"/>
      <c r="R67" s="220"/>
      <c r="S67" s="220"/>
      <c r="T67" s="220"/>
      <c r="U67" s="221"/>
      <c r="V67" s="220"/>
      <c r="W67" s="220"/>
      <c r="X67" s="220"/>
      <c r="Y67" s="220"/>
      <c r="Z67" s="220"/>
      <c r="AA67" s="220"/>
      <c r="AB67" s="310"/>
      <c r="AC67" s="310"/>
      <c r="AD67" s="310"/>
      <c r="AE67" s="310"/>
    </row>
    <row r="68" spans="1:31" x14ac:dyDescent="0.2">
      <c r="A68" s="220"/>
      <c r="B68" s="220"/>
      <c r="C68" s="220"/>
      <c r="D68" s="220"/>
      <c r="E68" s="220"/>
      <c r="F68" s="220"/>
      <c r="G68" s="220"/>
      <c r="H68" s="220"/>
      <c r="I68" s="220"/>
      <c r="J68" s="220"/>
      <c r="K68" s="220"/>
      <c r="L68" s="220"/>
      <c r="M68" s="220"/>
      <c r="N68" s="220"/>
      <c r="O68" s="220"/>
      <c r="P68" s="220"/>
      <c r="Q68" s="220"/>
      <c r="R68" s="220"/>
      <c r="S68" s="220"/>
      <c r="T68" s="220"/>
      <c r="U68" s="221"/>
      <c r="V68" s="220"/>
      <c r="W68" s="220"/>
      <c r="X68" s="220"/>
      <c r="Y68" s="220"/>
      <c r="Z68" s="220"/>
      <c r="AA68" s="220"/>
      <c r="AB68" s="310"/>
      <c r="AC68" s="310"/>
      <c r="AD68" s="310"/>
      <c r="AE68" s="310"/>
    </row>
    <row r="69" spans="1:31" ht="14.25" customHeight="1" x14ac:dyDescent="0.2">
      <c r="A69" s="220"/>
      <c r="B69" s="220"/>
      <c r="C69" s="220"/>
      <c r="D69" s="220"/>
      <c r="E69" s="220"/>
      <c r="F69" s="220"/>
      <c r="G69" s="220"/>
      <c r="H69" s="220"/>
      <c r="I69" s="220"/>
      <c r="J69" s="220"/>
      <c r="K69" s="220"/>
      <c r="L69" s="220"/>
      <c r="M69" s="220"/>
      <c r="N69" s="220"/>
      <c r="O69" s="220"/>
      <c r="P69" s="220"/>
      <c r="Q69" s="220"/>
      <c r="R69" s="220"/>
      <c r="S69" s="220"/>
      <c r="T69" s="220"/>
      <c r="U69" s="221"/>
      <c r="V69" s="220"/>
      <c r="W69" s="220"/>
      <c r="X69" s="220"/>
      <c r="Y69" s="220"/>
      <c r="Z69" s="220"/>
      <c r="AA69" s="220"/>
      <c r="AB69" s="310"/>
      <c r="AC69" s="310"/>
      <c r="AD69" s="310"/>
      <c r="AE69" s="310"/>
    </row>
    <row r="70" spans="1:31" x14ac:dyDescent="0.2">
      <c r="A70" s="220"/>
      <c r="B70" s="220"/>
      <c r="C70" s="220"/>
      <c r="D70" s="220"/>
      <c r="E70" s="220"/>
      <c r="F70" s="220"/>
      <c r="G70" s="220"/>
      <c r="H70" s="220"/>
      <c r="I70" s="220"/>
      <c r="J70" s="220"/>
      <c r="K70" s="220"/>
      <c r="L70" s="220"/>
      <c r="M70" s="220"/>
      <c r="N70" s="220"/>
      <c r="O70" s="220"/>
      <c r="P70" s="220"/>
      <c r="Q70" s="220"/>
      <c r="R70" s="220"/>
      <c r="S70" s="220"/>
      <c r="T70" s="220"/>
      <c r="U70" s="221"/>
      <c r="V70" s="220"/>
      <c r="W70" s="220"/>
      <c r="X70" s="220"/>
      <c r="Y70" s="220"/>
      <c r="Z70" s="220"/>
      <c r="AA70" s="220"/>
      <c r="AB70" s="310"/>
      <c r="AC70" s="310"/>
      <c r="AD70" s="310"/>
      <c r="AE70" s="310"/>
    </row>
    <row r="71" spans="1:31" x14ac:dyDescent="0.2">
      <c r="A71" s="220"/>
      <c r="B71" s="220"/>
      <c r="C71" s="220"/>
      <c r="D71" s="220"/>
      <c r="E71" s="220"/>
      <c r="F71" s="220"/>
      <c r="G71" s="220"/>
      <c r="H71" s="220"/>
      <c r="I71" s="220"/>
      <c r="J71" s="220"/>
      <c r="K71" s="220"/>
      <c r="L71" s="220"/>
      <c r="M71" s="220"/>
      <c r="N71" s="220"/>
      <c r="O71" s="220"/>
      <c r="P71" s="220"/>
      <c r="Q71" s="220"/>
      <c r="R71" s="220"/>
      <c r="S71" s="220"/>
      <c r="T71" s="220"/>
      <c r="U71" s="221"/>
      <c r="V71" s="220"/>
      <c r="W71" s="220"/>
      <c r="X71" s="220"/>
      <c r="Y71" s="220"/>
      <c r="Z71" s="220"/>
      <c r="AA71" s="220"/>
      <c r="AB71" s="310"/>
      <c r="AC71" s="310"/>
      <c r="AD71" s="310"/>
      <c r="AE71" s="310"/>
    </row>
    <row r="72" spans="1:31" x14ac:dyDescent="0.2">
      <c r="A72" s="220"/>
      <c r="B72" s="220"/>
      <c r="C72" s="220"/>
      <c r="D72" s="220"/>
      <c r="E72" s="220"/>
      <c r="F72" s="220"/>
      <c r="G72" s="220"/>
      <c r="H72" s="220"/>
      <c r="I72" s="220"/>
      <c r="J72" s="220"/>
      <c r="K72" s="220"/>
      <c r="L72" s="220"/>
      <c r="M72" s="220"/>
      <c r="N72" s="220"/>
      <c r="O72" s="220"/>
      <c r="P72" s="220"/>
      <c r="Q72" s="220"/>
      <c r="R72" s="220"/>
      <c r="S72" s="220"/>
      <c r="T72" s="220"/>
      <c r="U72" s="221"/>
      <c r="V72" s="220"/>
      <c r="W72" s="220"/>
      <c r="X72" s="220"/>
      <c r="Y72" s="220"/>
      <c r="Z72" s="220"/>
      <c r="AA72" s="220"/>
      <c r="AB72" s="310"/>
      <c r="AC72" s="310"/>
      <c r="AD72" s="310"/>
      <c r="AE72" s="310"/>
    </row>
    <row r="73" spans="1:31" x14ac:dyDescent="0.2">
      <c r="A73" s="220"/>
      <c r="B73" s="220"/>
      <c r="C73" s="220"/>
      <c r="D73" s="220"/>
      <c r="E73" s="220"/>
      <c r="F73" s="220"/>
      <c r="G73" s="220"/>
      <c r="H73" s="220"/>
      <c r="I73" s="220"/>
      <c r="J73" s="220"/>
      <c r="K73" s="220"/>
      <c r="L73" s="220"/>
      <c r="M73" s="220"/>
      <c r="N73" s="220"/>
      <c r="O73" s="220"/>
      <c r="P73" s="220"/>
      <c r="Q73" s="220"/>
      <c r="R73" s="220"/>
      <c r="S73" s="220"/>
      <c r="T73" s="220"/>
      <c r="U73" s="221"/>
      <c r="V73" s="220"/>
      <c r="W73" s="220"/>
      <c r="X73" s="220"/>
      <c r="Y73" s="220"/>
      <c r="Z73" s="220"/>
      <c r="AA73" s="220"/>
      <c r="AB73" s="310"/>
      <c r="AC73" s="310"/>
      <c r="AD73" s="310"/>
      <c r="AE73" s="310"/>
    </row>
    <row r="74" spans="1:31" x14ac:dyDescent="0.2">
      <c r="A74" s="220"/>
      <c r="B74" s="220"/>
      <c r="C74" s="220"/>
      <c r="D74" s="220"/>
      <c r="E74" s="220"/>
      <c r="F74" s="220"/>
      <c r="G74" s="220"/>
      <c r="H74" s="220"/>
      <c r="I74" s="220"/>
      <c r="J74" s="220"/>
      <c r="K74" s="220"/>
      <c r="L74" s="220"/>
      <c r="M74" s="220"/>
      <c r="N74" s="220"/>
      <c r="O74" s="220"/>
      <c r="P74" s="220"/>
      <c r="Q74" s="220"/>
      <c r="R74" s="220"/>
      <c r="S74" s="220"/>
      <c r="T74" s="220"/>
      <c r="U74" s="221"/>
      <c r="V74" s="220"/>
      <c r="W74" s="220"/>
      <c r="X74" s="220"/>
      <c r="Y74" s="220"/>
      <c r="Z74" s="220"/>
      <c r="AA74" s="220"/>
      <c r="AB74" s="310"/>
      <c r="AC74" s="310"/>
      <c r="AD74" s="310"/>
      <c r="AE74" s="310"/>
    </row>
    <row r="75" spans="1:31" x14ac:dyDescent="0.2">
      <c r="A75" s="220"/>
      <c r="B75" s="220"/>
      <c r="C75" s="220"/>
      <c r="D75" s="220"/>
      <c r="E75" s="220"/>
      <c r="F75" s="220"/>
      <c r="G75" s="220"/>
      <c r="H75" s="220"/>
      <c r="I75" s="220"/>
      <c r="J75" s="220"/>
      <c r="K75" s="220"/>
      <c r="L75" s="220"/>
      <c r="M75" s="220"/>
      <c r="N75" s="220"/>
      <c r="O75" s="220"/>
      <c r="P75" s="220"/>
      <c r="Q75" s="220"/>
      <c r="R75" s="220"/>
      <c r="S75" s="220"/>
      <c r="T75" s="220"/>
      <c r="U75" s="221"/>
      <c r="V75" s="220"/>
      <c r="W75" s="220"/>
      <c r="X75" s="220"/>
      <c r="Y75" s="220"/>
      <c r="Z75" s="220"/>
      <c r="AA75" s="220"/>
      <c r="AB75" s="310"/>
      <c r="AC75" s="310"/>
      <c r="AD75" s="310"/>
      <c r="AE75" s="310"/>
    </row>
    <row r="76" spans="1:31" x14ac:dyDescent="0.2">
      <c r="A76" s="220"/>
      <c r="B76" s="220"/>
      <c r="C76" s="220"/>
      <c r="D76" s="220"/>
      <c r="E76" s="220"/>
      <c r="F76" s="220"/>
      <c r="G76" s="220"/>
      <c r="H76" s="220"/>
      <c r="I76" s="220"/>
      <c r="J76" s="220"/>
      <c r="K76" s="220"/>
      <c r="L76" s="220"/>
      <c r="M76" s="220"/>
      <c r="N76" s="220"/>
      <c r="O76" s="220"/>
      <c r="P76" s="220"/>
      <c r="Q76" s="220"/>
      <c r="R76" s="220"/>
      <c r="S76" s="220"/>
      <c r="T76" s="220"/>
      <c r="U76" s="221"/>
      <c r="V76" s="220"/>
      <c r="W76" s="220"/>
      <c r="X76" s="220"/>
      <c r="Y76" s="220"/>
      <c r="Z76" s="220"/>
      <c r="AA76" s="220"/>
      <c r="AB76" s="310"/>
      <c r="AC76" s="310"/>
      <c r="AD76" s="310"/>
      <c r="AE76" s="310"/>
    </row>
    <row r="79" spans="1:31" x14ac:dyDescent="0.2">
      <c r="A79" s="220"/>
      <c r="B79" s="220"/>
      <c r="C79" s="220"/>
      <c r="D79" s="220"/>
      <c r="E79" s="220"/>
      <c r="F79" s="220"/>
      <c r="G79" s="220"/>
      <c r="H79" s="220"/>
      <c r="I79" s="220"/>
      <c r="J79" s="220"/>
      <c r="K79" s="220"/>
      <c r="L79" s="220"/>
      <c r="M79" s="220"/>
      <c r="N79" s="220"/>
      <c r="O79" s="220"/>
      <c r="P79" s="220"/>
      <c r="Q79" s="220"/>
      <c r="R79" s="220"/>
      <c r="S79" s="220"/>
      <c r="T79" s="220"/>
      <c r="U79" s="221"/>
      <c r="V79" s="220"/>
      <c r="W79" s="220"/>
      <c r="X79" s="220"/>
      <c r="Y79" s="220"/>
      <c r="Z79" s="220"/>
      <c r="AA79" s="220"/>
      <c r="AB79" s="220"/>
      <c r="AC79" s="220"/>
      <c r="AD79" s="220"/>
      <c r="AE79" s="220"/>
    </row>
    <row r="80" spans="1:31" x14ac:dyDescent="0.2">
      <c r="A80" s="220"/>
      <c r="B80" s="220"/>
      <c r="C80" s="220"/>
      <c r="D80" s="220"/>
      <c r="E80" s="220"/>
      <c r="F80" s="220"/>
      <c r="G80" s="220"/>
      <c r="H80" s="220"/>
      <c r="I80" s="220"/>
      <c r="J80" s="220"/>
      <c r="K80" s="220"/>
      <c r="L80" s="220"/>
      <c r="M80" s="220"/>
      <c r="N80" s="220"/>
      <c r="O80" s="220"/>
      <c r="P80" s="220"/>
      <c r="Q80" s="220"/>
      <c r="R80" s="220"/>
      <c r="S80" s="220"/>
      <c r="T80" s="220"/>
      <c r="U80" s="221"/>
      <c r="V80" s="220"/>
      <c r="W80" s="220"/>
      <c r="X80" s="220"/>
      <c r="Y80" s="220"/>
      <c r="Z80" s="220"/>
      <c r="AA80" s="220"/>
      <c r="AB80" s="220"/>
      <c r="AC80" s="220"/>
      <c r="AD80" s="220"/>
      <c r="AE80" s="220"/>
    </row>
    <row r="81" spans="1:31" x14ac:dyDescent="0.2">
      <c r="A81" s="220"/>
      <c r="B81" s="220"/>
      <c r="C81" s="220"/>
      <c r="D81" s="220"/>
      <c r="E81" s="220"/>
      <c r="F81" s="220"/>
      <c r="G81" s="220"/>
      <c r="H81" s="220"/>
      <c r="I81" s="220"/>
      <c r="J81" s="220"/>
      <c r="K81" s="220"/>
      <c r="L81" s="220"/>
      <c r="M81" s="220"/>
      <c r="N81" s="220"/>
      <c r="O81" s="220"/>
      <c r="P81" s="220"/>
      <c r="Q81" s="220"/>
      <c r="R81" s="220"/>
      <c r="S81" s="220"/>
      <c r="T81" s="220"/>
      <c r="U81" s="221"/>
      <c r="V81" s="220"/>
      <c r="W81" s="220"/>
      <c r="X81" s="220"/>
      <c r="Y81" s="220"/>
      <c r="Z81" s="220"/>
      <c r="AA81" s="220"/>
      <c r="AB81" s="220"/>
      <c r="AC81" s="220"/>
      <c r="AD81" s="220"/>
      <c r="AE81" s="220"/>
    </row>
    <row r="82" spans="1:31" x14ac:dyDescent="0.2">
      <c r="A82" s="220"/>
      <c r="B82" s="220"/>
      <c r="C82" s="220"/>
      <c r="D82" s="220"/>
      <c r="E82" s="220"/>
      <c r="F82" s="220"/>
      <c r="G82" s="220"/>
      <c r="H82" s="220"/>
      <c r="I82" s="220"/>
      <c r="J82" s="220"/>
      <c r="K82" s="220"/>
      <c r="L82" s="220"/>
      <c r="M82" s="220"/>
      <c r="N82" s="220"/>
      <c r="O82" s="220"/>
      <c r="P82" s="220"/>
      <c r="Q82" s="220"/>
      <c r="R82" s="220"/>
      <c r="S82" s="220"/>
      <c r="T82" s="220"/>
      <c r="U82" s="221"/>
      <c r="V82" s="220"/>
      <c r="W82" s="220"/>
      <c r="X82" s="220"/>
      <c r="Y82" s="220"/>
      <c r="Z82" s="220"/>
      <c r="AA82" s="220"/>
      <c r="AB82" s="220"/>
      <c r="AC82" s="220"/>
      <c r="AD82" s="220"/>
      <c r="AE82" s="220"/>
    </row>
    <row r="83" spans="1:31" x14ac:dyDescent="0.2">
      <c r="A83" s="220"/>
      <c r="B83" s="220"/>
      <c r="C83" s="220"/>
      <c r="D83" s="220"/>
      <c r="E83" s="220"/>
      <c r="F83" s="220"/>
      <c r="G83" s="220"/>
      <c r="H83" s="220"/>
      <c r="I83" s="220"/>
      <c r="J83" s="220"/>
      <c r="K83" s="220"/>
      <c r="L83" s="220"/>
      <c r="M83" s="220"/>
      <c r="N83" s="220"/>
      <c r="O83" s="220"/>
      <c r="P83" s="220"/>
      <c r="Q83" s="220"/>
      <c r="R83" s="220"/>
      <c r="S83" s="220"/>
      <c r="T83" s="220"/>
      <c r="U83" s="221"/>
      <c r="V83" s="220"/>
      <c r="W83" s="220"/>
      <c r="X83" s="220"/>
      <c r="Y83" s="220"/>
      <c r="Z83" s="220"/>
      <c r="AA83" s="220"/>
      <c r="AB83" s="220"/>
      <c r="AC83" s="220"/>
      <c r="AD83" s="220"/>
      <c r="AE83" s="220"/>
    </row>
    <row r="84" spans="1:31" x14ac:dyDescent="0.2">
      <c r="A84" s="220"/>
      <c r="B84" s="220"/>
      <c r="C84" s="220"/>
      <c r="D84" s="220"/>
      <c r="E84" s="220"/>
      <c r="F84" s="220"/>
      <c r="G84" s="220"/>
      <c r="H84" s="220"/>
      <c r="I84" s="220"/>
      <c r="J84" s="220"/>
      <c r="K84" s="220"/>
      <c r="L84" s="220"/>
      <c r="M84" s="220"/>
      <c r="N84" s="220"/>
      <c r="O84" s="220"/>
      <c r="P84" s="220"/>
      <c r="Q84" s="220"/>
      <c r="R84" s="220"/>
      <c r="S84" s="220"/>
      <c r="T84" s="220"/>
      <c r="U84" s="221"/>
      <c r="V84" s="220"/>
      <c r="W84" s="220"/>
      <c r="X84" s="220"/>
      <c r="Y84" s="220"/>
      <c r="Z84" s="220"/>
      <c r="AA84" s="220"/>
      <c r="AB84" s="220"/>
      <c r="AC84" s="220"/>
      <c r="AD84" s="220"/>
      <c r="AE84" s="220"/>
    </row>
    <row r="90" spans="1:31" x14ac:dyDescent="0.2">
      <c r="A90" s="220"/>
      <c r="B90" s="220"/>
      <c r="C90" s="220"/>
      <c r="D90" s="220"/>
      <c r="E90" s="220"/>
      <c r="F90" s="220"/>
      <c r="G90" s="220"/>
      <c r="H90" s="220"/>
      <c r="I90" s="220"/>
      <c r="J90" s="220"/>
      <c r="K90" s="220"/>
      <c r="L90" s="220"/>
      <c r="M90" s="220"/>
      <c r="N90" s="220"/>
      <c r="O90" s="220"/>
      <c r="P90" s="220"/>
      <c r="Q90" s="220"/>
      <c r="R90" s="220"/>
      <c r="S90" s="220"/>
      <c r="T90" s="220"/>
      <c r="U90" s="221"/>
      <c r="V90" s="220"/>
      <c r="W90" s="220"/>
      <c r="X90" s="220"/>
      <c r="Y90" s="220"/>
      <c r="Z90" s="220"/>
      <c r="AA90" s="220"/>
      <c r="AB90" s="220"/>
      <c r="AC90" s="220"/>
      <c r="AD90" s="220"/>
      <c r="AE90" s="220"/>
    </row>
    <row r="91" spans="1:31" x14ac:dyDescent="0.2">
      <c r="A91" s="220"/>
      <c r="B91" s="220"/>
      <c r="C91" s="220"/>
      <c r="D91" s="220"/>
      <c r="E91" s="220"/>
      <c r="F91" s="220"/>
      <c r="G91" s="220"/>
      <c r="H91" s="220"/>
      <c r="I91" s="220"/>
      <c r="J91" s="220"/>
      <c r="K91" s="220"/>
      <c r="L91" s="220"/>
      <c r="M91" s="220"/>
      <c r="N91" s="220"/>
      <c r="O91" s="220"/>
      <c r="P91" s="220"/>
      <c r="Q91" s="220"/>
      <c r="R91" s="220"/>
      <c r="S91" s="220"/>
      <c r="T91" s="220"/>
      <c r="U91" s="221"/>
      <c r="V91" s="220"/>
      <c r="W91" s="220"/>
      <c r="X91" s="220"/>
      <c r="Y91" s="220"/>
      <c r="Z91" s="220"/>
      <c r="AA91" s="220"/>
      <c r="AB91" s="220"/>
      <c r="AC91" s="220"/>
      <c r="AD91" s="220"/>
      <c r="AE91" s="220"/>
    </row>
    <row r="92" spans="1:31" x14ac:dyDescent="0.2">
      <c r="A92" s="220"/>
      <c r="B92" s="220"/>
      <c r="C92" s="220"/>
      <c r="D92" s="220"/>
      <c r="E92" s="220"/>
      <c r="F92" s="220"/>
      <c r="G92" s="220"/>
      <c r="H92" s="220"/>
      <c r="I92" s="220"/>
      <c r="J92" s="220"/>
      <c r="K92" s="220"/>
      <c r="L92" s="220"/>
      <c r="M92" s="220"/>
      <c r="N92" s="220"/>
      <c r="O92" s="220"/>
      <c r="P92" s="220"/>
      <c r="Q92" s="220"/>
      <c r="R92" s="220"/>
      <c r="S92" s="220"/>
      <c r="T92" s="220"/>
      <c r="U92" s="221"/>
      <c r="V92" s="220"/>
      <c r="W92" s="220"/>
      <c r="X92" s="220"/>
      <c r="Y92" s="220"/>
      <c r="Z92" s="220"/>
      <c r="AA92" s="220"/>
      <c r="AB92" s="220"/>
      <c r="AC92" s="220"/>
      <c r="AD92" s="220"/>
      <c r="AE92" s="220"/>
    </row>
    <row r="93" spans="1:31" x14ac:dyDescent="0.2">
      <c r="A93" s="220"/>
      <c r="B93" s="220"/>
      <c r="C93" s="220"/>
      <c r="D93" s="220"/>
      <c r="E93" s="220"/>
      <c r="F93" s="220"/>
      <c r="G93" s="220"/>
      <c r="H93" s="220"/>
      <c r="I93" s="220"/>
      <c r="J93" s="220"/>
      <c r="K93" s="220"/>
      <c r="L93" s="220"/>
      <c r="M93" s="220"/>
      <c r="N93" s="220"/>
      <c r="O93" s="220"/>
      <c r="P93" s="220"/>
      <c r="Q93" s="220"/>
      <c r="R93" s="220"/>
      <c r="S93" s="220"/>
      <c r="T93" s="220"/>
      <c r="U93" s="221"/>
      <c r="V93" s="220"/>
      <c r="W93" s="220"/>
      <c r="X93" s="220"/>
      <c r="Y93" s="220"/>
      <c r="Z93" s="220"/>
      <c r="AA93" s="220"/>
      <c r="AB93" s="220"/>
      <c r="AC93" s="220"/>
      <c r="AD93" s="220"/>
      <c r="AE93" s="220"/>
    </row>
    <row r="94" spans="1:31" x14ac:dyDescent="0.2">
      <c r="A94" s="220"/>
      <c r="B94" s="220"/>
      <c r="C94" s="220"/>
      <c r="D94" s="220"/>
      <c r="E94" s="220"/>
      <c r="F94" s="220"/>
      <c r="G94" s="220"/>
      <c r="H94" s="220"/>
      <c r="I94" s="220"/>
      <c r="J94" s="220"/>
      <c r="K94" s="220"/>
      <c r="L94" s="220"/>
      <c r="M94" s="220"/>
      <c r="N94" s="220"/>
      <c r="O94" s="220"/>
      <c r="P94" s="220"/>
      <c r="Q94" s="220"/>
      <c r="R94" s="220"/>
      <c r="S94" s="220"/>
      <c r="T94" s="220"/>
      <c r="U94" s="221"/>
      <c r="V94" s="220"/>
      <c r="W94" s="220"/>
      <c r="X94" s="220"/>
      <c r="Y94" s="220"/>
      <c r="Z94" s="220"/>
      <c r="AA94" s="220"/>
      <c r="AB94" s="220"/>
      <c r="AC94" s="220"/>
      <c r="AD94" s="220"/>
      <c r="AE94" s="220"/>
    </row>
    <row r="95" spans="1:31" x14ac:dyDescent="0.2">
      <c r="A95" s="220"/>
      <c r="B95" s="220"/>
      <c r="C95" s="220"/>
      <c r="D95" s="220"/>
      <c r="E95" s="220"/>
      <c r="F95" s="220"/>
      <c r="G95" s="220"/>
      <c r="H95" s="220"/>
      <c r="I95" s="220"/>
      <c r="J95" s="220"/>
      <c r="K95" s="220"/>
      <c r="L95" s="220"/>
      <c r="M95" s="220"/>
      <c r="N95" s="220"/>
      <c r="O95" s="220"/>
      <c r="P95" s="220"/>
      <c r="Q95" s="220"/>
      <c r="R95" s="220"/>
      <c r="S95" s="220"/>
      <c r="T95" s="220"/>
      <c r="U95" s="221"/>
      <c r="V95" s="220"/>
      <c r="W95" s="220"/>
      <c r="X95" s="220"/>
      <c r="Y95" s="220"/>
      <c r="Z95" s="220"/>
      <c r="AA95" s="220"/>
      <c r="AB95" s="220"/>
      <c r="AC95" s="220"/>
      <c r="AD95" s="220"/>
      <c r="AE95" s="220"/>
    </row>
  </sheetData>
  <mergeCells count="3">
    <mergeCell ref="F48:Q48"/>
    <mergeCell ref="B56:D56"/>
    <mergeCell ref="F56:Q56"/>
  </mergeCells>
  <pageMargins left="0.7" right="0.7" top="0.75" bottom="0.75" header="0.3" footer="0.3"/>
  <pageSetup orientation="portrait" r:id="rId1"/>
  <headerFooter>
    <oddHeader xml:space="preserve">&amp;C&amp;"Arial,Bold"&amp;16EFFINGHAM </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111"/>
  <sheetViews>
    <sheetView topLeftCell="A7" zoomScale="80" zoomScaleNormal="80" workbookViewId="0">
      <selection activeCell="A44" sqref="A44"/>
    </sheetView>
  </sheetViews>
  <sheetFormatPr defaultColWidth="9.28515625" defaultRowHeight="15" x14ac:dyDescent="0.2"/>
  <cols>
    <col min="1" max="2" width="9.28515625" style="297"/>
    <col min="3" max="3" width="29" style="297" customWidth="1"/>
    <col min="4" max="5" width="8.5703125" style="297" customWidth="1"/>
    <col min="6" max="6" width="7.28515625" style="297" customWidth="1"/>
    <col min="7" max="7" width="6.28515625" style="297" customWidth="1"/>
    <col min="8" max="9" width="7.28515625" style="297" customWidth="1"/>
    <col min="10" max="10" width="8.28515625" style="297" customWidth="1"/>
    <col min="11" max="11" width="6.7109375" style="297" customWidth="1"/>
    <col min="12" max="12" width="8.42578125" style="297" customWidth="1"/>
    <col min="13" max="17" width="8.7109375" style="297" customWidth="1"/>
    <col min="18" max="18" width="10.28515625" style="297" customWidth="1"/>
    <col min="19" max="19" width="8.7109375" style="297" customWidth="1"/>
    <col min="20" max="20" width="10.7109375" style="298" customWidth="1"/>
    <col min="21" max="21" width="9.28515625" style="298"/>
    <col min="22" max="22" width="15.7109375" style="297" customWidth="1"/>
    <col min="23" max="26" width="9.28515625" style="297"/>
    <col min="27" max="27" width="22.7109375" style="297" customWidth="1"/>
    <col min="28" max="28" width="10.28515625" style="297" customWidth="1"/>
    <col min="29" max="29" width="46.28515625" style="297" customWidth="1"/>
    <col min="30" max="31" width="19.42578125" style="297" customWidth="1"/>
    <col min="32" max="16384" width="9.28515625" style="297"/>
  </cols>
  <sheetData>
    <row r="1" spans="1:31" ht="20.25" x14ac:dyDescent="0.3">
      <c r="A1" s="220"/>
      <c r="B1" s="220"/>
      <c r="C1" s="299" t="s">
        <v>129</v>
      </c>
      <c r="D1" s="221"/>
      <c r="E1" s="221"/>
      <c r="F1" s="329">
        <v>43465</v>
      </c>
      <c r="G1" s="328" t="s">
        <v>178</v>
      </c>
      <c r="H1" s="221"/>
      <c r="I1" s="221"/>
      <c r="J1" s="221"/>
      <c r="K1" s="221"/>
      <c r="L1" s="221"/>
      <c r="M1" s="221"/>
      <c r="N1" s="221"/>
      <c r="O1" s="221"/>
      <c r="P1" s="221"/>
      <c r="Q1" s="220"/>
      <c r="R1" s="220"/>
      <c r="S1" s="220"/>
      <c r="T1" s="221"/>
      <c r="U1" s="221"/>
      <c r="V1" s="220"/>
      <c r="W1" s="220"/>
      <c r="X1" s="220"/>
      <c r="Y1" s="220"/>
      <c r="Z1" s="220"/>
      <c r="AA1" s="220"/>
      <c r="AB1" s="220"/>
      <c r="AC1" s="220"/>
      <c r="AD1" s="220"/>
      <c r="AE1" s="220"/>
    </row>
    <row r="2" spans="1:31" ht="20.25" x14ac:dyDescent="0.3">
      <c r="A2" s="220"/>
      <c r="B2" s="220"/>
      <c r="C2" s="299"/>
      <c r="D2" s="221"/>
      <c r="E2" s="221"/>
      <c r="F2" s="221"/>
      <c r="G2" s="221"/>
      <c r="H2" s="221"/>
      <c r="I2" s="221"/>
      <c r="J2" s="221"/>
      <c r="K2" s="221"/>
      <c r="L2" s="221"/>
      <c r="M2" s="221"/>
      <c r="N2" s="221"/>
      <c r="O2" s="221"/>
      <c r="P2" s="221"/>
      <c r="Q2" s="220"/>
      <c r="R2" s="220"/>
      <c r="S2" s="220"/>
      <c r="T2" s="221"/>
      <c r="U2" s="221"/>
      <c r="V2" s="220"/>
      <c r="W2" s="220"/>
      <c r="X2" s="220"/>
      <c r="Y2" s="220"/>
      <c r="Z2" s="220"/>
      <c r="AA2" s="220"/>
      <c r="AB2" s="220"/>
      <c r="AC2" s="220"/>
      <c r="AD2" s="220"/>
      <c r="AE2" s="220"/>
    </row>
    <row r="3" spans="1:31" ht="20.25" x14ac:dyDescent="0.3">
      <c r="A3" s="220"/>
      <c r="B3" s="220"/>
      <c r="C3" s="299"/>
      <c r="D3" s="221"/>
      <c r="E3" s="221"/>
      <c r="F3" s="221"/>
      <c r="G3" s="221"/>
      <c r="H3" s="221"/>
      <c r="I3" s="221"/>
      <c r="J3" s="221"/>
      <c r="K3" s="221"/>
      <c r="L3" s="221"/>
      <c r="M3" s="221"/>
      <c r="N3" s="221"/>
      <c r="O3" s="221"/>
      <c r="P3" s="221"/>
      <c r="Q3" s="220"/>
      <c r="R3" s="220"/>
      <c r="S3" s="220"/>
      <c r="T3" s="221"/>
      <c r="U3" s="221"/>
      <c r="V3" s="220"/>
      <c r="W3" s="220"/>
      <c r="X3" s="220"/>
      <c r="Y3" s="220"/>
      <c r="Z3" s="220"/>
      <c r="AA3" s="220"/>
      <c r="AB3" s="220"/>
      <c r="AC3" s="220"/>
      <c r="AD3" s="220"/>
      <c r="AE3" s="220"/>
    </row>
    <row r="4" spans="1:31" ht="16.5" thickBot="1" x14ac:dyDescent="0.25">
      <c r="A4" s="220"/>
      <c r="B4" s="220"/>
      <c r="C4" s="220"/>
      <c r="D4" s="169"/>
      <c r="E4" s="221"/>
      <c r="F4" s="221"/>
      <c r="G4" s="221"/>
      <c r="H4" s="221"/>
      <c r="I4" s="221"/>
      <c r="J4" s="221"/>
      <c r="K4" s="221"/>
      <c r="L4" s="221"/>
      <c r="M4" s="221"/>
      <c r="N4" s="221"/>
      <c r="O4" s="221"/>
      <c r="P4" s="221"/>
      <c r="Q4" s="220"/>
      <c r="R4" s="220"/>
      <c r="S4" s="220"/>
      <c r="T4" s="221"/>
      <c r="U4" s="221"/>
      <c r="V4" s="220"/>
      <c r="W4" s="220"/>
      <c r="X4" s="220"/>
      <c r="Y4" s="220"/>
      <c r="Z4" s="220"/>
      <c r="AA4" s="220"/>
      <c r="AB4" s="220"/>
      <c r="AC4" s="220"/>
      <c r="AD4" s="220"/>
      <c r="AE4" s="220"/>
    </row>
    <row r="5" spans="1:31" ht="16.5" thickBot="1" x14ac:dyDescent="0.3">
      <c r="A5" s="222"/>
      <c r="B5" s="223" t="s">
        <v>0</v>
      </c>
      <c r="C5" s="224"/>
      <c r="D5" s="327"/>
      <c r="E5" s="327"/>
      <c r="F5" s="327"/>
      <c r="G5" s="327"/>
      <c r="H5" s="327"/>
      <c r="I5" s="327"/>
      <c r="J5" s="327"/>
      <c r="K5" s="327"/>
      <c r="L5" s="327"/>
      <c r="M5" s="327"/>
      <c r="N5" s="327"/>
      <c r="O5" s="327"/>
      <c r="P5" s="327"/>
      <c r="Q5" s="224"/>
      <c r="R5" s="224"/>
      <c r="S5" s="224"/>
      <c r="T5" s="300"/>
      <c r="U5" s="320" t="s">
        <v>0</v>
      </c>
      <c r="V5" s="224"/>
      <c r="W5" s="220"/>
      <c r="X5" s="220"/>
      <c r="Y5" s="220"/>
      <c r="Z5" s="220"/>
      <c r="AA5" s="220"/>
      <c r="AB5" s="220"/>
      <c r="AC5" s="221" t="s">
        <v>151</v>
      </c>
      <c r="AD5" s="220"/>
      <c r="AE5" s="220"/>
    </row>
    <row r="6" spans="1:31" ht="63.75" thickBot="1" x14ac:dyDescent="0.3">
      <c r="A6" s="160" t="s">
        <v>79</v>
      </c>
      <c r="B6" s="156" t="s">
        <v>3</v>
      </c>
      <c r="C6" s="107" t="s">
        <v>2</v>
      </c>
      <c r="D6" s="109" t="s">
        <v>152</v>
      </c>
      <c r="E6" s="219" t="s">
        <v>4</v>
      </c>
      <c r="F6" s="110" t="s">
        <v>5</v>
      </c>
      <c r="G6" s="110" t="s">
        <v>6</v>
      </c>
      <c r="H6" s="110" t="s">
        <v>7</v>
      </c>
      <c r="I6" s="110" t="s">
        <v>8</v>
      </c>
      <c r="J6" s="110" t="s">
        <v>9</v>
      </c>
      <c r="K6" s="110" t="s">
        <v>10</v>
      </c>
      <c r="L6" s="110" t="s">
        <v>11</v>
      </c>
      <c r="M6" s="110" t="s">
        <v>12</v>
      </c>
      <c r="N6" s="110" t="s">
        <v>13</v>
      </c>
      <c r="O6" s="110" t="s">
        <v>14</v>
      </c>
      <c r="P6" s="110" t="s">
        <v>15</v>
      </c>
      <c r="Q6" s="111" t="s">
        <v>16</v>
      </c>
      <c r="R6" s="112" t="s">
        <v>153</v>
      </c>
      <c r="S6" s="109" t="s">
        <v>19</v>
      </c>
      <c r="T6" s="113" t="s">
        <v>41</v>
      </c>
      <c r="U6" s="156" t="s">
        <v>3</v>
      </c>
      <c r="V6" s="107" t="s">
        <v>2</v>
      </c>
      <c r="W6" s="220"/>
      <c r="X6" s="220"/>
      <c r="Y6" s="220"/>
      <c r="Z6" s="220"/>
      <c r="AA6" s="301" t="s">
        <v>142</v>
      </c>
      <c r="AB6" s="301" t="s">
        <v>143</v>
      </c>
      <c r="AC6" s="301" t="s">
        <v>154</v>
      </c>
      <c r="AD6" s="301" t="s">
        <v>102</v>
      </c>
      <c r="AE6" s="220"/>
    </row>
    <row r="7" spans="1:31" x14ac:dyDescent="0.2">
      <c r="A7" s="226"/>
      <c r="B7" s="227"/>
      <c r="C7" s="228"/>
      <c r="D7" s="229"/>
      <c r="E7" s="229">
        <v>1</v>
      </c>
      <c r="F7" s="229"/>
      <c r="G7" s="229"/>
      <c r="H7" s="229"/>
      <c r="I7" s="229"/>
      <c r="J7" s="229"/>
      <c r="K7" s="229"/>
      <c r="L7" s="229"/>
      <c r="M7" s="229"/>
      <c r="N7" s="229"/>
      <c r="O7" s="229"/>
      <c r="P7" s="229"/>
      <c r="Q7" s="228"/>
      <c r="R7" s="230"/>
      <c r="S7" s="231"/>
      <c r="T7" s="302"/>
      <c r="U7" s="321"/>
      <c r="V7" s="228"/>
      <c r="W7" s="220"/>
      <c r="X7" s="220"/>
      <c r="Y7" s="220"/>
      <c r="Z7" s="220"/>
      <c r="AA7" s="303"/>
      <c r="AB7" s="304"/>
      <c r="AC7" s="304"/>
      <c r="AD7" s="304"/>
      <c r="AE7" s="220"/>
    </row>
    <row r="8" spans="1:31" x14ac:dyDescent="0.2">
      <c r="A8" s="226"/>
      <c r="B8" s="269"/>
      <c r="C8" s="269"/>
      <c r="D8" s="271"/>
      <c r="E8" s="271"/>
      <c r="F8" s="271"/>
      <c r="G8" s="271"/>
      <c r="H8" s="271"/>
      <c r="I8" s="271"/>
      <c r="J8" s="272"/>
      <c r="K8" s="272"/>
      <c r="L8" s="272"/>
      <c r="M8" s="272"/>
      <c r="N8" s="272"/>
      <c r="O8" s="272"/>
      <c r="P8" s="272"/>
      <c r="Q8" s="269"/>
      <c r="R8" s="270"/>
      <c r="S8" s="273"/>
      <c r="T8" s="305"/>
      <c r="U8" s="272"/>
      <c r="V8" s="269"/>
      <c r="W8" s="220"/>
      <c r="X8" s="220"/>
      <c r="Y8" s="220"/>
      <c r="Z8" s="220"/>
      <c r="AA8" s="303">
        <v>43187</v>
      </c>
      <c r="AB8" s="304">
        <v>2017</v>
      </c>
      <c r="AC8" s="304" t="s">
        <v>155</v>
      </c>
      <c r="AD8" s="304">
        <v>386</v>
      </c>
      <c r="AE8" s="220" t="s">
        <v>156</v>
      </c>
    </row>
    <row r="9" spans="1:31" x14ac:dyDescent="0.2">
      <c r="A9" s="220"/>
      <c r="B9" s="220"/>
      <c r="C9" s="220"/>
      <c r="D9" s="276"/>
      <c r="E9" s="276"/>
      <c r="F9" s="276"/>
      <c r="G9" s="276"/>
      <c r="H9" s="276"/>
      <c r="I9" s="276"/>
      <c r="J9" s="221"/>
      <c r="K9" s="221"/>
      <c r="L9" s="221"/>
      <c r="M9" s="221"/>
      <c r="N9" s="221"/>
      <c r="O9" s="221"/>
      <c r="P9" s="221"/>
      <c r="Q9" s="220"/>
      <c r="R9" s="275"/>
      <c r="S9" s="277"/>
      <c r="T9" s="221"/>
      <c r="U9" s="221"/>
      <c r="V9" s="220"/>
      <c r="W9" s="220"/>
      <c r="X9" s="220"/>
      <c r="Y9" s="220"/>
      <c r="Z9" s="220"/>
      <c r="AA9" s="303">
        <v>43187</v>
      </c>
      <c r="AB9" s="304">
        <v>2017</v>
      </c>
      <c r="AC9" s="304" t="s">
        <v>157</v>
      </c>
      <c r="AD9" s="304">
        <v>410</v>
      </c>
      <c r="AE9" s="220" t="s">
        <v>156</v>
      </c>
    </row>
    <row r="10" spans="1:31" ht="15.75" x14ac:dyDescent="0.25">
      <c r="A10" s="220"/>
      <c r="B10" s="278" t="s">
        <v>129</v>
      </c>
      <c r="C10" s="278"/>
      <c r="D10" s="221"/>
      <c r="E10" s="221"/>
      <c r="F10" s="221"/>
      <c r="G10" s="221"/>
      <c r="H10" s="221"/>
      <c r="I10" s="221"/>
      <c r="J10" s="221"/>
      <c r="K10" s="221"/>
      <c r="L10" s="221"/>
      <c r="M10" s="221"/>
      <c r="N10" s="221"/>
      <c r="O10" s="221"/>
      <c r="P10" s="221"/>
      <c r="Q10" s="220"/>
      <c r="R10" s="275"/>
      <c r="S10" s="277"/>
      <c r="T10" s="221"/>
      <c r="U10" s="1" t="s">
        <v>129</v>
      </c>
      <c r="V10" s="278"/>
      <c r="W10" s="220"/>
      <c r="X10" s="220"/>
      <c r="Y10" s="220"/>
      <c r="Z10" s="220"/>
      <c r="AA10" s="303">
        <v>43262</v>
      </c>
      <c r="AB10" s="304">
        <v>2017</v>
      </c>
      <c r="AC10" s="304" t="s">
        <v>31</v>
      </c>
      <c r="AD10" s="304">
        <v>222</v>
      </c>
      <c r="AE10" s="220" t="s">
        <v>156</v>
      </c>
    </row>
    <row r="11" spans="1:31" x14ac:dyDescent="0.2">
      <c r="A11" s="220"/>
      <c r="B11" s="220"/>
      <c r="C11" s="220"/>
      <c r="D11" s="221"/>
      <c r="E11" s="221"/>
      <c r="F11" s="221"/>
      <c r="G11" s="221"/>
      <c r="H11" s="221"/>
      <c r="I11" s="221"/>
      <c r="J11" s="221"/>
      <c r="K11" s="221"/>
      <c r="L11" s="221"/>
      <c r="M11" s="221"/>
      <c r="N11" s="221"/>
      <c r="O11" s="221"/>
      <c r="P11" s="221"/>
      <c r="Q11" s="220"/>
      <c r="R11" s="275"/>
      <c r="S11" s="277"/>
      <c r="T11" s="221"/>
      <c r="U11" s="221"/>
      <c r="V11" s="220"/>
      <c r="W11" s="220"/>
      <c r="X11" s="220"/>
      <c r="Y11" s="220"/>
      <c r="Z11" s="220"/>
      <c r="AA11" s="303">
        <v>43299</v>
      </c>
      <c r="AB11" s="304">
        <v>2017</v>
      </c>
      <c r="AC11" s="304" t="s">
        <v>158</v>
      </c>
      <c r="AD11" s="304">
        <v>329</v>
      </c>
      <c r="AE11" s="220" t="s">
        <v>156</v>
      </c>
    </row>
    <row r="12" spans="1:31" x14ac:dyDescent="0.2">
      <c r="A12" s="226"/>
      <c r="B12" s="226"/>
      <c r="C12" s="226"/>
      <c r="D12" s="226"/>
      <c r="E12" s="226"/>
      <c r="F12" s="226"/>
      <c r="G12" s="226"/>
      <c r="H12" s="226"/>
      <c r="I12" s="226"/>
      <c r="J12" s="226"/>
      <c r="K12" s="226"/>
      <c r="L12" s="226"/>
      <c r="M12" s="226"/>
      <c r="N12" s="243"/>
      <c r="O12" s="243"/>
      <c r="P12" s="226"/>
      <c r="Q12" s="226"/>
      <c r="R12" s="226"/>
      <c r="S12" s="226"/>
      <c r="T12" s="243"/>
      <c r="U12" s="243"/>
      <c r="V12" s="226"/>
      <c r="W12" s="220"/>
      <c r="X12" s="220"/>
      <c r="Y12" s="220"/>
      <c r="Z12" s="220"/>
      <c r="AA12" s="303">
        <v>43326</v>
      </c>
      <c r="AB12" s="304">
        <v>2017</v>
      </c>
      <c r="AC12" s="304" t="s">
        <v>159</v>
      </c>
      <c r="AD12" s="304">
        <v>323</v>
      </c>
      <c r="AE12" s="220" t="s">
        <v>156</v>
      </c>
    </row>
    <row r="13" spans="1:31" x14ac:dyDescent="0.2">
      <c r="A13" s="234">
        <v>100465</v>
      </c>
      <c r="B13" s="255">
        <v>2014</v>
      </c>
      <c r="C13" s="234" t="s">
        <v>135</v>
      </c>
      <c r="D13" s="237">
        <v>208</v>
      </c>
      <c r="E13" s="246">
        <v>16</v>
      </c>
      <c r="F13" s="246">
        <v>20</v>
      </c>
      <c r="G13" s="246">
        <v>25</v>
      </c>
      <c r="H13" s="246">
        <v>18</v>
      </c>
      <c r="I13" s="246">
        <v>28</v>
      </c>
      <c r="J13" s="246">
        <v>24</v>
      </c>
      <c r="K13" s="246">
        <v>14</v>
      </c>
      <c r="L13" s="246">
        <v>28</v>
      </c>
      <c r="M13" s="246">
        <v>26</v>
      </c>
      <c r="N13" s="246">
        <v>9</v>
      </c>
      <c r="O13" s="323"/>
      <c r="P13" s="323"/>
      <c r="Q13" s="238">
        <f>SUM(E13:P13)</f>
        <v>208</v>
      </c>
      <c r="R13" s="239">
        <f>IFERROR((AVERAGE(E13:P13)),0)</f>
        <v>20.8</v>
      </c>
      <c r="S13" s="240">
        <f>IFERROR((T13/R13),0)</f>
        <v>0</v>
      </c>
      <c r="T13" s="306">
        <f>SUM(D13-Q13)</f>
        <v>0</v>
      </c>
      <c r="U13" s="237">
        <v>2014</v>
      </c>
      <c r="V13" s="234" t="s">
        <v>130</v>
      </c>
      <c r="W13" s="220"/>
      <c r="X13" s="220"/>
      <c r="Y13" s="220"/>
      <c r="Z13" s="220"/>
      <c r="AA13" s="303">
        <v>43326</v>
      </c>
      <c r="AB13" s="304">
        <v>2017</v>
      </c>
      <c r="AC13" s="304" t="s">
        <v>160</v>
      </c>
      <c r="AD13" s="304">
        <v>308</v>
      </c>
      <c r="AE13" s="220" t="s">
        <v>156</v>
      </c>
    </row>
    <row r="14" spans="1:31" x14ac:dyDescent="0.2">
      <c r="A14" s="234">
        <v>97511</v>
      </c>
      <c r="B14" s="248">
        <v>2014</v>
      </c>
      <c r="C14" s="234" t="s">
        <v>25</v>
      </c>
      <c r="D14" s="236">
        <v>272</v>
      </c>
      <c r="E14" s="246">
        <v>1</v>
      </c>
      <c r="F14" s="246">
        <v>15</v>
      </c>
      <c r="G14" s="246">
        <v>8</v>
      </c>
      <c r="H14" s="246">
        <v>72</v>
      </c>
      <c r="I14" s="246">
        <v>16</v>
      </c>
      <c r="J14" s="246">
        <v>24</v>
      </c>
      <c r="K14" s="246">
        <v>15</v>
      </c>
      <c r="L14" s="246">
        <v>33</v>
      </c>
      <c r="M14" s="246">
        <v>41</v>
      </c>
      <c r="N14" s="246">
        <v>15</v>
      </c>
      <c r="O14" s="246">
        <v>32</v>
      </c>
      <c r="P14" s="242"/>
      <c r="Q14" s="238">
        <f>SUM(E14:P14)</f>
        <v>272</v>
      </c>
      <c r="R14" s="239">
        <f>IFERROR((AVERAGE(E14:P14)),0)</f>
        <v>24.727272727272727</v>
      </c>
      <c r="S14" s="240">
        <f>IFERROR((T14/R14),0)</f>
        <v>0</v>
      </c>
      <c r="T14" s="306">
        <f>SUM(D14-Q14)</f>
        <v>0</v>
      </c>
      <c r="U14" s="295">
        <v>2014</v>
      </c>
      <c r="V14" s="234" t="s">
        <v>25</v>
      </c>
      <c r="W14" s="220"/>
      <c r="X14" s="220"/>
      <c r="Y14" s="220"/>
      <c r="Z14" s="220"/>
      <c r="AA14" s="303">
        <v>43439</v>
      </c>
      <c r="AB14" s="304">
        <v>2017</v>
      </c>
      <c r="AC14" s="304" t="s">
        <v>161</v>
      </c>
      <c r="AD14" s="304">
        <v>408</v>
      </c>
      <c r="AE14" s="220" t="s">
        <v>156</v>
      </c>
    </row>
    <row r="15" spans="1:31" x14ac:dyDescent="0.2">
      <c r="A15" s="234">
        <v>102768</v>
      </c>
      <c r="B15" s="255">
        <v>2014</v>
      </c>
      <c r="C15" s="234" t="s">
        <v>162</v>
      </c>
      <c r="D15" s="236">
        <v>50</v>
      </c>
      <c r="E15" s="246">
        <v>2</v>
      </c>
      <c r="F15" s="246">
        <v>6</v>
      </c>
      <c r="G15" s="246">
        <v>3</v>
      </c>
      <c r="H15" s="246">
        <v>4</v>
      </c>
      <c r="I15" s="246">
        <v>2</v>
      </c>
      <c r="J15" s="246">
        <v>1</v>
      </c>
      <c r="K15" s="246">
        <v>1</v>
      </c>
      <c r="L15" s="242">
        <v>6</v>
      </c>
      <c r="M15" s="242">
        <v>2</v>
      </c>
      <c r="N15" s="242">
        <v>4</v>
      </c>
      <c r="O15" s="242">
        <v>19</v>
      </c>
      <c r="P15" s="242"/>
      <c r="Q15" s="238">
        <f>SUM(E15:P15)</f>
        <v>50</v>
      </c>
      <c r="R15" s="239">
        <f>IFERROR((AVERAGE(E15:P15)),0)</f>
        <v>4.5454545454545459</v>
      </c>
      <c r="S15" s="240">
        <f>IFERROR((T15/R15),0)</f>
        <v>0</v>
      </c>
      <c r="T15" s="306">
        <f>SUM(D15-Q15)</f>
        <v>0</v>
      </c>
      <c r="U15" s="237">
        <v>2014</v>
      </c>
      <c r="V15" s="234" t="s">
        <v>131</v>
      </c>
      <c r="W15" s="220"/>
      <c r="X15" s="220"/>
      <c r="Y15" s="220"/>
      <c r="Z15" s="220"/>
      <c r="AA15" s="303">
        <v>43439</v>
      </c>
      <c r="AB15" s="304">
        <v>2017</v>
      </c>
      <c r="AC15" s="304" t="s">
        <v>163</v>
      </c>
      <c r="AD15" s="304">
        <v>249</v>
      </c>
      <c r="AE15" s="220" t="s">
        <v>156</v>
      </c>
    </row>
    <row r="16" spans="1:31" x14ac:dyDescent="0.2">
      <c r="A16" s="234">
        <v>101639</v>
      </c>
      <c r="B16" s="255">
        <v>2014</v>
      </c>
      <c r="C16" s="234" t="s">
        <v>120</v>
      </c>
      <c r="D16" s="236">
        <v>364</v>
      </c>
      <c r="E16" s="246">
        <v>21</v>
      </c>
      <c r="F16" s="246">
        <v>23</v>
      </c>
      <c r="G16" s="246">
        <v>20</v>
      </c>
      <c r="H16" s="246">
        <v>36</v>
      </c>
      <c r="I16" s="246">
        <v>17</v>
      </c>
      <c r="J16" s="246">
        <v>16</v>
      </c>
      <c r="K16" s="246">
        <v>19</v>
      </c>
      <c r="L16" s="246">
        <v>21</v>
      </c>
      <c r="M16" s="246">
        <v>21</v>
      </c>
      <c r="N16" s="246">
        <v>33</v>
      </c>
      <c r="O16" s="246">
        <v>39</v>
      </c>
      <c r="P16" s="246">
        <v>37</v>
      </c>
      <c r="Q16" s="238">
        <f>SUM(E16:P16)</f>
        <v>303</v>
      </c>
      <c r="R16" s="239">
        <f>IFERROR((AVERAGE(E16:P16)),0)</f>
        <v>25.25</v>
      </c>
      <c r="S16" s="240">
        <f>IFERROR((T16/R16),0)</f>
        <v>2.4158415841584158</v>
      </c>
      <c r="T16" s="306">
        <f>SUM(D16-Q16)</f>
        <v>61</v>
      </c>
      <c r="U16" s="237">
        <v>2014</v>
      </c>
      <c r="V16" s="234" t="s">
        <v>120</v>
      </c>
      <c r="W16" s="220"/>
      <c r="X16" s="220"/>
      <c r="Y16" s="220"/>
      <c r="Z16" s="220"/>
      <c r="AA16" s="303">
        <v>43439</v>
      </c>
      <c r="AB16" s="304">
        <v>2016</v>
      </c>
      <c r="AC16" s="304" t="s">
        <v>164</v>
      </c>
      <c r="AD16" s="304">
        <v>332</v>
      </c>
      <c r="AE16" s="220" t="s">
        <v>156</v>
      </c>
    </row>
    <row r="17" spans="1:31" x14ac:dyDescent="0.2">
      <c r="A17" s="234">
        <v>116509</v>
      </c>
      <c r="B17" s="308">
        <v>2014</v>
      </c>
      <c r="C17" s="308" t="s">
        <v>150</v>
      </c>
      <c r="D17" s="309">
        <v>105</v>
      </c>
      <c r="E17" s="246">
        <v>9</v>
      </c>
      <c r="F17" s="246">
        <v>7</v>
      </c>
      <c r="G17" s="246">
        <v>12</v>
      </c>
      <c r="H17" s="246">
        <v>5</v>
      </c>
      <c r="I17" s="246">
        <v>8</v>
      </c>
      <c r="J17" s="246">
        <v>7</v>
      </c>
      <c r="K17" s="246">
        <v>6</v>
      </c>
      <c r="L17" s="246">
        <v>12</v>
      </c>
      <c r="M17" s="246">
        <v>13</v>
      </c>
      <c r="N17" s="246">
        <v>8</v>
      </c>
      <c r="O17" s="246">
        <v>18</v>
      </c>
      <c r="P17" s="242"/>
      <c r="Q17" s="238">
        <f t="shared" ref="Q17" si="0">SUM(E17:P17)</f>
        <v>105</v>
      </c>
      <c r="R17" s="239">
        <f t="shared" ref="R17" si="1">IFERROR((AVERAGE(E17:P17)),0)</f>
        <v>9.545454545454545</v>
      </c>
      <c r="S17" s="240">
        <f t="shared" ref="S17" si="2">IFERROR((T17/R17),0)</f>
        <v>0</v>
      </c>
      <c r="T17" s="306">
        <f t="shared" ref="T17" si="3">SUM(D17-Q17)</f>
        <v>0</v>
      </c>
      <c r="U17" s="309">
        <v>2016</v>
      </c>
      <c r="V17" s="308" t="s">
        <v>150</v>
      </c>
      <c r="W17" s="220"/>
      <c r="X17" s="220"/>
      <c r="Y17" s="220"/>
      <c r="Z17" s="220"/>
      <c r="AA17" s="303">
        <v>43439</v>
      </c>
      <c r="AB17" s="304">
        <v>2016</v>
      </c>
      <c r="AC17" s="304" t="s">
        <v>165</v>
      </c>
      <c r="AD17" s="304">
        <v>14</v>
      </c>
      <c r="AE17" s="220"/>
    </row>
    <row r="18" spans="1:31" x14ac:dyDescent="0.2">
      <c r="A18" s="226"/>
      <c r="B18" s="226"/>
      <c r="C18" s="226"/>
      <c r="D18" s="226"/>
      <c r="E18" s="226"/>
      <c r="F18" s="226"/>
      <c r="G18" s="226"/>
      <c r="H18" s="226"/>
      <c r="I18" s="226"/>
      <c r="J18" s="226"/>
      <c r="K18" s="226"/>
      <c r="L18" s="226"/>
      <c r="M18" s="226"/>
      <c r="N18" s="243"/>
      <c r="O18" s="243"/>
      <c r="P18" s="226"/>
      <c r="Q18" s="226"/>
      <c r="R18" s="226"/>
      <c r="S18" s="226"/>
      <c r="T18" s="243"/>
      <c r="U18" s="243"/>
      <c r="V18" s="226"/>
      <c r="W18" s="220"/>
      <c r="X18" s="220"/>
      <c r="Y18" s="220"/>
      <c r="Z18" s="220"/>
      <c r="AA18" s="303"/>
      <c r="AB18" s="304"/>
      <c r="AC18" s="304"/>
      <c r="AD18" s="304"/>
      <c r="AE18" s="220"/>
    </row>
    <row r="19" spans="1:31" x14ac:dyDescent="0.2">
      <c r="A19" s="234">
        <v>97509</v>
      </c>
      <c r="B19" s="255">
        <v>2015</v>
      </c>
      <c r="C19" s="234" t="s">
        <v>107</v>
      </c>
      <c r="D19" s="236">
        <v>150</v>
      </c>
      <c r="E19" s="246">
        <v>4</v>
      </c>
      <c r="F19" s="246">
        <v>9</v>
      </c>
      <c r="G19" s="246">
        <v>20</v>
      </c>
      <c r="H19" s="246">
        <v>14</v>
      </c>
      <c r="I19" s="246">
        <v>21</v>
      </c>
      <c r="J19" s="246">
        <v>17</v>
      </c>
      <c r="K19" s="246">
        <v>9</v>
      </c>
      <c r="L19" s="246">
        <v>0</v>
      </c>
      <c r="M19" s="246">
        <v>1</v>
      </c>
      <c r="N19" s="246">
        <v>18</v>
      </c>
      <c r="O19" s="246">
        <v>8</v>
      </c>
      <c r="P19" s="242"/>
      <c r="Q19" s="238">
        <f t="shared" ref="Q19:Q24" si="4">SUM(E19:P19)</f>
        <v>121</v>
      </c>
      <c r="R19" s="239">
        <f t="shared" ref="R19:R24" si="5">IFERROR((AVERAGE(E19:P19)),0)</f>
        <v>11</v>
      </c>
      <c r="S19" s="240">
        <f>IFERROR((T19/R19),0)</f>
        <v>2.6363636363636362</v>
      </c>
      <c r="T19" s="306">
        <f t="shared" ref="T19:T24" si="6">SUM(D19-Q19)</f>
        <v>29</v>
      </c>
      <c r="U19" s="237">
        <v>2015</v>
      </c>
      <c r="V19" s="234" t="s">
        <v>107</v>
      </c>
      <c r="W19" s="220"/>
      <c r="X19" s="220"/>
      <c r="Y19" s="220"/>
      <c r="Z19" s="220"/>
      <c r="AA19" s="303"/>
      <c r="AB19" s="304"/>
      <c r="AC19" s="304"/>
      <c r="AD19" s="304"/>
      <c r="AE19" s="220"/>
    </row>
    <row r="20" spans="1:31" x14ac:dyDescent="0.2">
      <c r="A20" s="234">
        <v>101636</v>
      </c>
      <c r="B20" s="248">
        <v>2015</v>
      </c>
      <c r="C20" s="234" t="s">
        <v>31</v>
      </c>
      <c r="D20" s="236">
        <v>119</v>
      </c>
      <c r="E20" s="246">
        <v>10</v>
      </c>
      <c r="F20" s="246">
        <v>33</v>
      </c>
      <c r="G20" s="246">
        <v>13</v>
      </c>
      <c r="H20" s="246">
        <v>17</v>
      </c>
      <c r="I20" s="246">
        <v>27</v>
      </c>
      <c r="J20" s="246"/>
      <c r="K20" s="246"/>
      <c r="L20" s="246"/>
      <c r="M20" s="246">
        <v>19</v>
      </c>
      <c r="N20" s="242"/>
      <c r="O20" s="242"/>
      <c r="P20" s="242"/>
      <c r="Q20" s="238">
        <f t="shared" si="4"/>
        <v>119</v>
      </c>
      <c r="R20" s="239">
        <f t="shared" si="5"/>
        <v>19.833333333333332</v>
      </c>
      <c r="S20" s="240">
        <f>IFERROR((T20/R20),0)</f>
        <v>0</v>
      </c>
      <c r="T20" s="306">
        <f t="shared" si="6"/>
        <v>0</v>
      </c>
      <c r="U20" s="295">
        <v>2015</v>
      </c>
      <c r="V20" s="234" t="s">
        <v>31</v>
      </c>
      <c r="W20" s="220"/>
      <c r="X20" s="220"/>
      <c r="Y20" s="220"/>
      <c r="Z20" s="220"/>
      <c r="AA20" s="303"/>
      <c r="AB20" s="304"/>
      <c r="AC20" s="304"/>
      <c r="AD20" s="304"/>
      <c r="AE20" s="220"/>
    </row>
    <row r="21" spans="1:31" x14ac:dyDescent="0.2">
      <c r="A21" s="234">
        <v>101819</v>
      </c>
      <c r="B21" s="295" t="s">
        <v>133</v>
      </c>
      <c r="C21" s="234" t="s">
        <v>148</v>
      </c>
      <c r="D21" s="236">
        <v>29</v>
      </c>
      <c r="E21" s="246">
        <v>4</v>
      </c>
      <c r="F21" s="246">
        <v>6</v>
      </c>
      <c r="G21" s="246">
        <v>2</v>
      </c>
      <c r="H21" s="246">
        <v>5</v>
      </c>
      <c r="I21" s="246">
        <v>7</v>
      </c>
      <c r="J21" s="246">
        <v>0</v>
      </c>
      <c r="K21" s="246">
        <v>0</v>
      </c>
      <c r="L21" s="246">
        <v>0</v>
      </c>
      <c r="M21" s="246">
        <v>5</v>
      </c>
      <c r="N21" s="242"/>
      <c r="O21" s="242"/>
      <c r="P21" s="242"/>
      <c r="Q21" s="238">
        <f t="shared" si="4"/>
        <v>29</v>
      </c>
      <c r="R21" s="239">
        <f t="shared" si="5"/>
        <v>3.2222222222222223</v>
      </c>
      <c r="S21" s="240">
        <f>IFERROR((T21/R21),0)</f>
        <v>0</v>
      </c>
      <c r="T21" s="306">
        <f t="shared" si="6"/>
        <v>0</v>
      </c>
      <c r="U21" s="295" t="s">
        <v>35</v>
      </c>
      <c r="V21" s="234" t="s">
        <v>134</v>
      </c>
      <c r="W21" s="220"/>
      <c r="X21" s="220">
        <v>9.9999999999999904E+23</v>
      </c>
      <c r="Y21" s="220"/>
      <c r="Z21" s="220"/>
      <c r="AA21" s="303"/>
      <c r="AB21" s="304"/>
      <c r="AC21" s="304"/>
      <c r="AD21" s="304"/>
      <c r="AE21" s="220"/>
    </row>
    <row r="22" spans="1:31" x14ac:dyDescent="0.2">
      <c r="A22" s="234">
        <v>101638</v>
      </c>
      <c r="B22" s="248">
        <v>2015</v>
      </c>
      <c r="C22" s="234" t="s">
        <v>26</v>
      </c>
      <c r="D22" s="236">
        <v>281</v>
      </c>
      <c r="E22" s="246">
        <v>10</v>
      </c>
      <c r="F22" s="246">
        <v>8</v>
      </c>
      <c r="G22" s="246">
        <v>19</v>
      </c>
      <c r="H22" s="246">
        <v>14</v>
      </c>
      <c r="I22" s="246">
        <v>19</v>
      </c>
      <c r="J22" s="246">
        <v>11</v>
      </c>
      <c r="K22" s="246">
        <v>15</v>
      </c>
      <c r="L22" s="246">
        <v>13</v>
      </c>
      <c r="M22" s="246">
        <v>0</v>
      </c>
      <c r="N22" s="246">
        <v>20</v>
      </c>
      <c r="O22" s="246">
        <v>17</v>
      </c>
      <c r="P22" s="246">
        <v>34</v>
      </c>
      <c r="Q22" s="238">
        <f t="shared" si="4"/>
        <v>180</v>
      </c>
      <c r="R22" s="239">
        <f t="shared" si="5"/>
        <v>15</v>
      </c>
      <c r="S22" s="240">
        <f>IFERROR((T22/R22),0)</f>
        <v>6.7333333333333334</v>
      </c>
      <c r="T22" s="306">
        <f t="shared" si="6"/>
        <v>101</v>
      </c>
      <c r="U22" s="295">
        <v>2015</v>
      </c>
      <c r="V22" s="234" t="s">
        <v>26</v>
      </c>
      <c r="W22" s="220"/>
      <c r="X22" s="220"/>
      <c r="Y22" s="220"/>
      <c r="Z22" s="220"/>
      <c r="AA22" s="303"/>
      <c r="AB22" s="304"/>
      <c r="AC22" s="304"/>
      <c r="AD22" s="304"/>
      <c r="AE22" s="220"/>
    </row>
    <row r="23" spans="1:31" x14ac:dyDescent="0.2">
      <c r="A23" s="234">
        <v>100465</v>
      </c>
      <c r="B23" s="248">
        <v>2015</v>
      </c>
      <c r="C23" s="234" t="s">
        <v>135</v>
      </c>
      <c r="D23" s="236">
        <v>170</v>
      </c>
      <c r="E23" s="246">
        <v>0</v>
      </c>
      <c r="F23" s="246">
        <v>1</v>
      </c>
      <c r="G23" s="246">
        <v>0</v>
      </c>
      <c r="H23" s="246">
        <v>6</v>
      </c>
      <c r="I23" s="246">
        <v>0</v>
      </c>
      <c r="J23" s="246">
        <v>0</v>
      </c>
      <c r="K23" s="246">
        <v>0</v>
      </c>
      <c r="L23" s="246">
        <v>0</v>
      </c>
      <c r="M23" s="246">
        <v>16</v>
      </c>
      <c r="N23" s="246">
        <v>27</v>
      </c>
      <c r="O23" s="246">
        <v>33</v>
      </c>
      <c r="P23" s="246">
        <v>29</v>
      </c>
      <c r="Q23" s="238">
        <f t="shared" si="4"/>
        <v>112</v>
      </c>
      <c r="R23" s="239">
        <f t="shared" si="5"/>
        <v>9.3333333333333339</v>
      </c>
      <c r="S23" s="240">
        <f t="shared" ref="S23:S24" si="7">IFERROR((T23/R23),0)</f>
        <v>6.2142857142857135</v>
      </c>
      <c r="T23" s="306">
        <f t="shared" si="6"/>
        <v>58</v>
      </c>
      <c r="U23" s="295">
        <v>2015</v>
      </c>
      <c r="V23" s="234" t="s">
        <v>135</v>
      </c>
      <c r="W23" s="220"/>
      <c r="X23" s="220"/>
      <c r="Y23" s="220"/>
      <c r="Z23" s="220"/>
      <c r="AA23" s="303"/>
      <c r="AB23" s="304"/>
      <c r="AC23" s="304"/>
      <c r="AD23" s="304"/>
      <c r="AE23" s="220"/>
    </row>
    <row r="24" spans="1:31" x14ac:dyDescent="0.2">
      <c r="A24" s="234">
        <v>100463</v>
      </c>
      <c r="B24" s="248">
        <v>2015</v>
      </c>
      <c r="C24" s="234" t="s">
        <v>136</v>
      </c>
      <c r="D24" s="236">
        <v>85</v>
      </c>
      <c r="E24" s="246">
        <v>0</v>
      </c>
      <c r="F24" s="246">
        <v>18</v>
      </c>
      <c r="G24" s="246">
        <v>21</v>
      </c>
      <c r="H24" s="246">
        <v>18</v>
      </c>
      <c r="I24" s="246">
        <v>26</v>
      </c>
      <c r="J24" s="246">
        <v>2</v>
      </c>
      <c r="K24" s="242"/>
      <c r="L24" s="242"/>
      <c r="M24" s="242"/>
      <c r="N24" s="242"/>
      <c r="O24" s="242"/>
      <c r="P24" s="242"/>
      <c r="Q24" s="238">
        <f t="shared" si="4"/>
        <v>85</v>
      </c>
      <c r="R24" s="239">
        <f t="shared" si="5"/>
        <v>14.166666666666666</v>
      </c>
      <c r="S24" s="240">
        <f t="shared" si="7"/>
        <v>0</v>
      </c>
      <c r="T24" s="306">
        <f t="shared" si="6"/>
        <v>0</v>
      </c>
      <c r="U24" s="295">
        <v>2015</v>
      </c>
      <c r="V24" s="234" t="s">
        <v>136</v>
      </c>
      <c r="W24" s="220"/>
      <c r="X24" s="220"/>
      <c r="Y24" s="220"/>
      <c r="Z24" s="220"/>
      <c r="AA24" s="303"/>
      <c r="AB24" s="304"/>
      <c r="AC24" s="304"/>
      <c r="AD24" s="304"/>
      <c r="AE24" s="220"/>
    </row>
    <row r="25" spans="1:31" x14ac:dyDescent="0.2">
      <c r="A25" s="226"/>
      <c r="B25" s="269"/>
      <c r="C25" s="269"/>
      <c r="D25" s="272"/>
      <c r="E25" s="272"/>
      <c r="F25" s="272"/>
      <c r="G25" s="272"/>
      <c r="H25" s="272"/>
      <c r="I25" s="272"/>
      <c r="J25" s="272"/>
      <c r="K25" s="272"/>
      <c r="L25" s="272"/>
      <c r="M25" s="272"/>
      <c r="N25" s="272"/>
      <c r="O25" s="272"/>
      <c r="P25" s="272"/>
      <c r="Q25" s="269"/>
      <c r="R25" s="270"/>
      <c r="S25" s="273"/>
      <c r="T25" s="305"/>
      <c r="U25" s="272"/>
      <c r="V25" s="269"/>
      <c r="W25" s="220"/>
      <c r="X25" s="220"/>
      <c r="Y25" s="220"/>
      <c r="Z25" s="220"/>
      <c r="AA25" s="303"/>
      <c r="AB25" s="304"/>
      <c r="AC25" s="304"/>
      <c r="AD25" s="304"/>
      <c r="AE25" s="220"/>
    </row>
    <row r="26" spans="1:31" x14ac:dyDescent="0.2">
      <c r="A26" s="234">
        <v>100464</v>
      </c>
      <c r="B26" s="308">
        <v>2016</v>
      </c>
      <c r="C26" s="308" t="s">
        <v>110</v>
      </c>
      <c r="D26" s="309">
        <v>148</v>
      </c>
      <c r="E26" s="246">
        <v>14</v>
      </c>
      <c r="F26" s="246">
        <v>18</v>
      </c>
      <c r="G26" s="246">
        <v>27</v>
      </c>
      <c r="H26" s="246">
        <v>31</v>
      </c>
      <c r="I26" s="246">
        <v>54</v>
      </c>
      <c r="J26" s="246">
        <v>4</v>
      </c>
      <c r="K26" s="242"/>
      <c r="L26" s="242"/>
      <c r="M26" s="242"/>
      <c r="N26" s="242"/>
      <c r="O26" s="242"/>
      <c r="P26" s="242"/>
      <c r="Q26" s="238">
        <f t="shared" ref="Q26:Q31" si="8">SUM(E26:P26)</f>
        <v>148</v>
      </c>
      <c r="R26" s="239">
        <f t="shared" ref="R26:R31" si="9">IFERROR((AVERAGE(E26:P26)),0)</f>
        <v>24.666666666666668</v>
      </c>
      <c r="S26" s="240">
        <f t="shared" ref="S26:S31" si="10">IFERROR((T26/R26),0)</f>
        <v>0</v>
      </c>
      <c r="T26" s="306">
        <f t="shared" ref="T26:T31" si="11">SUM(D26-Q26)</f>
        <v>0</v>
      </c>
      <c r="U26" s="309">
        <v>2016</v>
      </c>
      <c r="V26" s="308" t="s">
        <v>149</v>
      </c>
      <c r="W26" s="220"/>
      <c r="X26" s="220"/>
      <c r="Y26" s="220"/>
      <c r="Z26" s="220"/>
      <c r="AA26" s="303"/>
      <c r="AB26" s="304"/>
      <c r="AC26" s="304"/>
      <c r="AD26" s="304"/>
      <c r="AE26" s="220"/>
    </row>
    <row r="27" spans="1:31" x14ac:dyDescent="0.2">
      <c r="A27" s="234">
        <v>97509</v>
      </c>
      <c r="B27" s="308">
        <v>2016</v>
      </c>
      <c r="C27" s="308" t="s">
        <v>107</v>
      </c>
      <c r="D27" s="309">
        <v>136</v>
      </c>
      <c r="E27" s="246">
        <v>0</v>
      </c>
      <c r="F27" s="246">
        <v>0</v>
      </c>
      <c r="G27" s="246">
        <v>0</v>
      </c>
      <c r="H27" s="246">
        <v>0</v>
      </c>
      <c r="I27" s="246">
        <v>0</v>
      </c>
      <c r="J27" s="246">
        <v>14</v>
      </c>
      <c r="K27" s="246">
        <v>19</v>
      </c>
      <c r="L27" s="246">
        <v>30</v>
      </c>
      <c r="M27" s="246">
        <v>19</v>
      </c>
      <c r="N27" s="246">
        <v>7</v>
      </c>
      <c r="O27" s="246">
        <v>4</v>
      </c>
      <c r="P27" s="246">
        <v>0</v>
      </c>
      <c r="Q27" s="238">
        <f t="shared" si="8"/>
        <v>93</v>
      </c>
      <c r="R27" s="239">
        <f t="shared" si="9"/>
        <v>7.75</v>
      </c>
      <c r="S27" s="240">
        <f t="shared" si="10"/>
        <v>5.5483870967741939</v>
      </c>
      <c r="T27" s="306">
        <f t="shared" si="11"/>
        <v>43</v>
      </c>
      <c r="U27" s="309">
        <v>2016</v>
      </c>
      <c r="V27" s="308" t="s">
        <v>107</v>
      </c>
      <c r="W27" s="220"/>
      <c r="X27" s="220"/>
      <c r="Y27" s="220"/>
      <c r="Z27" s="220"/>
      <c r="AA27" s="303"/>
      <c r="AB27" s="304"/>
      <c r="AC27" s="304"/>
      <c r="AD27" s="304"/>
      <c r="AE27" s="220"/>
    </row>
    <row r="28" spans="1:31" x14ac:dyDescent="0.2">
      <c r="A28" s="234">
        <v>97511</v>
      </c>
      <c r="B28" s="308">
        <v>2016</v>
      </c>
      <c r="C28" s="308" t="s">
        <v>25</v>
      </c>
      <c r="D28" s="309">
        <v>310</v>
      </c>
      <c r="E28" s="246">
        <v>0</v>
      </c>
      <c r="F28" s="246">
        <v>0</v>
      </c>
      <c r="G28" s="246">
        <v>0</v>
      </c>
      <c r="H28" s="246">
        <v>0</v>
      </c>
      <c r="I28" s="246">
        <v>0</v>
      </c>
      <c r="J28" s="246">
        <v>0</v>
      </c>
      <c r="K28" s="246">
        <v>0</v>
      </c>
      <c r="L28" s="246">
        <v>6</v>
      </c>
      <c r="M28" s="246">
        <v>0</v>
      </c>
      <c r="N28" s="246">
        <v>0</v>
      </c>
      <c r="O28" s="246">
        <v>0</v>
      </c>
      <c r="P28" s="246">
        <v>5</v>
      </c>
      <c r="Q28" s="238">
        <f t="shared" si="8"/>
        <v>11</v>
      </c>
      <c r="R28" s="239">
        <f t="shared" si="9"/>
        <v>0.91666666666666663</v>
      </c>
      <c r="S28" s="240">
        <f t="shared" si="10"/>
        <v>326.18181818181819</v>
      </c>
      <c r="T28" s="306">
        <f t="shared" si="11"/>
        <v>299</v>
      </c>
      <c r="U28" s="309">
        <v>2016</v>
      </c>
      <c r="V28" s="308" t="s">
        <v>25</v>
      </c>
      <c r="W28" s="220"/>
      <c r="X28" s="220">
        <v>1</v>
      </c>
      <c r="Y28" s="220"/>
      <c r="Z28" s="220"/>
      <c r="AA28" s="303"/>
      <c r="AB28" s="304"/>
      <c r="AC28" s="304"/>
      <c r="AD28" s="304"/>
      <c r="AE28" s="220"/>
    </row>
    <row r="29" spans="1:31" x14ac:dyDescent="0.2">
      <c r="A29" s="234">
        <v>100465</v>
      </c>
      <c r="B29" s="308">
        <v>2016</v>
      </c>
      <c r="C29" s="308" t="s">
        <v>135</v>
      </c>
      <c r="D29" s="309">
        <v>299</v>
      </c>
      <c r="E29" s="246">
        <v>0</v>
      </c>
      <c r="F29" s="246">
        <v>7</v>
      </c>
      <c r="G29" s="246">
        <v>0</v>
      </c>
      <c r="H29" s="246">
        <v>0</v>
      </c>
      <c r="I29" s="246">
        <v>0</v>
      </c>
      <c r="J29" s="246">
        <v>0</v>
      </c>
      <c r="K29" s="246">
        <v>0</v>
      </c>
      <c r="L29" s="246">
        <v>9</v>
      </c>
      <c r="M29" s="246">
        <v>0</v>
      </c>
      <c r="N29" s="246">
        <v>0</v>
      </c>
      <c r="O29" s="246">
        <v>0</v>
      </c>
      <c r="P29" s="246">
        <v>0</v>
      </c>
      <c r="Q29" s="238">
        <f t="shared" si="8"/>
        <v>16</v>
      </c>
      <c r="R29" s="239">
        <f t="shared" si="9"/>
        <v>1.3333333333333333</v>
      </c>
      <c r="S29" s="240">
        <f t="shared" si="10"/>
        <v>212.25</v>
      </c>
      <c r="T29" s="306">
        <f t="shared" si="11"/>
        <v>283</v>
      </c>
      <c r="U29" s="309">
        <v>2016</v>
      </c>
      <c r="V29" s="308" t="s">
        <v>135</v>
      </c>
      <c r="W29" s="220"/>
      <c r="X29" s="220"/>
      <c r="Y29" s="220"/>
      <c r="Z29" s="220"/>
      <c r="AA29" s="303"/>
      <c r="AB29" s="304"/>
      <c r="AC29" s="304"/>
      <c r="AD29" s="304"/>
      <c r="AE29" s="220"/>
    </row>
    <row r="30" spans="1:31" x14ac:dyDescent="0.2">
      <c r="A30" s="234">
        <v>102768</v>
      </c>
      <c r="B30" s="308">
        <v>2016</v>
      </c>
      <c r="C30" s="308" t="s">
        <v>131</v>
      </c>
      <c r="D30" s="309">
        <v>155</v>
      </c>
      <c r="E30" s="246">
        <v>12</v>
      </c>
      <c r="F30" s="246">
        <v>18</v>
      </c>
      <c r="G30" s="246">
        <v>0</v>
      </c>
      <c r="H30" s="246">
        <v>6</v>
      </c>
      <c r="I30" s="246">
        <v>0</v>
      </c>
      <c r="J30" s="246">
        <v>0</v>
      </c>
      <c r="K30" s="246">
        <v>23</v>
      </c>
      <c r="L30" s="246">
        <v>0</v>
      </c>
      <c r="M30" s="246">
        <v>32</v>
      </c>
      <c r="N30" s="246">
        <v>31</v>
      </c>
      <c r="O30" s="246">
        <v>33</v>
      </c>
      <c r="P30" s="242"/>
      <c r="Q30" s="238">
        <f t="shared" si="8"/>
        <v>155</v>
      </c>
      <c r="R30" s="239">
        <f t="shared" si="9"/>
        <v>14.090909090909092</v>
      </c>
      <c r="S30" s="240">
        <f t="shared" si="10"/>
        <v>0</v>
      </c>
      <c r="T30" s="306">
        <f t="shared" si="11"/>
        <v>0</v>
      </c>
      <c r="U30" s="309">
        <v>2016</v>
      </c>
      <c r="V30" s="308" t="s">
        <v>131</v>
      </c>
      <c r="W30" s="322"/>
      <c r="X30" s="220"/>
      <c r="Y30" s="220"/>
      <c r="Z30" s="220"/>
      <c r="AA30" s="303"/>
      <c r="AB30" s="304"/>
      <c r="AC30" s="304"/>
      <c r="AD30" s="304"/>
      <c r="AE30" s="220"/>
    </row>
    <row r="31" spans="1:31" x14ac:dyDescent="0.2">
      <c r="A31" s="234">
        <v>101638</v>
      </c>
      <c r="B31" s="308">
        <v>2016</v>
      </c>
      <c r="C31" s="308" t="s">
        <v>26</v>
      </c>
      <c r="D31" s="309">
        <v>198</v>
      </c>
      <c r="E31" s="246">
        <v>0</v>
      </c>
      <c r="F31" s="246">
        <v>0</v>
      </c>
      <c r="G31" s="246">
        <v>0</v>
      </c>
      <c r="H31" s="246">
        <v>0</v>
      </c>
      <c r="I31" s="246">
        <v>0</v>
      </c>
      <c r="J31" s="246">
        <v>0</v>
      </c>
      <c r="K31" s="246">
        <v>0</v>
      </c>
      <c r="L31" s="246">
        <v>0</v>
      </c>
      <c r="M31" s="246">
        <v>0</v>
      </c>
      <c r="N31" s="246">
        <v>0</v>
      </c>
      <c r="O31" s="246">
        <v>0</v>
      </c>
      <c r="P31" s="246">
        <v>0</v>
      </c>
      <c r="Q31" s="238">
        <f t="shared" si="8"/>
        <v>0</v>
      </c>
      <c r="R31" s="239">
        <f t="shared" si="9"/>
        <v>0</v>
      </c>
      <c r="S31" s="240">
        <f t="shared" si="10"/>
        <v>0</v>
      </c>
      <c r="T31" s="306">
        <f t="shared" si="11"/>
        <v>198</v>
      </c>
      <c r="U31" s="309">
        <v>2016</v>
      </c>
      <c r="V31" s="308" t="s">
        <v>26</v>
      </c>
      <c r="W31" s="220"/>
      <c r="X31" s="220"/>
      <c r="Y31" s="220"/>
      <c r="Z31" s="220"/>
      <c r="AA31" s="303"/>
      <c r="AB31" s="304"/>
      <c r="AC31" s="304"/>
      <c r="AD31" s="304"/>
      <c r="AE31" s="220"/>
    </row>
    <row r="32" spans="1:31" x14ac:dyDescent="0.2">
      <c r="A32" s="234">
        <v>100462</v>
      </c>
      <c r="B32" s="308">
        <v>2016</v>
      </c>
      <c r="C32" s="308" t="s">
        <v>136</v>
      </c>
      <c r="D32" s="221">
        <v>503</v>
      </c>
      <c r="E32" s="317"/>
      <c r="F32" s="317"/>
      <c r="G32" s="317"/>
      <c r="H32" s="317"/>
      <c r="I32" s="317"/>
      <c r="J32" s="317">
        <v>0</v>
      </c>
      <c r="K32" s="317">
        <v>19</v>
      </c>
      <c r="L32" s="317">
        <v>3</v>
      </c>
      <c r="M32" s="317">
        <v>42</v>
      </c>
      <c r="N32" s="317">
        <v>21</v>
      </c>
      <c r="O32" s="317">
        <v>40</v>
      </c>
      <c r="P32" s="317">
        <v>31</v>
      </c>
      <c r="Q32" s="318">
        <f t="shared" ref="Q32" si="12">SUM(E32:P32)</f>
        <v>156</v>
      </c>
      <c r="R32" s="319">
        <f t="shared" ref="R32" si="13">IFERROR((AVERAGE(E32:P32)),0)</f>
        <v>22.285714285714285</v>
      </c>
      <c r="S32" s="277">
        <f t="shared" ref="S32" si="14">IFERROR((T32/R32),0)</f>
        <v>15.570512820512821</v>
      </c>
      <c r="T32" s="276">
        <f t="shared" ref="T32" si="15">SUM(D32-Q32)</f>
        <v>347</v>
      </c>
      <c r="U32" s="221">
        <v>2016</v>
      </c>
      <c r="V32" s="220" t="s">
        <v>136</v>
      </c>
      <c r="W32" s="220"/>
      <c r="X32" s="220"/>
      <c r="Y32" s="220"/>
      <c r="Z32" s="220"/>
      <c r="AA32" s="303"/>
      <c r="AB32" s="304"/>
      <c r="AC32" s="304"/>
      <c r="AD32" s="304"/>
      <c r="AE32" s="220"/>
    </row>
    <row r="33" spans="1:31" x14ac:dyDescent="0.2">
      <c r="A33" s="234">
        <v>101639</v>
      </c>
      <c r="B33" s="308">
        <v>2016</v>
      </c>
      <c r="C33" s="308" t="s">
        <v>120</v>
      </c>
      <c r="D33" s="221">
        <v>332</v>
      </c>
      <c r="E33" s="317"/>
      <c r="F33" s="317"/>
      <c r="G33" s="317"/>
      <c r="H33" s="317"/>
      <c r="I33" s="317"/>
      <c r="J33" s="317"/>
      <c r="K33" s="317"/>
      <c r="L33" s="317"/>
      <c r="M33" s="317"/>
      <c r="N33" s="317"/>
      <c r="O33" s="317"/>
      <c r="P33" s="317">
        <v>0</v>
      </c>
      <c r="Q33" s="318">
        <f t="shared" ref="Q33" si="16">SUM(E33:P33)</f>
        <v>0</v>
      </c>
      <c r="R33" s="319">
        <f t="shared" ref="R33" si="17">IFERROR((AVERAGE(E33:P33)),0)</f>
        <v>0</v>
      </c>
      <c r="S33" s="277">
        <f t="shared" ref="S33" si="18">IFERROR((T33/R33),0)</f>
        <v>0</v>
      </c>
      <c r="T33" s="276">
        <f t="shared" ref="T33" si="19">SUM(D33-Q33)</f>
        <v>332</v>
      </c>
      <c r="U33" s="221">
        <v>2016</v>
      </c>
      <c r="V33" s="220" t="s">
        <v>120</v>
      </c>
      <c r="W33" s="220"/>
      <c r="X33" s="220"/>
      <c r="Y33" s="220"/>
      <c r="Z33" s="220"/>
      <c r="AA33" s="303"/>
      <c r="AB33" s="304"/>
      <c r="AC33" s="304"/>
      <c r="AD33" s="304"/>
      <c r="AE33" s="220"/>
    </row>
    <row r="34" spans="1:31" x14ac:dyDescent="0.2">
      <c r="A34" s="226"/>
      <c r="B34" s="269"/>
      <c r="C34" s="269"/>
      <c r="D34" s="271"/>
      <c r="E34" s="271"/>
      <c r="F34" s="271"/>
      <c r="G34" s="271"/>
      <c r="H34" s="271"/>
      <c r="I34" s="271"/>
      <c r="J34" s="271"/>
      <c r="K34" s="271"/>
      <c r="L34" s="271"/>
      <c r="M34" s="271"/>
      <c r="N34" s="271"/>
      <c r="O34" s="271"/>
      <c r="P34" s="271"/>
      <c r="Q34" s="282"/>
      <c r="R34" s="283"/>
      <c r="S34" s="284"/>
      <c r="T34" s="271"/>
      <c r="U34" s="271"/>
      <c r="V34" s="282"/>
      <c r="W34" s="220"/>
      <c r="X34" s="220"/>
      <c r="Y34" s="220"/>
      <c r="Z34" s="220"/>
      <c r="AA34" s="303"/>
      <c r="AB34" s="304"/>
      <c r="AC34" s="304"/>
      <c r="AD34" s="304"/>
      <c r="AE34" s="220"/>
    </row>
    <row r="35" spans="1:31" customFormat="1" x14ac:dyDescent="0.2">
      <c r="A35" s="234">
        <v>101819</v>
      </c>
      <c r="B35" s="237" t="s">
        <v>133</v>
      </c>
      <c r="C35" s="234" t="s">
        <v>148</v>
      </c>
      <c r="D35" s="236">
        <v>132</v>
      </c>
      <c r="E35" s="246"/>
      <c r="F35" s="246"/>
      <c r="G35" s="246"/>
      <c r="H35" s="246"/>
      <c r="I35" s="246"/>
      <c r="J35" s="246"/>
      <c r="K35" s="246">
        <v>0</v>
      </c>
      <c r="L35" s="246">
        <v>0</v>
      </c>
      <c r="M35" s="246">
        <v>15</v>
      </c>
      <c r="N35" s="246">
        <v>28</v>
      </c>
      <c r="O35" s="246">
        <v>1</v>
      </c>
      <c r="P35" s="246">
        <v>19</v>
      </c>
      <c r="Q35" s="236">
        <f t="shared" ref="Q35:Q43" si="20">SUM(E35:P35)</f>
        <v>63</v>
      </c>
      <c r="R35" s="279">
        <f t="shared" ref="R35:R43" si="21">IFERROR((AVERAGE(E35:P35)),0)</f>
        <v>10.5</v>
      </c>
      <c r="S35" s="279">
        <f t="shared" ref="S35:S43" si="22">IFERROR((T35/R35),0)</f>
        <v>6.5714285714285712</v>
      </c>
      <c r="T35" s="236">
        <f t="shared" ref="T35:T43" si="23">SUM(D35-Q35)</f>
        <v>69</v>
      </c>
      <c r="U35" s="236" t="s">
        <v>133</v>
      </c>
      <c r="V35" s="234" t="s">
        <v>134</v>
      </c>
    </row>
    <row r="36" spans="1:31" customFormat="1" x14ac:dyDescent="0.2">
      <c r="A36" s="234">
        <v>100464</v>
      </c>
      <c r="B36" s="234">
        <v>2017</v>
      </c>
      <c r="C36" s="234" t="s">
        <v>110</v>
      </c>
      <c r="D36" s="236">
        <v>386</v>
      </c>
      <c r="E36" s="237"/>
      <c r="F36" s="237"/>
      <c r="G36" s="237"/>
      <c r="H36" s="237"/>
      <c r="I36" s="246">
        <v>0</v>
      </c>
      <c r="J36" s="246">
        <v>39</v>
      </c>
      <c r="K36" s="246">
        <v>47</v>
      </c>
      <c r="L36" s="246">
        <v>36</v>
      </c>
      <c r="M36" s="246">
        <v>75</v>
      </c>
      <c r="N36" s="246">
        <v>26</v>
      </c>
      <c r="O36" s="246">
        <v>29</v>
      </c>
      <c r="P36" s="246">
        <v>18</v>
      </c>
      <c r="Q36" s="236">
        <f t="shared" si="20"/>
        <v>270</v>
      </c>
      <c r="R36" s="279">
        <f t="shared" si="21"/>
        <v>33.75</v>
      </c>
      <c r="S36" s="279">
        <f t="shared" si="22"/>
        <v>3.4370370370370371</v>
      </c>
      <c r="T36" s="236">
        <f t="shared" si="23"/>
        <v>116</v>
      </c>
      <c r="U36" s="236">
        <v>2017</v>
      </c>
      <c r="V36" s="234" t="s">
        <v>110</v>
      </c>
    </row>
    <row r="37" spans="1:31" customFormat="1" x14ac:dyDescent="0.2">
      <c r="A37" s="234">
        <v>97509</v>
      </c>
      <c r="B37" s="234">
        <v>2017</v>
      </c>
      <c r="C37" s="234" t="s">
        <v>107</v>
      </c>
      <c r="D37" s="236">
        <v>410</v>
      </c>
      <c r="E37" s="237"/>
      <c r="F37" s="237"/>
      <c r="G37" s="237"/>
      <c r="H37" s="237"/>
      <c r="I37" s="246">
        <v>11</v>
      </c>
      <c r="J37" s="246">
        <v>7</v>
      </c>
      <c r="K37" s="246">
        <v>0</v>
      </c>
      <c r="L37" s="246">
        <v>3</v>
      </c>
      <c r="M37" s="246">
        <v>54</v>
      </c>
      <c r="N37" s="246">
        <v>0</v>
      </c>
      <c r="O37" s="246">
        <v>0</v>
      </c>
      <c r="P37" s="246">
        <v>0</v>
      </c>
      <c r="Q37" s="236">
        <f t="shared" si="20"/>
        <v>75</v>
      </c>
      <c r="R37" s="279">
        <f t="shared" si="21"/>
        <v>9.375</v>
      </c>
      <c r="S37" s="279">
        <f t="shared" si="22"/>
        <v>35.733333333333334</v>
      </c>
      <c r="T37" s="236">
        <f t="shared" si="23"/>
        <v>335</v>
      </c>
      <c r="U37" s="236">
        <v>2017</v>
      </c>
      <c r="V37" s="234" t="s">
        <v>107</v>
      </c>
    </row>
    <row r="38" spans="1:31" customFormat="1" x14ac:dyDescent="0.2">
      <c r="A38" s="234">
        <v>101636</v>
      </c>
      <c r="B38" s="234">
        <v>2017</v>
      </c>
      <c r="C38" s="234" t="s">
        <v>31</v>
      </c>
      <c r="D38" s="236">
        <v>222</v>
      </c>
      <c r="E38" s="237"/>
      <c r="F38" s="237"/>
      <c r="G38" s="237"/>
      <c r="H38" s="237"/>
      <c r="I38" s="246">
        <v>5</v>
      </c>
      <c r="J38" s="246">
        <v>31</v>
      </c>
      <c r="K38" s="246">
        <v>14</v>
      </c>
      <c r="L38" s="246">
        <v>16</v>
      </c>
      <c r="M38" s="246">
        <v>18</v>
      </c>
      <c r="N38" s="246">
        <v>12</v>
      </c>
      <c r="O38" s="246">
        <v>17</v>
      </c>
      <c r="P38" s="246">
        <v>18</v>
      </c>
      <c r="Q38" s="236">
        <f t="shared" si="20"/>
        <v>131</v>
      </c>
      <c r="R38" s="279">
        <f t="shared" si="21"/>
        <v>16.375</v>
      </c>
      <c r="S38" s="279">
        <f t="shared" si="22"/>
        <v>5.5572519083969469</v>
      </c>
      <c r="T38" s="236">
        <f t="shared" si="23"/>
        <v>91</v>
      </c>
      <c r="U38" s="236">
        <v>2017</v>
      </c>
      <c r="V38" s="234" t="s">
        <v>31</v>
      </c>
    </row>
    <row r="39" spans="1:31" customFormat="1" x14ac:dyDescent="0.2">
      <c r="A39" s="234">
        <v>97511</v>
      </c>
      <c r="B39" s="234">
        <v>2017</v>
      </c>
      <c r="C39" s="234" t="s">
        <v>25</v>
      </c>
      <c r="D39" s="236">
        <v>329</v>
      </c>
      <c r="E39" s="237"/>
      <c r="F39" s="237"/>
      <c r="G39" s="237" t="s">
        <v>35</v>
      </c>
      <c r="H39" s="237"/>
      <c r="I39" s="237"/>
      <c r="J39" s="237"/>
      <c r="K39" s="246"/>
      <c r="L39" s="246">
        <v>0</v>
      </c>
      <c r="M39" s="246">
        <v>0</v>
      </c>
      <c r="N39" s="246">
        <v>0</v>
      </c>
      <c r="O39" s="246">
        <v>0</v>
      </c>
      <c r="P39" s="246">
        <v>0</v>
      </c>
      <c r="Q39" s="236">
        <f t="shared" si="20"/>
        <v>0</v>
      </c>
      <c r="R39" s="279">
        <f t="shared" si="21"/>
        <v>0</v>
      </c>
      <c r="S39" s="279">
        <f t="shared" si="22"/>
        <v>0</v>
      </c>
      <c r="T39" s="236">
        <f>SUM(D39-Q39)</f>
        <v>329</v>
      </c>
      <c r="U39" s="236">
        <v>2017</v>
      </c>
      <c r="V39" s="234" t="s">
        <v>25</v>
      </c>
    </row>
    <row r="40" spans="1:31" customFormat="1" x14ac:dyDescent="0.2">
      <c r="A40" s="234">
        <v>101638</v>
      </c>
      <c r="B40" s="234">
        <v>2017</v>
      </c>
      <c r="C40" s="234" t="s">
        <v>26</v>
      </c>
      <c r="D40" s="236">
        <v>308</v>
      </c>
      <c r="E40" s="236"/>
      <c r="F40" s="236"/>
      <c r="G40" s="236"/>
      <c r="H40" s="236"/>
      <c r="I40" s="236"/>
      <c r="J40" s="236"/>
      <c r="K40" s="236"/>
      <c r="L40" s="246">
        <v>0</v>
      </c>
      <c r="M40" s="246">
        <v>0</v>
      </c>
      <c r="N40" s="246">
        <v>0</v>
      </c>
      <c r="O40" s="246">
        <v>0</v>
      </c>
      <c r="P40" s="246">
        <v>0</v>
      </c>
      <c r="Q40" s="236">
        <f t="shared" si="20"/>
        <v>0</v>
      </c>
      <c r="R40" s="279">
        <f t="shared" si="21"/>
        <v>0</v>
      </c>
      <c r="S40" s="279">
        <f t="shared" si="22"/>
        <v>0</v>
      </c>
      <c r="T40" s="236">
        <f t="shared" si="23"/>
        <v>308</v>
      </c>
      <c r="U40" s="236">
        <v>2017</v>
      </c>
      <c r="V40" s="234" t="s">
        <v>26</v>
      </c>
    </row>
    <row r="41" spans="1:31" customFormat="1" x14ac:dyDescent="0.2">
      <c r="A41" s="234">
        <v>100465</v>
      </c>
      <c r="B41" s="234">
        <v>2017</v>
      </c>
      <c r="C41" s="234" t="s">
        <v>135</v>
      </c>
      <c r="D41" s="236">
        <v>323</v>
      </c>
      <c r="E41" s="236"/>
      <c r="F41" s="236"/>
      <c r="G41" s="236" t="s">
        <v>35</v>
      </c>
      <c r="H41" s="236"/>
      <c r="I41" s="236"/>
      <c r="J41" s="236"/>
      <c r="K41" s="236"/>
      <c r="L41" s="246">
        <v>0</v>
      </c>
      <c r="M41" s="246">
        <v>0</v>
      </c>
      <c r="N41" s="246">
        <v>0</v>
      </c>
      <c r="O41" s="246">
        <v>0</v>
      </c>
      <c r="P41" s="246">
        <v>0</v>
      </c>
      <c r="Q41" s="236">
        <f t="shared" si="20"/>
        <v>0</v>
      </c>
      <c r="R41" s="279">
        <f t="shared" si="21"/>
        <v>0</v>
      </c>
      <c r="S41" s="279">
        <f t="shared" si="22"/>
        <v>0</v>
      </c>
      <c r="T41" s="236">
        <f t="shared" si="23"/>
        <v>323</v>
      </c>
      <c r="U41" s="236">
        <v>2017</v>
      </c>
      <c r="V41" s="234" t="s">
        <v>135</v>
      </c>
    </row>
    <row r="42" spans="1:31" customFormat="1" x14ac:dyDescent="0.2">
      <c r="A42" s="324"/>
      <c r="B42" s="234">
        <v>2017</v>
      </c>
      <c r="C42" s="234" t="s">
        <v>131</v>
      </c>
      <c r="D42" s="236">
        <v>249</v>
      </c>
      <c r="E42" s="236"/>
      <c r="F42" s="236"/>
      <c r="G42" s="236"/>
      <c r="H42" s="236"/>
      <c r="I42" s="236"/>
      <c r="J42" s="236"/>
      <c r="K42" s="236"/>
      <c r="L42" s="236"/>
      <c r="M42" s="236"/>
      <c r="N42" s="236"/>
      <c r="O42" s="236"/>
      <c r="P42" s="246">
        <v>0</v>
      </c>
      <c r="Q42" s="236">
        <f t="shared" si="20"/>
        <v>0</v>
      </c>
      <c r="R42" s="279">
        <f t="shared" si="21"/>
        <v>0</v>
      </c>
      <c r="S42" s="279">
        <f t="shared" si="22"/>
        <v>0</v>
      </c>
      <c r="T42" s="236">
        <f t="shared" si="23"/>
        <v>249</v>
      </c>
      <c r="U42" s="236">
        <v>2017</v>
      </c>
      <c r="V42" s="234" t="s">
        <v>131</v>
      </c>
    </row>
    <row r="43" spans="1:31" customFormat="1" x14ac:dyDescent="0.2">
      <c r="A43" s="324" t="s">
        <v>166</v>
      </c>
      <c r="B43" s="234">
        <v>2017</v>
      </c>
      <c r="C43" s="234" t="s">
        <v>136</v>
      </c>
      <c r="D43" s="236">
        <v>408</v>
      </c>
      <c r="E43" s="236"/>
      <c r="F43" s="236"/>
      <c r="G43" s="236"/>
      <c r="H43" s="236"/>
      <c r="I43" s="236"/>
      <c r="J43" s="236"/>
      <c r="K43" s="236"/>
      <c r="L43" s="236"/>
      <c r="M43" s="236"/>
      <c r="N43" s="236"/>
      <c r="O43" s="236"/>
      <c r="P43" s="246">
        <v>0</v>
      </c>
      <c r="Q43" s="236">
        <f t="shared" si="20"/>
        <v>0</v>
      </c>
      <c r="R43" s="279">
        <f t="shared" si="21"/>
        <v>0</v>
      </c>
      <c r="S43" s="279">
        <f t="shared" si="22"/>
        <v>0</v>
      </c>
      <c r="T43" s="236">
        <f t="shared" si="23"/>
        <v>408</v>
      </c>
      <c r="U43" s="236">
        <v>2017</v>
      </c>
      <c r="V43" s="234" t="s">
        <v>136</v>
      </c>
    </row>
    <row r="44" spans="1:31" customFormat="1" x14ac:dyDescent="0.2">
      <c r="A44" s="324" t="s">
        <v>166</v>
      </c>
      <c r="B44" s="234" t="s">
        <v>35</v>
      </c>
      <c r="C44" s="234" t="s">
        <v>120</v>
      </c>
      <c r="D44" s="236"/>
      <c r="E44" s="236"/>
      <c r="F44" s="236"/>
      <c r="G44" s="236"/>
      <c r="H44" s="236"/>
      <c r="I44" s="236"/>
      <c r="J44" s="236"/>
      <c r="K44" s="236"/>
      <c r="L44" s="236"/>
      <c r="M44" s="236"/>
      <c r="N44" s="236"/>
      <c r="O44" s="236"/>
      <c r="P44" s="236"/>
      <c r="Q44" s="236">
        <f t="shared" ref="Q44:Q45" si="24">SUM(E44:P44)</f>
        <v>0</v>
      </c>
      <c r="R44" s="279">
        <f t="shared" ref="R44:R45" si="25">IFERROR((AVERAGE(E44:P44)),0)</f>
        <v>0</v>
      </c>
      <c r="S44" s="279">
        <f t="shared" ref="S44:S45" si="26">IFERROR((T44/R44),0)</f>
        <v>0</v>
      </c>
      <c r="T44" s="236">
        <f t="shared" ref="T44:T45" si="27">SUM(D44-Q44)</f>
        <v>0</v>
      </c>
      <c r="U44" s="236">
        <v>2017</v>
      </c>
      <c r="V44" s="234" t="s">
        <v>120</v>
      </c>
    </row>
    <row r="45" spans="1:31" customFormat="1" ht="15.75" x14ac:dyDescent="0.25">
      <c r="A45" s="234"/>
      <c r="B45" s="234" t="s">
        <v>35</v>
      </c>
      <c r="C45" s="234" t="s">
        <v>150</v>
      </c>
      <c r="D45" s="236"/>
      <c r="E45" s="325"/>
      <c r="F45" s="236"/>
      <c r="G45" s="236"/>
      <c r="H45" s="236"/>
      <c r="I45" s="236"/>
      <c r="J45" s="236"/>
      <c r="K45" s="236"/>
      <c r="L45" s="236"/>
      <c r="M45" s="236"/>
      <c r="N45" s="236"/>
      <c r="O45" s="236"/>
      <c r="P45" s="236"/>
      <c r="Q45" s="236">
        <f t="shared" si="24"/>
        <v>0</v>
      </c>
      <c r="R45" s="279">
        <f t="shared" si="25"/>
        <v>0</v>
      </c>
      <c r="S45" s="279">
        <f t="shared" si="26"/>
        <v>0</v>
      </c>
      <c r="T45" s="236">
        <f t="shared" si="27"/>
        <v>0</v>
      </c>
      <c r="U45" s="236">
        <v>2017</v>
      </c>
      <c r="V45" s="234" t="s">
        <v>150</v>
      </c>
    </row>
    <row r="46" spans="1:31" customFormat="1" x14ac:dyDescent="0.2">
      <c r="A46" s="234" t="s">
        <v>35</v>
      </c>
      <c r="B46" s="234" t="s">
        <v>35</v>
      </c>
      <c r="C46" s="234" t="s">
        <v>35</v>
      </c>
      <c r="D46" s="236"/>
      <c r="E46" s="236"/>
      <c r="F46" s="236"/>
      <c r="G46" s="236"/>
      <c r="H46" s="236"/>
      <c r="I46" s="236"/>
      <c r="J46" s="236"/>
      <c r="K46" s="236"/>
      <c r="L46" s="236"/>
      <c r="M46" s="236"/>
      <c r="N46" s="236"/>
      <c r="O46" s="236"/>
      <c r="P46" s="236"/>
      <c r="Q46" s="236"/>
      <c r="R46" s="236"/>
      <c r="S46" s="236"/>
      <c r="T46" s="236"/>
      <c r="U46" s="236"/>
      <c r="V46" s="234"/>
    </row>
    <row r="47" spans="1:31" x14ac:dyDescent="0.2">
      <c r="A47" s="226"/>
      <c r="B47" s="269" t="s">
        <v>35</v>
      </c>
      <c r="C47" s="269"/>
      <c r="D47" s="272"/>
      <c r="E47" s="272"/>
      <c r="F47" s="272"/>
      <c r="G47" s="272"/>
      <c r="H47" s="272"/>
      <c r="I47" s="272"/>
      <c r="J47" s="272"/>
      <c r="K47" s="272"/>
      <c r="L47" s="272"/>
      <c r="M47" s="272"/>
      <c r="N47" s="272"/>
      <c r="O47" s="272"/>
      <c r="P47" s="272"/>
      <c r="Q47" s="269"/>
      <c r="R47" s="283"/>
      <c r="S47" s="284"/>
      <c r="T47" s="271"/>
      <c r="U47" s="272"/>
      <c r="V47" s="269"/>
      <c r="W47" s="220"/>
      <c r="X47" s="220"/>
      <c r="Y47" s="220"/>
      <c r="Z47" s="220"/>
      <c r="AA47" s="303"/>
      <c r="AB47" s="304"/>
      <c r="AC47" s="304"/>
      <c r="AD47" s="304"/>
      <c r="AE47" s="220"/>
    </row>
    <row r="48" spans="1:31" x14ac:dyDescent="0.2">
      <c r="A48" s="234"/>
      <c r="B48" s="234">
        <v>2014</v>
      </c>
      <c r="C48" s="234"/>
      <c r="D48" s="267">
        <f t="shared" ref="D48:Q48" si="28">SUM(D13:D16)</f>
        <v>894</v>
      </c>
      <c r="E48" s="267">
        <f t="shared" si="28"/>
        <v>40</v>
      </c>
      <c r="F48" s="267">
        <f t="shared" si="28"/>
        <v>64</v>
      </c>
      <c r="G48" s="267">
        <f t="shared" si="28"/>
        <v>56</v>
      </c>
      <c r="H48" s="267">
        <f t="shared" si="28"/>
        <v>130</v>
      </c>
      <c r="I48" s="267">
        <f t="shared" si="28"/>
        <v>63</v>
      </c>
      <c r="J48" s="267">
        <f t="shared" si="28"/>
        <v>65</v>
      </c>
      <c r="K48" s="267">
        <f t="shared" si="28"/>
        <v>49</v>
      </c>
      <c r="L48" s="267">
        <f t="shared" si="28"/>
        <v>88</v>
      </c>
      <c r="M48" s="267">
        <f t="shared" si="28"/>
        <v>90</v>
      </c>
      <c r="N48" s="267">
        <f t="shared" si="28"/>
        <v>61</v>
      </c>
      <c r="O48" s="267">
        <f t="shared" si="28"/>
        <v>90</v>
      </c>
      <c r="P48" s="267">
        <f t="shared" si="28"/>
        <v>37</v>
      </c>
      <c r="Q48" s="238">
        <f t="shared" si="28"/>
        <v>833</v>
      </c>
      <c r="R48" s="239">
        <f>IFERROR((AVERAGE(E48:P48)),0)</f>
        <v>69.416666666666671</v>
      </c>
      <c r="S48" s="240">
        <f>IFERROR((T48/R48),0)</f>
        <v>0.87875150060023999</v>
      </c>
      <c r="T48" s="306">
        <f>SUM(D48-Q48)</f>
        <v>61</v>
      </c>
      <c r="U48" s="236">
        <v>2014</v>
      </c>
      <c r="V48" s="234"/>
      <c r="W48" s="220"/>
      <c r="X48" s="220"/>
      <c r="Y48" s="220"/>
      <c r="Z48" s="220"/>
      <c r="AA48" s="303"/>
      <c r="AB48" s="304"/>
      <c r="AC48" s="304"/>
      <c r="AD48" s="304"/>
      <c r="AE48" s="220"/>
    </row>
    <row r="49" spans="1:31" x14ac:dyDescent="0.2">
      <c r="A49" s="234"/>
      <c r="B49" s="234">
        <v>2015</v>
      </c>
      <c r="C49" s="234"/>
      <c r="D49" s="267">
        <f t="shared" ref="D49:Q49" si="29">SUM(D19:D24)</f>
        <v>834</v>
      </c>
      <c r="E49" s="267">
        <f t="shared" si="29"/>
        <v>28</v>
      </c>
      <c r="F49" s="267">
        <f t="shared" si="29"/>
        <v>75</v>
      </c>
      <c r="G49" s="267">
        <f t="shared" si="29"/>
        <v>75</v>
      </c>
      <c r="H49" s="267">
        <f t="shared" si="29"/>
        <v>74</v>
      </c>
      <c r="I49" s="267">
        <f t="shared" si="29"/>
        <v>100</v>
      </c>
      <c r="J49" s="267">
        <f t="shared" si="29"/>
        <v>30</v>
      </c>
      <c r="K49" s="267">
        <f t="shared" si="29"/>
        <v>24</v>
      </c>
      <c r="L49" s="267">
        <f t="shared" si="29"/>
        <v>13</v>
      </c>
      <c r="M49" s="267">
        <f t="shared" si="29"/>
        <v>41</v>
      </c>
      <c r="N49" s="267">
        <f t="shared" si="29"/>
        <v>65</v>
      </c>
      <c r="O49" s="267">
        <f t="shared" si="29"/>
        <v>58</v>
      </c>
      <c r="P49" s="267">
        <f t="shared" si="29"/>
        <v>63</v>
      </c>
      <c r="Q49" s="238">
        <f t="shared" si="29"/>
        <v>646</v>
      </c>
      <c r="R49" s="239">
        <f>IFERROR((AVERAGE(E49:P49)),0)</f>
        <v>53.833333333333336</v>
      </c>
      <c r="S49" s="240">
        <f>IFERROR((T49/R49),0)</f>
        <v>3.4922600619195046</v>
      </c>
      <c r="T49" s="306">
        <f>SUM(D49-Q49)</f>
        <v>188</v>
      </c>
      <c r="U49" s="236">
        <v>2015</v>
      </c>
      <c r="V49" s="234"/>
      <c r="W49" s="220"/>
      <c r="X49" s="220"/>
      <c r="Y49" s="220"/>
      <c r="Z49" s="220"/>
      <c r="AA49" s="303"/>
      <c r="AB49" s="304"/>
      <c r="AC49" s="304"/>
      <c r="AD49" s="304"/>
      <c r="AE49" s="220"/>
    </row>
    <row r="50" spans="1:31" x14ac:dyDescent="0.2">
      <c r="A50" s="220"/>
      <c r="B50" s="233">
        <v>2016</v>
      </c>
      <c r="C50" s="234"/>
      <c r="D50" s="267">
        <f>SUM(D26:D31)</f>
        <v>1246</v>
      </c>
      <c r="E50" s="267"/>
      <c r="F50" s="267"/>
      <c r="G50" s="267"/>
      <c r="H50" s="267"/>
      <c r="I50" s="267"/>
      <c r="J50" s="267"/>
      <c r="K50" s="267"/>
      <c r="L50" s="267"/>
      <c r="M50" s="267"/>
      <c r="N50" s="267"/>
      <c r="O50" s="267"/>
      <c r="P50" s="267"/>
      <c r="Q50" s="238"/>
      <c r="R50" s="239"/>
      <c r="S50" s="240"/>
      <c r="T50" s="316"/>
      <c r="U50" s="266"/>
      <c r="V50" s="234"/>
      <c r="W50" s="220"/>
      <c r="X50" s="220"/>
      <c r="Y50" s="220"/>
      <c r="Z50" s="220"/>
      <c r="AA50" s="303"/>
      <c r="AB50" s="304"/>
      <c r="AC50" s="304"/>
      <c r="AD50" s="304"/>
      <c r="AE50" s="220"/>
    </row>
    <row r="51" spans="1:31" x14ac:dyDescent="0.2">
      <c r="A51" s="220"/>
      <c r="B51" s="233">
        <v>2017</v>
      </c>
      <c r="C51" s="234"/>
      <c r="D51" s="267">
        <f>SUM(D35:D43)</f>
        <v>2767</v>
      </c>
      <c r="E51" s="267"/>
      <c r="F51" s="267"/>
      <c r="G51" s="267"/>
      <c r="H51" s="267"/>
      <c r="I51" s="267"/>
      <c r="J51" s="267"/>
      <c r="K51" s="267"/>
      <c r="L51" s="267"/>
      <c r="M51" s="267"/>
      <c r="N51" s="267"/>
      <c r="O51" s="267"/>
      <c r="P51" s="267"/>
      <c r="Q51" s="238"/>
      <c r="R51" s="239"/>
      <c r="S51" s="240"/>
      <c r="T51" s="316"/>
      <c r="U51" s="266"/>
      <c r="V51" s="234"/>
      <c r="W51" s="220"/>
      <c r="X51" s="220"/>
      <c r="Y51" s="220"/>
      <c r="Z51" s="220"/>
      <c r="AA51" s="303"/>
      <c r="AB51" s="304"/>
      <c r="AC51" s="304"/>
      <c r="AD51" s="304"/>
      <c r="AE51" s="220"/>
    </row>
    <row r="52" spans="1:31" x14ac:dyDescent="0.2">
      <c r="A52" s="220"/>
      <c r="B52" s="266" t="s">
        <v>59</v>
      </c>
      <c r="C52" s="234"/>
      <c r="D52" s="279">
        <f>SUM(D48:D51)</f>
        <v>5741</v>
      </c>
      <c r="E52" s="279">
        <f>SUM(E48:E49)</f>
        <v>68</v>
      </c>
      <c r="F52" s="279">
        <f t="shared" ref="F52:P52" si="30">SUM(F48:F49)</f>
        <v>139</v>
      </c>
      <c r="G52" s="279">
        <f t="shared" si="30"/>
        <v>131</v>
      </c>
      <c r="H52" s="279">
        <f t="shared" si="30"/>
        <v>204</v>
      </c>
      <c r="I52" s="279">
        <f t="shared" si="30"/>
        <v>163</v>
      </c>
      <c r="J52" s="279">
        <f t="shared" si="30"/>
        <v>95</v>
      </c>
      <c r="K52" s="279">
        <f t="shared" si="30"/>
        <v>73</v>
      </c>
      <c r="L52" s="279">
        <f t="shared" si="30"/>
        <v>101</v>
      </c>
      <c r="M52" s="279">
        <f t="shared" si="30"/>
        <v>131</v>
      </c>
      <c r="N52" s="279">
        <f t="shared" si="30"/>
        <v>126</v>
      </c>
      <c r="O52" s="279">
        <f t="shared" si="30"/>
        <v>148</v>
      </c>
      <c r="P52" s="279">
        <f t="shared" si="30"/>
        <v>100</v>
      </c>
      <c r="Q52" s="234">
        <f>SUM(Q48:Q49)</f>
        <v>1479</v>
      </c>
      <c r="R52" s="234">
        <f>SUM(R48:R49)</f>
        <v>123.25</v>
      </c>
      <c r="S52" s="234">
        <f>SUM(S48:S49)</f>
        <v>4.3710115625197448</v>
      </c>
      <c r="T52" s="279">
        <f>SUM(T48:T49)</f>
        <v>249</v>
      </c>
      <c r="U52" s="266" t="s">
        <v>59</v>
      </c>
      <c r="V52" s="234"/>
      <c r="W52" s="220"/>
      <c r="X52" s="220"/>
      <c r="Y52" s="220"/>
      <c r="Z52" s="220"/>
      <c r="AA52" s="303"/>
      <c r="AB52" s="304"/>
      <c r="AC52" s="304"/>
      <c r="AD52" s="304"/>
      <c r="AE52" s="220"/>
    </row>
    <row r="53" spans="1:31" x14ac:dyDescent="0.2">
      <c r="A53" s="226"/>
      <c r="B53" s="269"/>
      <c r="C53" s="269"/>
      <c r="D53" s="272"/>
      <c r="E53" s="272"/>
      <c r="F53" s="272"/>
      <c r="G53" s="272"/>
      <c r="H53" s="272"/>
      <c r="I53" s="272"/>
      <c r="J53" s="272"/>
      <c r="K53" s="272"/>
      <c r="L53" s="272"/>
      <c r="M53" s="272"/>
      <c r="N53" s="272"/>
      <c r="O53" s="272"/>
      <c r="P53" s="272"/>
      <c r="Q53" s="269"/>
      <c r="R53" s="270"/>
      <c r="S53" s="273"/>
      <c r="T53" s="305"/>
      <c r="U53" s="272"/>
      <c r="V53" s="269"/>
      <c r="W53" s="220"/>
      <c r="X53" s="220"/>
      <c r="Y53" s="220"/>
      <c r="Z53" s="220"/>
      <c r="AA53" s="303"/>
      <c r="AB53" s="304"/>
      <c r="AC53" s="304"/>
      <c r="AD53" s="304"/>
      <c r="AE53" s="220"/>
    </row>
    <row r="54" spans="1:31" x14ac:dyDescent="0.2">
      <c r="A54" s="220"/>
      <c r="B54" s="220"/>
      <c r="C54" s="220"/>
      <c r="D54" s="220"/>
      <c r="E54" s="220"/>
      <c r="F54" s="220"/>
      <c r="G54" s="220"/>
      <c r="H54" s="220"/>
      <c r="I54" s="220"/>
      <c r="J54" s="220"/>
      <c r="K54" s="220"/>
      <c r="L54" s="220"/>
      <c r="M54" s="220">
        <v>25</v>
      </c>
      <c r="N54" s="220"/>
      <c r="O54" s="220"/>
      <c r="P54" s="220"/>
      <c r="Q54" s="220"/>
      <c r="R54" s="220"/>
      <c r="S54" s="220"/>
      <c r="T54" s="221"/>
      <c r="U54" s="221"/>
      <c r="V54" s="220"/>
      <c r="W54" s="220"/>
      <c r="X54" s="220"/>
      <c r="Y54" s="220"/>
      <c r="Z54" s="220"/>
      <c r="AA54" s="303"/>
      <c r="AB54" s="304"/>
      <c r="AC54" s="304"/>
      <c r="AD54" s="304"/>
      <c r="AE54" s="220"/>
    </row>
    <row r="55" spans="1:31" x14ac:dyDescent="0.2">
      <c r="A55" s="281"/>
      <c r="B55" s="282"/>
      <c r="C55" s="282"/>
      <c r="D55" s="271"/>
      <c r="E55" s="271"/>
      <c r="F55" s="271"/>
      <c r="G55" s="271"/>
      <c r="H55" s="271"/>
      <c r="I55" s="271"/>
      <c r="J55" s="271"/>
      <c r="K55" s="271"/>
      <c r="L55" s="271"/>
      <c r="M55" s="271"/>
      <c r="N55" s="271"/>
      <c r="O55" s="271"/>
      <c r="P55" s="271"/>
      <c r="Q55" s="282"/>
      <c r="R55" s="283"/>
      <c r="S55" s="284"/>
      <c r="T55" s="271"/>
      <c r="U55" s="271"/>
      <c r="V55" s="282"/>
      <c r="W55" s="220"/>
      <c r="X55" s="220"/>
      <c r="Y55" s="220"/>
      <c r="Z55" s="220"/>
      <c r="AA55" s="303"/>
      <c r="AB55" s="304"/>
      <c r="AC55" s="304"/>
      <c r="AD55" s="304"/>
      <c r="AE55" s="220"/>
    </row>
    <row r="56" spans="1:31" ht="15.75" x14ac:dyDescent="0.25">
      <c r="A56" s="220"/>
      <c r="B56" s="278" t="s">
        <v>137</v>
      </c>
      <c r="C56" s="220"/>
      <c r="D56" s="221"/>
      <c r="E56" s="221"/>
      <c r="F56" s="221"/>
      <c r="G56" s="221"/>
      <c r="H56" s="221"/>
      <c r="I56" s="221"/>
      <c r="J56" s="221"/>
      <c r="K56" s="221"/>
      <c r="L56" s="221"/>
      <c r="M56" s="221"/>
      <c r="N56" s="221"/>
      <c r="O56" s="221"/>
      <c r="P56" s="221"/>
      <c r="Q56" s="220"/>
      <c r="R56" s="275"/>
      <c r="S56" s="277"/>
      <c r="T56" s="221"/>
      <c r="U56" s="1" t="s">
        <v>137</v>
      </c>
      <c r="V56" s="220"/>
      <c r="W56" s="220"/>
      <c r="X56" s="220"/>
      <c r="Y56" s="220"/>
      <c r="Z56" s="220"/>
      <c r="AA56" s="303"/>
      <c r="AB56" s="304"/>
      <c r="AC56" s="304"/>
      <c r="AD56" s="304"/>
      <c r="AE56" s="220"/>
    </row>
    <row r="57" spans="1:31" ht="16.149999999999999" customHeight="1" x14ac:dyDescent="0.2">
      <c r="A57" s="234"/>
      <c r="B57" s="233">
        <v>2012</v>
      </c>
      <c r="C57" s="234"/>
      <c r="D57" s="263" t="e">
        <f>#REF!</f>
        <v>#REF!</v>
      </c>
      <c r="E57" s="263" t="e">
        <f>#REF!</f>
        <v>#REF!</v>
      </c>
      <c r="F57" s="263" t="e">
        <f>#REF!</f>
        <v>#REF!</v>
      </c>
      <c r="G57" s="263" t="e">
        <f>#REF!</f>
        <v>#REF!</v>
      </c>
      <c r="H57" s="263" t="e">
        <f>#REF!</f>
        <v>#REF!</v>
      </c>
      <c r="I57" s="263" t="e">
        <f>#REF!</f>
        <v>#REF!</v>
      </c>
      <c r="J57" s="263" t="e">
        <f>#REF!</f>
        <v>#REF!</v>
      </c>
      <c r="K57" s="263" t="e">
        <f>#REF!</f>
        <v>#REF!</v>
      </c>
      <c r="L57" s="263" t="e">
        <f>#REF!</f>
        <v>#REF!</v>
      </c>
      <c r="M57" s="263" t="e">
        <f>#REF!</f>
        <v>#REF!</v>
      </c>
      <c r="N57" s="263" t="e">
        <f>#REF!</f>
        <v>#REF!</v>
      </c>
      <c r="O57" s="263" t="e">
        <f>#REF!</f>
        <v>#REF!</v>
      </c>
      <c r="P57" s="263" t="e">
        <f>#REF!</f>
        <v>#REF!</v>
      </c>
      <c r="Q57" s="238" t="e">
        <f>#REF!</f>
        <v>#REF!</v>
      </c>
      <c r="R57" s="239" t="e">
        <f>AVERAGE(E57:P57)</f>
        <v>#REF!</v>
      </c>
      <c r="S57" s="240" t="e">
        <f>T57/R57</f>
        <v>#REF!</v>
      </c>
      <c r="T57" s="306" t="e">
        <f>SUM(D57-Q57)</f>
        <v>#REF!</v>
      </c>
      <c r="U57" s="266">
        <v>2012</v>
      </c>
      <c r="V57" s="234"/>
      <c r="W57" s="220"/>
      <c r="X57" s="220"/>
      <c r="Y57" s="220"/>
      <c r="Z57" s="220"/>
      <c r="AA57" s="303"/>
      <c r="AB57" s="304"/>
      <c r="AC57" s="304"/>
      <c r="AD57" s="304"/>
      <c r="AE57" s="220"/>
    </row>
    <row r="58" spans="1:31" ht="16.149999999999999" customHeight="1" x14ac:dyDescent="0.2">
      <c r="A58" s="234"/>
      <c r="B58" s="233">
        <v>2013</v>
      </c>
      <c r="C58" s="234"/>
      <c r="D58" s="263" t="e">
        <f>#REF!</f>
        <v>#REF!</v>
      </c>
      <c r="E58" s="263" t="e">
        <f>#REF!</f>
        <v>#REF!</v>
      </c>
      <c r="F58" s="263" t="e">
        <f>#REF!</f>
        <v>#REF!</v>
      </c>
      <c r="G58" s="263" t="e">
        <f>#REF!</f>
        <v>#REF!</v>
      </c>
      <c r="H58" s="263" t="e">
        <f>#REF!</f>
        <v>#REF!</v>
      </c>
      <c r="I58" s="263" t="e">
        <f>#REF!</f>
        <v>#REF!</v>
      </c>
      <c r="J58" s="263" t="e">
        <f>#REF!</f>
        <v>#REF!</v>
      </c>
      <c r="K58" s="263" t="e">
        <f>#REF!</f>
        <v>#REF!</v>
      </c>
      <c r="L58" s="263" t="e">
        <f>#REF!</f>
        <v>#REF!</v>
      </c>
      <c r="M58" s="263" t="e">
        <f>#REF!</f>
        <v>#REF!</v>
      </c>
      <c r="N58" s="263" t="e">
        <f>#REF!</f>
        <v>#REF!</v>
      </c>
      <c r="O58" s="263" t="e">
        <f>#REF!</f>
        <v>#REF!</v>
      </c>
      <c r="P58" s="263" t="e">
        <f>#REF!</f>
        <v>#REF!</v>
      </c>
      <c r="Q58" s="238" t="e">
        <f>#REF!</f>
        <v>#REF!</v>
      </c>
      <c r="R58" s="264" t="e">
        <f>AVERAGE(E58:P58)</f>
        <v>#REF!</v>
      </c>
      <c r="S58" s="265" t="e">
        <f>T58/R58</f>
        <v>#REF!</v>
      </c>
      <c r="T58" s="306" t="e">
        <f>SUM(D58-Q58)</f>
        <v>#REF!</v>
      </c>
      <c r="U58" s="266">
        <v>2013</v>
      </c>
      <c r="V58" s="234"/>
      <c r="W58" s="220"/>
      <c r="X58" s="220"/>
      <c r="Y58" s="220"/>
      <c r="Z58" s="220"/>
      <c r="AA58" s="303"/>
      <c r="AB58" s="304"/>
      <c r="AC58" s="304"/>
      <c r="AD58" s="304"/>
      <c r="AE58" s="220"/>
    </row>
    <row r="59" spans="1:31" x14ac:dyDescent="0.2">
      <c r="A59" s="234"/>
      <c r="B59" s="233">
        <v>2014</v>
      </c>
      <c r="C59" s="234"/>
      <c r="D59" s="263" t="e">
        <f>D48+#REF!</f>
        <v>#REF!</v>
      </c>
      <c r="E59" s="263" t="e">
        <f>E48+#REF!</f>
        <v>#REF!</v>
      </c>
      <c r="F59" s="263" t="e">
        <f>F48+#REF!</f>
        <v>#REF!</v>
      </c>
      <c r="G59" s="263" t="e">
        <f>G48+#REF!</f>
        <v>#REF!</v>
      </c>
      <c r="H59" s="263" t="e">
        <f>H48+#REF!</f>
        <v>#REF!</v>
      </c>
      <c r="I59" s="263" t="e">
        <f>I48+#REF!</f>
        <v>#REF!</v>
      </c>
      <c r="J59" s="263" t="e">
        <f>J48+#REF!</f>
        <v>#REF!</v>
      </c>
      <c r="K59" s="263" t="e">
        <f>K48+#REF!</f>
        <v>#REF!</v>
      </c>
      <c r="L59" s="263" t="e">
        <f>L48+#REF!</f>
        <v>#REF!</v>
      </c>
      <c r="M59" s="263" t="e">
        <f>M48+#REF!</f>
        <v>#REF!</v>
      </c>
      <c r="N59" s="263" t="e">
        <f>N48+#REF!</f>
        <v>#REF!</v>
      </c>
      <c r="O59" s="263" t="e">
        <f>O48+#REF!</f>
        <v>#REF!</v>
      </c>
      <c r="P59" s="263" t="e">
        <f>P48+#REF!</f>
        <v>#REF!</v>
      </c>
      <c r="Q59" s="238" t="e">
        <f>#REF!+Q48</f>
        <v>#REF!</v>
      </c>
      <c r="R59" s="264" t="e">
        <f>AVERAGE(E59:P59)</f>
        <v>#REF!</v>
      </c>
      <c r="S59" s="265" t="e">
        <f>T59/R59</f>
        <v>#REF!</v>
      </c>
      <c r="T59" s="306" t="e">
        <f>SUM(D59-Q59)</f>
        <v>#REF!</v>
      </c>
      <c r="U59" s="266">
        <v>2014</v>
      </c>
      <c r="V59" s="234"/>
      <c r="W59" s="220"/>
      <c r="X59" s="220"/>
      <c r="Y59" s="220"/>
      <c r="Z59" s="220"/>
      <c r="AA59" s="303"/>
      <c r="AB59" s="304"/>
      <c r="AC59" s="304"/>
      <c r="AD59" s="304"/>
      <c r="AE59" s="220"/>
    </row>
    <row r="60" spans="1:31" x14ac:dyDescent="0.2">
      <c r="A60" s="234"/>
      <c r="B60" s="233">
        <v>2015</v>
      </c>
      <c r="C60" s="234"/>
      <c r="D60" s="263" t="e">
        <f>D49+#REF!</f>
        <v>#REF!</v>
      </c>
      <c r="E60" s="263" t="e">
        <f>E49+#REF!</f>
        <v>#REF!</v>
      </c>
      <c r="F60" s="263" t="e">
        <f>F49+#REF!</f>
        <v>#REF!</v>
      </c>
      <c r="G60" s="263" t="e">
        <f>G49+#REF!</f>
        <v>#REF!</v>
      </c>
      <c r="H60" s="263" t="e">
        <f>H49+#REF!</f>
        <v>#REF!</v>
      </c>
      <c r="I60" s="263" t="e">
        <f>I49+#REF!</f>
        <v>#REF!</v>
      </c>
      <c r="J60" s="263" t="e">
        <f>J49+#REF!</f>
        <v>#REF!</v>
      </c>
      <c r="K60" s="263" t="e">
        <f>K49+#REF!</f>
        <v>#REF!</v>
      </c>
      <c r="L60" s="263" t="e">
        <f>L49+#REF!</f>
        <v>#REF!</v>
      </c>
      <c r="M60" s="263" t="e">
        <f>M49+#REF!</f>
        <v>#REF!</v>
      </c>
      <c r="N60" s="263" t="e">
        <f>N49+#REF!</f>
        <v>#REF!</v>
      </c>
      <c r="O60" s="263" t="e">
        <f>O49+#REF!</f>
        <v>#REF!</v>
      </c>
      <c r="P60" s="263" t="e">
        <f>P49+#REF!</f>
        <v>#REF!</v>
      </c>
      <c r="Q60" s="238" t="e">
        <f>#REF!+Q49</f>
        <v>#REF!</v>
      </c>
      <c r="R60" s="264" t="e">
        <f>AVERAGE(E60:P60)</f>
        <v>#REF!</v>
      </c>
      <c r="S60" s="265" t="e">
        <f>T60/R60</f>
        <v>#REF!</v>
      </c>
      <c r="T60" s="306" t="e">
        <f>SUM(D60-Q60)</f>
        <v>#REF!</v>
      </c>
      <c r="U60" s="266">
        <v>2015</v>
      </c>
      <c r="V60" s="234"/>
      <c r="W60" s="220"/>
      <c r="X60" s="220"/>
      <c r="Y60" s="220"/>
      <c r="Z60" s="220"/>
      <c r="AA60" s="303"/>
      <c r="AB60" s="304"/>
      <c r="AC60" s="304"/>
      <c r="AD60" s="304"/>
      <c r="AE60" s="220"/>
    </row>
    <row r="61" spans="1:31" x14ac:dyDescent="0.2">
      <c r="A61" s="234"/>
      <c r="B61" s="266" t="s">
        <v>59</v>
      </c>
      <c r="C61" s="234"/>
      <c r="D61" s="267" t="e">
        <f>SUM(D57:D60)</f>
        <v>#REF!</v>
      </c>
      <c r="E61" s="267" t="e">
        <f t="shared" ref="E61:P61" si="31">SUM(E57:E60)</f>
        <v>#REF!</v>
      </c>
      <c r="F61" s="267" t="e">
        <f t="shared" si="31"/>
        <v>#REF!</v>
      </c>
      <c r="G61" s="267" t="e">
        <f t="shared" si="31"/>
        <v>#REF!</v>
      </c>
      <c r="H61" s="267" t="e">
        <f t="shared" si="31"/>
        <v>#REF!</v>
      </c>
      <c r="I61" s="267" t="e">
        <f t="shared" si="31"/>
        <v>#REF!</v>
      </c>
      <c r="J61" s="267" t="e">
        <f t="shared" si="31"/>
        <v>#REF!</v>
      </c>
      <c r="K61" s="267" t="e">
        <f t="shared" si="31"/>
        <v>#REF!</v>
      </c>
      <c r="L61" s="267" t="e">
        <f t="shared" si="31"/>
        <v>#REF!</v>
      </c>
      <c r="M61" s="267" t="e">
        <f t="shared" si="31"/>
        <v>#REF!</v>
      </c>
      <c r="N61" s="267" t="e">
        <f t="shared" si="31"/>
        <v>#REF!</v>
      </c>
      <c r="O61" s="267" t="e">
        <f t="shared" si="31"/>
        <v>#REF!</v>
      </c>
      <c r="P61" s="267" t="e">
        <f t="shared" si="31"/>
        <v>#REF!</v>
      </c>
      <c r="Q61" s="238" t="e">
        <f>SUM(Q57:Q60)</f>
        <v>#REF!</v>
      </c>
      <c r="R61" s="268" t="e">
        <f>SUM(R57:R60)</f>
        <v>#REF!</v>
      </c>
      <c r="S61" s="240" t="e">
        <f>T61/R61</f>
        <v>#REF!</v>
      </c>
      <c r="T61" s="306" t="e">
        <f>SUM(D61-Q61)</f>
        <v>#REF!</v>
      </c>
      <c r="U61" s="266" t="s">
        <v>59</v>
      </c>
      <c r="V61" s="234"/>
      <c r="W61" s="220"/>
      <c r="X61" s="220"/>
      <c r="Y61" s="220"/>
      <c r="Z61" s="220"/>
      <c r="AA61" s="303"/>
      <c r="AB61" s="304"/>
      <c r="AC61" s="304"/>
      <c r="AD61" s="304"/>
      <c r="AE61" s="220"/>
    </row>
    <row r="62" spans="1:31" x14ac:dyDescent="0.2">
      <c r="A62" s="226"/>
      <c r="B62" s="269"/>
      <c r="C62" s="269"/>
      <c r="D62" s="272"/>
      <c r="E62" s="272"/>
      <c r="F62" s="272"/>
      <c r="G62" s="272"/>
      <c r="H62" s="272"/>
      <c r="I62" s="272"/>
      <c r="J62" s="272"/>
      <c r="K62" s="272"/>
      <c r="L62" s="272"/>
      <c r="M62" s="272"/>
      <c r="N62" s="272"/>
      <c r="O62" s="272"/>
      <c r="P62" s="272"/>
      <c r="Q62" s="269"/>
      <c r="R62" s="270"/>
      <c r="S62" s="273"/>
      <c r="T62" s="305"/>
      <c r="U62" s="272"/>
      <c r="V62" s="269"/>
      <c r="W62" s="220"/>
      <c r="X62" s="220"/>
      <c r="Y62" s="220"/>
      <c r="Z62" s="220"/>
      <c r="AA62" s="220"/>
      <c r="AB62" s="220"/>
      <c r="AC62" s="220" t="s">
        <v>167</v>
      </c>
      <c r="AD62" s="220"/>
      <c r="AE62" s="220"/>
    </row>
    <row r="63" spans="1:31" ht="16.5" thickBot="1" x14ac:dyDescent="0.3">
      <c r="A63" s="220"/>
      <c r="B63" s="220"/>
      <c r="C63" s="220"/>
      <c r="D63" s="221"/>
      <c r="E63" s="221"/>
      <c r="F63" s="221"/>
      <c r="G63" s="221"/>
      <c r="H63" s="221"/>
      <c r="I63" s="221"/>
      <c r="J63" s="221"/>
      <c r="K63" s="221"/>
      <c r="L63" s="221"/>
      <c r="M63" s="221"/>
      <c r="N63" s="221"/>
      <c r="O63" s="221"/>
      <c r="P63" s="221"/>
      <c r="Q63" s="220"/>
      <c r="R63" s="275"/>
      <c r="S63" s="277"/>
      <c r="T63" s="276"/>
      <c r="U63" s="221"/>
      <c r="V63" s="220"/>
      <c r="W63" s="220"/>
      <c r="X63" s="220"/>
      <c r="Y63" s="220"/>
      <c r="Z63" s="220"/>
      <c r="AA63" s="310"/>
      <c r="AB63" s="310"/>
      <c r="AC63" s="311"/>
      <c r="AD63" s="310"/>
      <c r="AE63" s="220"/>
    </row>
    <row r="64" spans="1:31" ht="48" thickBot="1" x14ac:dyDescent="0.3">
      <c r="A64" s="220"/>
      <c r="B64" s="286" t="s">
        <v>60</v>
      </c>
      <c r="C64" s="287"/>
      <c r="D64" s="127" t="s">
        <v>138</v>
      </c>
      <c r="E64" s="449" t="s">
        <v>139</v>
      </c>
      <c r="F64" s="450"/>
      <c r="G64" s="450"/>
      <c r="H64" s="450"/>
      <c r="I64" s="450"/>
      <c r="J64" s="450"/>
      <c r="K64" s="450"/>
      <c r="L64" s="450"/>
      <c r="M64" s="450"/>
      <c r="N64" s="450"/>
      <c r="O64" s="450"/>
      <c r="P64" s="450"/>
      <c r="Q64" s="119" t="s">
        <v>63</v>
      </c>
      <c r="R64" s="288"/>
      <c r="S64" s="288"/>
      <c r="T64" s="221"/>
      <c r="U64" s="320" t="s">
        <v>60</v>
      </c>
      <c r="V64" s="287"/>
      <c r="W64" s="220"/>
      <c r="X64" s="220"/>
      <c r="Y64" s="220"/>
      <c r="Z64" s="220"/>
      <c r="AA64" s="310"/>
      <c r="AB64" s="310"/>
      <c r="AC64" s="311"/>
      <c r="AD64" s="310"/>
      <c r="AE64" s="220"/>
    </row>
    <row r="65" spans="1:31" ht="15.75" x14ac:dyDescent="0.25">
      <c r="A65" s="220"/>
      <c r="B65" s="289"/>
      <c r="C65" s="289"/>
      <c r="D65" s="290"/>
      <c r="E65" s="291"/>
      <c r="F65" s="291"/>
      <c r="G65" s="291"/>
      <c r="H65" s="291"/>
      <c r="I65" s="291"/>
      <c r="J65" s="291"/>
      <c r="K65" s="291"/>
      <c r="L65" s="291"/>
      <c r="M65" s="291"/>
      <c r="N65" s="291"/>
      <c r="O65" s="291"/>
      <c r="P65" s="292"/>
      <c r="Q65" s="289"/>
      <c r="R65" s="220"/>
      <c r="S65" s="220"/>
      <c r="T65" s="312"/>
      <c r="U65" s="291"/>
      <c r="V65" s="289"/>
      <c r="W65" s="220"/>
      <c r="X65" s="220"/>
      <c r="Y65" s="220"/>
      <c r="Z65" s="220"/>
      <c r="AA65" s="310"/>
      <c r="AB65" s="310"/>
      <c r="AC65" s="311"/>
      <c r="AD65" s="310"/>
      <c r="AE65" s="220"/>
    </row>
    <row r="66" spans="1:31" x14ac:dyDescent="0.2">
      <c r="A66" s="220"/>
      <c r="B66" s="234"/>
      <c r="C66" s="234"/>
      <c r="D66" s="291"/>
      <c r="E66" s="236"/>
      <c r="F66" s="236"/>
      <c r="G66" s="236"/>
      <c r="H66" s="236"/>
      <c r="I66" s="236"/>
      <c r="J66" s="236"/>
      <c r="K66" s="236"/>
      <c r="L66" s="236"/>
      <c r="M66" s="236"/>
      <c r="N66" s="236"/>
      <c r="O66" s="236"/>
      <c r="P66" s="293"/>
      <c r="Q66" s="234"/>
      <c r="R66" s="220"/>
      <c r="S66" s="220"/>
      <c r="T66" s="221"/>
      <c r="U66" s="236"/>
      <c r="V66" s="234"/>
      <c r="W66" s="220"/>
      <c r="X66" s="220"/>
      <c r="Y66" s="220"/>
      <c r="Z66" s="220"/>
      <c r="AA66" s="310"/>
      <c r="AB66" s="310"/>
      <c r="AC66" s="310"/>
      <c r="AD66" s="310"/>
      <c r="AE66" s="220"/>
    </row>
    <row r="67" spans="1:31" x14ac:dyDescent="0.2">
      <c r="A67" s="220"/>
      <c r="B67" s="228"/>
      <c r="C67" s="228"/>
      <c r="D67" s="229"/>
      <c r="E67" s="229"/>
      <c r="F67" s="229"/>
      <c r="G67" s="229"/>
      <c r="H67" s="229"/>
      <c r="I67" s="229"/>
      <c r="J67" s="229"/>
      <c r="K67" s="229"/>
      <c r="L67" s="229"/>
      <c r="M67" s="229"/>
      <c r="N67" s="229"/>
      <c r="O67" s="229"/>
      <c r="P67" s="294"/>
      <c r="Q67" s="228"/>
      <c r="R67" s="220"/>
      <c r="S67" s="220"/>
      <c r="T67" s="221"/>
      <c r="U67" s="229"/>
      <c r="V67" s="228"/>
      <c r="W67" s="220"/>
      <c r="X67" s="220"/>
      <c r="Y67" s="220"/>
      <c r="Z67" s="220"/>
      <c r="AA67" s="313"/>
      <c r="AB67" s="310"/>
      <c r="AC67" s="310"/>
      <c r="AD67" s="310"/>
      <c r="AE67" s="220"/>
    </row>
    <row r="68" spans="1:31" x14ac:dyDescent="0.2">
      <c r="A68" s="220"/>
      <c r="B68" s="234"/>
      <c r="C68" s="234"/>
      <c r="D68" s="236"/>
      <c r="E68" s="236"/>
      <c r="F68" s="236"/>
      <c r="G68" s="236"/>
      <c r="H68" s="236"/>
      <c r="I68" s="236"/>
      <c r="J68" s="236"/>
      <c r="K68" s="236"/>
      <c r="L68" s="236"/>
      <c r="M68" s="236"/>
      <c r="N68" s="236"/>
      <c r="O68" s="236"/>
      <c r="P68" s="293"/>
      <c r="Q68" s="234"/>
      <c r="R68" s="220"/>
      <c r="S68" s="220"/>
      <c r="T68" s="221"/>
      <c r="U68" s="236"/>
      <c r="V68" s="234"/>
      <c r="W68" s="220"/>
      <c r="X68" s="220"/>
      <c r="Y68" s="220"/>
      <c r="Z68" s="220"/>
      <c r="AA68" s="313"/>
      <c r="AB68" s="310"/>
      <c r="AC68" s="310"/>
      <c r="AD68" s="310"/>
      <c r="AE68" s="220"/>
    </row>
    <row r="69" spans="1:31" x14ac:dyDescent="0.2">
      <c r="A69" s="220"/>
      <c r="B69" s="234"/>
      <c r="C69" s="234"/>
      <c r="D69" s="236"/>
      <c r="E69" s="236"/>
      <c r="F69" s="236"/>
      <c r="G69" s="236"/>
      <c r="H69" s="236"/>
      <c r="I69" s="236"/>
      <c r="J69" s="236"/>
      <c r="K69" s="236"/>
      <c r="L69" s="236"/>
      <c r="M69" s="236"/>
      <c r="N69" s="236"/>
      <c r="O69" s="236"/>
      <c r="P69" s="293"/>
      <c r="Q69" s="234"/>
      <c r="R69" s="220"/>
      <c r="S69" s="220"/>
      <c r="T69" s="221"/>
      <c r="U69" s="236"/>
      <c r="V69" s="234"/>
      <c r="W69" s="220"/>
      <c r="X69" s="220"/>
      <c r="Y69" s="220"/>
      <c r="Z69" s="220"/>
      <c r="AA69" s="313"/>
      <c r="AB69" s="310"/>
      <c r="AC69" s="310"/>
      <c r="AD69" s="310"/>
      <c r="AE69" s="220"/>
    </row>
    <row r="70" spans="1:31" x14ac:dyDescent="0.2">
      <c r="A70" s="220"/>
      <c r="B70" s="282"/>
      <c r="C70" s="282"/>
      <c r="D70" s="271"/>
      <c r="E70" s="271"/>
      <c r="F70" s="271"/>
      <c r="G70" s="271"/>
      <c r="H70" s="271"/>
      <c r="I70" s="271"/>
      <c r="J70" s="271"/>
      <c r="K70" s="271"/>
      <c r="L70" s="271"/>
      <c r="M70" s="271"/>
      <c r="N70" s="271"/>
      <c r="O70" s="271"/>
      <c r="P70" s="271"/>
      <c r="Q70" s="228"/>
      <c r="R70" s="220"/>
      <c r="S70" s="220"/>
      <c r="T70" s="221"/>
      <c r="U70" s="271"/>
      <c r="V70" s="282"/>
      <c r="W70" s="220"/>
      <c r="X70" s="220"/>
      <c r="Y70" s="220"/>
      <c r="Z70" s="220"/>
      <c r="AA70" s="313"/>
      <c r="AB70" s="310"/>
      <c r="AC70" s="310"/>
      <c r="AD70" s="310"/>
      <c r="AE70" s="220"/>
    </row>
    <row r="71" spans="1:31" ht="15.75" thickBot="1" x14ac:dyDescent="0.25">
      <c r="A71" s="220"/>
      <c r="B71" s="220"/>
      <c r="C71" s="220"/>
      <c r="D71" s="221"/>
      <c r="E71" s="221"/>
      <c r="F71" s="221"/>
      <c r="G71" s="221"/>
      <c r="H71" s="221"/>
      <c r="I71" s="221"/>
      <c r="J71" s="221"/>
      <c r="K71" s="221"/>
      <c r="L71" s="221"/>
      <c r="M71" s="221"/>
      <c r="N71" s="221"/>
      <c r="O71" s="221"/>
      <c r="P71" s="221"/>
      <c r="Q71" s="220"/>
      <c r="R71" s="220"/>
      <c r="S71" s="220"/>
      <c r="T71" s="221"/>
      <c r="U71" s="221"/>
      <c r="V71" s="220"/>
      <c r="W71" s="220"/>
      <c r="X71" s="220"/>
      <c r="Y71" s="220"/>
      <c r="Z71" s="220"/>
      <c r="AA71" s="313"/>
      <c r="AB71" s="310"/>
      <c r="AC71" s="310"/>
      <c r="AD71" s="310"/>
      <c r="AE71" s="220"/>
    </row>
    <row r="72" spans="1:31" ht="63.75" thickBot="1" x14ac:dyDescent="0.3">
      <c r="A72" s="220"/>
      <c r="B72" s="451" t="s">
        <v>60</v>
      </c>
      <c r="C72" s="452"/>
      <c r="D72" s="127" t="s">
        <v>64</v>
      </c>
      <c r="E72" s="449" t="s">
        <v>140</v>
      </c>
      <c r="F72" s="450"/>
      <c r="G72" s="450"/>
      <c r="H72" s="450"/>
      <c r="I72" s="450"/>
      <c r="J72" s="450"/>
      <c r="K72" s="450"/>
      <c r="L72" s="450"/>
      <c r="M72" s="450"/>
      <c r="N72" s="450"/>
      <c r="O72" s="450"/>
      <c r="P72" s="454"/>
      <c r="Q72" s="119" t="s">
        <v>66</v>
      </c>
      <c r="R72" s="220"/>
      <c r="S72" s="220"/>
      <c r="T72" s="221"/>
      <c r="U72" s="221"/>
      <c r="V72" s="220"/>
      <c r="W72" s="220"/>
      <c r="X72" s="220"/>
      <c r="Y72" s="220"/>
      <c r="Z72" s="220"/>
      <c r="AA72" s="314"/>
      <c r="AB72" s="310"/>
      <c r="AC72" s="310"/>
      <c r="AD72" s="310"/>
      <c r="AE72" s="220"/>
    </row>
    <row r="73" spans="1:31" ht="15.75" x14ac:dyDescent="0.25">
      <c r="A73" s="220"/>
      <c r="B73" s="289"/>
      <c r="C73" s="289"/>
      <c r="D73" s="122"/>
      <c r="E73" s="291"/>
      <c r="F73" s="291"/>
      <c r="G73" s="291"/>
      <c r="H73" s="291"/>
      <c r="I73" s="291"/>
      <c r="J73" s="291"/>
      <c r="K73" s="291"/>
      <c r="L73" s="291"/>
      <c r="M73" s="291"/>
      <c r="N73" s="291"/>
      <c r="O73" s="291"/>
      <c r="P73" s="291"/>
      <c r="Q73" s="289"/>
      <c r="R73" s="220"/>
      <c r="S73" s="220"/>
      <c r="T73" s="221"/>
      <c r="U73" s="291"/>
      <c r="V73" s="289"/>
      <c r="W73" s="220"/>
      <c r="X73" s="220"/>
      <c r="Y73" s="220"/>
      <c r="Z73" s="220"/>
      <c r="AA73" s="315"/>
      <c r="AB73" s="220"/>
      <c r="AC73" s="220"/>
      <c r="AD73" s="310"/>
      <c r="AE73" s="220"/>
    </row>
    <row r="74" spans="1:31" x14ac:dyDescent="0.2">
      <c r="A74" s="220"/>
      <c r="B74" s="234"/>
      <c r="C74" s="234"/>
      <c r="D74" s="291"/>
      <c r="E74" s="236"/>
      <c r="F74" s="236"/>
      <c r="G74" s="236"/>
      <c r="H74" s="236"/>
      <c r="I74" s="236"/>
      <c r="J74" s="236"/>
      <c r="K74" s="236"/>
      <c r="L74" s="236"/>
      <c r="M74" s="236"/>
      <c r="N74" s="236"/>
      <c r="O74" s="236"/>
      <c r="P74" s="236"/>
      <c r="Q74" s="234"/>
      <c r="R74" s="220"/>
      <c r="S74" s="220"/>
      <c r="T74" s="221"/>
      <c r="U74" s="236"/>
      <c r="V74" s="234"/>
      <c r="W74" s="220"/>
      <c r="X74" s="220"/>
      <c r="Y74" s="220"/>
      <c r="Z74" s="220"/>
      <c r="AA74" s="314"/>
      <c r="AB74" s="310"/>
      <c r="AC74" s="310"/>
      <c r="AD74" s="310"/>
      <c r="AE74" s="220"/>
    </row>
    <row r="75" spans="1:31" x14ac:dyDescent="0.2">
      <c r="A75" s="220"/>
      <c r="B75" s="228"/>
      <c r="C75" s="228"/>
      <c r="D75" s="229"/>
      <c r="E75" s="229"/>
      <c r="F75" s="229"/>
      <c r="G75" s="229"/>
      <c r="H75" s="229"/>
      <c r="I75" s="229"/>
      <c r="J75" s="229"/>
      <c r="K75" s="229"/>
      <c r="L75" s="229"/>
      <c r="M75" s="229"/>
      <c r="N75" s="229"/>
      <c r="O75" s="229"/>
      <c r="P75" s="229"/>
      <c r="Q75" s="228"/>
      <c r="R75" s="220"/>
      <c r="S75" s="220"/>
      <c r="T75" s="221"/>
      <c r="U75" s="229"/>
      <c r="V75" s="228"/>
      <c r="W75" s="220"/>
      <c r="X75" s="220"/>
      <c r="Y75" s="220"/>
      <c r="Z75" s="220"/>
      <c r="AA75" s="314"/>
      <c r="AB75" s="310"/>
      <c r="AC75" s="310"/>
      <c r="AD75" s="310"/>
      <c r="AE75" s="220"/>
    </row>
    <row r="76" spans="1:31" x14ac:dyDescent="0.2">
      <c r="A76" s="220"/>
      <c r="B76" s="234"/>
      <c r="C76" s="234"/>
      <c r="D76" s="236"/>
      <c r="E76" s="236"/>
      <c r="F76" s="236"/>
      <c r="G76" s="236"/>
      <c r="H76" s="236"/>
      <c r="I76" s="236"/>
      <c r="J76" s="236"/>
      <c r="K76" s="236"/>
      <c r="L76" s="236"/>
      <c r="M76" s="236"/>
      <c r="N76" s="236"/>
      <c r="O76" s="236"/>
      <c r="P76" s="236"/>
      <c r="Q76" s="234"/>
      <c r="R76" s="220"/>
      <c r="S76" s="220"/>
      <c r="T76" s="221"/>
      <c r="U76" s="236"/>
      <c r="V76" s="234"/>
      <c r="W76" s="220"/>
      <c r="X76" s="220"/>
      <c r="Y76" s="220"/>
      <c r="Z76" s="220"/>
      <c r="AA76" s="310"/>
      <c r="AB76" s="310"/>
      <c r="AC76" s="310"/>
      <c r="AD76" s="310"/>
      <c r="AE76" s="220"/>
    </row>
    <row r="77" spans="1:31" x14ac:dyDescent="0.2">
      <c r="A77" s="220"/>
      <c r="B77" s="234"/>
      <c r="C77" s="234"/>
      <c r="D77" s="236"/>
      <c r="E77" s="236"/>
      <c r="F77" s="236"/>
      <c r="G77" s="236"/>
      <c r="H77" s="236"/>
      <c r="I77" s="236"/>
      <c r="J77" s="236"/>
      <c r="K77" s="236"/>
      <c r="L77" s="236"/>
      <c r="M77" s="236"/>
      <c r="N77" s="236"/>
      <c r="O77" s="236"/>
      <c r="P77" s="236"/>
      <c r="Q77" s="234"/>
      <c r="R77" s="220"/>
      <c r="S77" s="220"/>
      <c r="T77" s="221"/>
      <c r="U77" s="236"/>
      <c r="V77" s="234"/>
      <c r="W77" s="220"/>
      <c r="X77" s="220"/>
      <c r="Y77" s="220"/>
      <c r="Z77" s="220"/>
      <c r="AA77" s="310"/>
      <c r="AB77" s="310"/>
      <c r="AC77" s="310"/>
      <c r="AD77" s="310"/>
      <c r="AE77" s="220"/>
    </row>
    <row r="78" spans="1:31" x14ac:dyDescent="0.2">
      <c r="A78" s="220"/>
      <c r="B78" s="220"/>
      <c r="C78" s="220"/>
      <c r="D78" s="220"/>
      <c r="E78" s="220"/>
      <c r="F78" s="220"/>
      <c r="G78" s="220"/>
      <c r="H78" s="220"/>
      <c r="I78" s="220"/>
      <c r="J78" s="220"/>
      <c r="K78" s="220"/>
      <c r="L78" s="220"/>
      <c r="M78" s="220"/>
      <c r="N78" s="220"/>
      <c r="O78" s="220"/>
      <c r="P78" s="220"/>
      <c r="Q78" s="220"/>
      <c r="R78" s="220"/>
      <c r="S78" s="220"/>
      <c r="T78" s="221"/>
      <c r="U78" s="221"/>
      <c r="V78" s="220"/>
      <c r="W78" s="220"/>
      <c r="X78" s="220"/>
      <c r="Y78" s="220"/>
      <c r="Z78" s="220"/>
      <c r="AA78" s="310"/>
      <c r="AB78" s="310"/>
      <c r="AC78" s="310"/>
      <c r="AD78" s="310"/>
      <c r="AE78" s="220"/>
    </row>
    <row r="79" spans="1:31" x14ac:dyDescent="0.2">
      <c r="A79" s="220"/>
      <c r="B79" s="220"/>
      <c r="C79" s="220" t="s">
        <v>168</v>
      </c>
      <c r="D79" s="220"/>
      <c r="E79" s="220"/>
      <c r="F79" s="220"/>
      <c r="G79" s="220"/>
      <c r="H79" s="220"/>
      <c r="I79" s="220"/>
      <c r="J79" s="220"/>
      <c r="K79" s="220"/>
      <c r="L79" s="220"/>
      <c r="M79" s="220"/>
      <c r="N79" s="220"/>
      <c r="O79" s="220"/>
      <c r="P79" s="220"/>
      <c r="Q79" s="220"/>
      <c r="R79" s="220"/>
      <c r="S79" s="220"/>
      <c r="T79" s="221"/>
      <c r="U79" s="221"/>
      <c r="V79" s="220"/>
      <c r="W79" s="220"/>
      <c r="X79" s="220"/>
      <c r="Y79" s="220"/>
      <c r="Z79" s="220"/>
      <c r="AA79" s="310"/>
      <c r="AB79" s="310"/>
      <c r="AC79" s="310"/>
      <c r="AD79" s="310"/>
      <c r="AE79" s="220"/>
    </row>
    <row r="80" spans="1:31" x14ac:dyDescent="0.2">
      <c r="A80" s="220"/>
      <c r="B80" s="220" t="s">
        <v>143</v>
      </c>
      <c r="C80" s="220" t="s">
        <v>2</v>
      </c>
      <c r="D80" s="220" t="s">
        <v>169</v>
      </c>
      <c r="E80" s="220" t="s">
        <v>170</v>
      </c>
      <c r="F80" s="220" t="s">
        <v>102</v>
      </c>
      <c r="G80" s="220"/>
      <c r="H80" s="220"/>
      <c r="I80" s="220"/>
      <c r="J80" s="220"/>
      <c r="K80" s="220"/>
      <c r="L80" s="220"/>
      <c r="M80" s="220"/>
      <c r="N80" s="220"/>
      <c r="O80" s="220"/>
      <c r="P80" s="220"/>
      <c r="Q80" s="220"/>
      <c r="R80" s="220"/>
      <c r="S80" s="220"/>
      <c r="T80" s="221"/>
      <c r="U80" s="221"/>
      <c r="V80" s="220"/>
      <c r="W80" s="220"/>
      <c r="X80" s="220"/>
      <c r="Y80" s="220"/>
      <c r="Z80" s="220"/>
      <c r="AA80" s="310"/>
      <c r="AB80" s="310"/>
      <c r="AC80" s="310"/>
      <c r="AD80" s="310"/>
      <c r="AE80" s="220"/>
    </row>
    <row r="81" spans="1:31" x14ac:dyDescent="0.2">
      <c r="A81" s="220"/>
      <c r="B81" s="220"/>
      <c r="C81" s="220"/>
      <c r="D81" s="220"/>
      <c r="E81" s="220"/>
      <c r="F81" s="220"/>
      <c r="G81" s="220"/>
      <c r="H81" s="220"/>
      <c r="I81" s="220"/>
      <c r="J81" s="220"/>
      <c r="K81" s="220"/>
      <c r="L81" s="220"/>
      <c r="M81" s="220"/>
      <c r="N81" s="220"/>
      <c r="O81" s="220"/>
      <c r="P81" s="220"/>
      <c r="Q81" s="220"/>
      <c r="R81" s="220"/>
      <c r="S81" s="220"/>
      <c r="T81" s="221"/>
      <c r="U81" s="221"/>
      <c r="V81" s="220"/>
      <c r="W81" s="220"/>
      <c r="X81" s="220"/>
      <c r="Y81" s="220"/>
      <c r="Z81" s="220"/>
      <c r="AA81" s="310"/>
      <c r="AB81" s="310"/>
      <c r="AC81" s="310"/>
      <c r="AD81" s="310"/>
      <c r="AE81" s="220"/>
    </row>
    <row r="82" spans="1:31" x14ac:dyDescent="0.2">
      <c r="A82" s="220"/>
      <c r="B82" s="220" t="s">
        <v>133</v>
      </c>
      <c r="C82" s="220" t="s">
        <v>171</v>
      </c>
      <c r="D82" s="220">
        <v>28</v>
      </c>
      <c r="E82" s="220">
        <f>(D82*60)</f>
        <v>1680</v>
      </c>
      <c r="F82" s="220">
        <f>(D82*24)</f>
        <v>672</v>
      </c>
      <c r="G82" s="220"/>
      <c r="H82" s="220"/>
      <c r="I82" s="220"/>
      <c r="J82" s="220"/>
      <c r="K82" s="220"/>
      <c r="L82" s="220"/>
      <c r="M82" s="220"/>
      <c r="N82" s="220"/>
      <c r="O82" s="220"/>
      <c r="P82" s="220"/>
      <c r="Q82" s="220"/>
      <c r="R82" s="220"/>
      <c r="S82" s="220"/>
      <c r="T82" s="221"/>
      <c r="U82" s="221"/>
      <c r="V82" s="220"/>
      <c r="W82" s="220"/>
      <c r="X82" s="220"/>
      <c r="Y82" s="220"/>
      <c r="Z82" s="220"/>
      <c r="AA82" s="310"/>
      <c r="AB82" s="310"/>
      <c r="AC82" s="310"/>
      <c r="AD82" s="310"/>
      <c r="AE82" s="220"/>
    </row>
    <row r="83" spans="1:31" x14ac:dyDescent="0.2">
      <c r="A83" s="220"/>
      <c r="B83" s="220">
        <v>2017</v>
      </c>
      <c r="C83" s="220" t="s">
        <v>131</v>
      </c>
      <c r="D83" s="220">
        <v>12</v>
      </c>
      <c r="E83" s="220">
        <f t="shared" ref="E83:E87" si="32">(D83*60)</f>
        <v>720</v>
      </c>
      <c r="F83" s="220">
        <f t="shared" ref="F83:F87" si="33">(D83*24)</f>
        <v>288</v>
      </c>
      <c r="G83" s="220"/>
      <c r="H83" s="220"/>
      <c r="I83" s="220"/>
      <c r="J83" s="220"/>
      <c r="K83" s="220"/>
      <c r="L83" s="220"/>
      <c r="M83" s="220"/>
      <c r="N83" s="220"/>
      <c r="O83" s="220"/>
      <c r="P83" s="220"/>
      <c r="Q83" s="220"/>
      <c r="R83" s="220"/>
      <c r="S83" s="220"/>
      <c r="T83" s="221"/>
      <c r="U83" s="221"/>
      <c r="V83" s="220"/>
      <c r="W83" s="220"/>
      <c r="X83" s="220"/>
      <c r="Y83" s="220"/>
      <c r="Z83" s="220"/>
      <c r="AA83" s="310"/>
      <c r="AB83" s="310"/>
      <c r="AC83" s="310"/>
      <c r="AD83" s="310"/>
      <c r="AE83" s="220"/>
    </row>
    <row r="84" spans="1:31" x14ac:dyDescent="0.2">
      <c r="A84" s="220"/>
      <c r="B84" s="220">
        <v>2016</v>
      </c>
      <c r="C84" s="220" t="s">
        <v>120</v>
      </c>
      <c r="D84" s="220">
        <v>16</v>
      </c>
      <c r="E84" s="220">
        <f t="shared" si="32"/>
        <v>960</v>
      </c>
      <c r="F84" s="220">
        <f t="shared" si="33"/>
        <v>384</v>
      </c>
      <c r="G84" s="220"/>
      <c r="H84" s="220"/>
      <c r="I84" s="220"/>
      <c r="J84" s="220"/>
      <c r="K84" s="220"/>
      <c r="L84" s="220"/>
      <c r="M84" s="220"/>
      <c r="N84" s="220"/>
      <c r="O84" s="220"/>
      <c r="P84" s="220"/>
      <c r="Q84" s="220"/>
      <c r="R84" s="220"/>
      <c r="S84" s="220"/>
      <c r="T84" s="221"/>
      <c r="U84" s="221"/>
      <c r="V84" s="220"/>
      <c r="W84" s="220"/>
      <c r="X84" s="220"/>
      <c r="Y84" s="220"/>
      <c r="Z84" s="220"/>
      <c r="AA84" s="310"/>
      <c r="AB84" s="310"/>
      <c r="AC84" s="310"/>
      <c r="AD84" s="310"/>
      <c r="AE84" s="220"/>
    </row>
    <row r="85" spans="1:31" ht="14.25" customHeight="1" x14ac:dyDescent="0.2">
      <c r="A85" s="220"/>
      <c r="B85" s="220">
        <v>2017</v>
      </c>
      <c r="C85" s="220" t="s">
        <v>26</v>
      </c>
      <c r="D85" s="220">
        <v>10</v>
      </c>
      <c r="E85" s="220">
        <f t="shared" si="32"/>
        <v>600</v>
      </c>
      <c r="F85" s="220">
        <f t="shared" si="33"/>
        <v>240</v>
      </c>
      <c r="G85" s="220"/>
      <c r="H85" s="220"/>
      <c r="I85" s="220"/>
      <c r="J85" s="220"/>
      <c r="K85" s="220"/>
      <c r="L85" s="220"/>
      <c r="M85" s="220"/>
      <c r="N85" s="220"/>
      <c r="O85" s="220"/>
      <c r="P85" s="220"/>
      <c r="Q85" s="220"/>
      <c r="R85" s="220"/>
      <c r="S85" s="220"/>
      <c r="T85" s="221"/>
      <c r="U85" s="221"/>
      <c r="V85" s="220"/>
      <c r="W85" s="220"/>
      <c r="X85" s="220"/>
      <c r="Y85" s="220"/>
      <c r="Z85" s="220"/>
      <c r="AA85" s="310"/>
      <c r="AB85" s="310"/>
      <c r="AC85" s="310"/>
      <c r="AD85" s="310"/>
      <c r="AE85" s="220"/>
    </row>
    <row r="86" spans="1:31" x14ac:dyDescent="0.2">
      <c r="A86" s="220"/>
      <c r="B86" s="220">
        <v>2017</v>
      </c>
      <c r="C86" s="220" t="s">
        <v>147</v>
      </c>
      <c r="D86" s="220">
        <v>11</v>
      </c>
      <c r="E86" s="220">
        <f t="shared" si="32"/>
        <v>660</v>
      </c>
      <c r="F86" s="220">
        <f t="shared" si="33"/>
        <v>264</v>
      </c>
      <c r="G86" s="220"/>
      <c r="H86" s="220"/>
      <c r="I86" s="220"/>
      <c r="J86" s="220"/>
      <c r="K86" s="220"/>
      <c r="L86" s="220"/>
      <c r="M86" s="220"/>
      <c r="N86" s="220"/>
      <c r="O86" s="220"/>
      <c r="P86" s="220"/>
      <c r="Q86" s="220"/>
      <c r="R86" s="220"/>
      <c r="S86" s="220"/>
      <c r="T86" s="221"/>
      <c r="U86" s="221"/>
      <c r="V86" s="220"/>
      <c r="W86" s="220"/>
      <c r="X86" s="220"/>
      <c r="Y86" s="220"/>
      <c r="Z86" s="220"/>
      <c r="AA86" s="310"/>
      <c r="AB86" s="310"/>
      <c r="AC86" s="310"/>
      <c r="AD86" s="310"/>
      <c r="AE86" s="220"/>
    </row>
    <row r="87" spans="1:31" x14ac:dyDescent="0.2">
      <c r="A87" s="220"/>
      <c r="B87" s="220">
        <v>2017</v>
      </c>
      <c r="C87" s="220" t="s">
        <v>135</v>
      </c>
      <c r="D87" s="220">
        <v>13</v>
      </c>
      <c r="E87" s="220">
        <f t="shared" si="32"/>
        <v>780</v>
      </c>
      <c r="F87" s="220">
        <f t="shared" si="33"/>
        <v>312</v>
      </c>
      <c r="G87" s="220"/>
      <c r="H87" s="220"/>
      <c r="I87" s="220"/>
      <c r="J87" s="220"/>
      <c r="K87" s="220"/>
      <c r="L87" s="220"/>
      <c r="M87" s="220"/>
      <c r="N87" s="220"/>
      <c r="O87" s="220"/>
      <c r="P87" s="220"/>
      <c r="Q87" s="220"/>
      <c r="R87" s="220"/>
      <c r="S87" s="220"/>
      <c r="T87" s="221"/>
      <c r="U87" s="221"/>
      <c r="V87" s="220"/>
      <c r="W87" s="220"/>
      <c r="X87" s="220"/>
      <c r="Y87" s="220"/>
      <c r="Z87" s="220"/>
      <c r="AA87" s="310"/>
      <c r="AB87" s="310"/>
      <c r="AC87" s="310"/>
      <c r="AD87" s="310"/>
      <c r="AE87" s="220"/>
    </row>
    <row r="88" spans="1:31" x14ac:dyDescent="0.2">
      <c r="A88" s="220"/>
      <c r="B88" s="220"/>
      <c r="C88" s="220" t="s">
        <v>172</v>
      </c>
      <c r="D88" s="220">
        <f>SUM(D82:D87)</f>
        <v>90</v>
      </c>
      <c r="E88" s="220"/>
      <c r="F88" s="220"/>
      <c r="G88" s="220"/>
      <c r="H88" s="220"/>
      <c r="I88" s="220"/>
      <c r="J88" s="220"/>
      <c r="K88" s="220"/>
      <c r="L88" s="220"/>
      <c r="M88" s="220"/>
      <c r="N88" s="220"/>
      <c r="O88" s="220"/>
      <c r="P88" s="220"/>
      <c r="Q88" s="220"/>
      <c r="R88" s="220"/>
      <c r="S88" s="220"/>
      <c r="T88" s="221"/>
      <c r="U88" s="221"/>
      <c r="V88" s="220"/>
      <c r="W88" s="220"/>
      <c r="X88" s="220"/>
      <c r="Y88" s="220"/>
      <c r="Z88" s="220"/>
      <c r="AA88" s="310"/>
      <c r="AB88" s="310"/>
      <c r="AC88" s="310"/>
      <c r="AD88" s="310"/>
      <c r="AE88" s="220"/>
    </row>
    <row r="89" spans="1:31" x14ac:dyDescent="0.2">
      <c r="A89" s="220"/>
      <c r="B89" s="220"/>
      <c r="C89" s="220"/>
      <c r="D89" s="220"/>
      <c r="E89" s="220"/>
      <c r="F89" s="220"/>
      <c r="G89" s="220"/>
      <c r="H89" s="220"/>
      <c r="I89" s="220"/>
      <c r="J89" s="220"/>
      <c r="K89" s="220"/>
      <c r="L89" s="220"/>
      <c r="M89" s="220"/>
      <c r="N89" s="220"/>
      <c r="O89" s="220"/>
      <c r="P89" s="220"/>
      <c r="Q89" s="220"/>
      <c r="R89" s="220"/>
      <c r="S89" s="220"/>
      <c r="T89" s="221"/>
      <c r="U89" s="221"/>
      <c r="V89" s="220"/>
      <c r="W89" s="220"/>
      <c r="X89" s="220"/>
      <c r="Y89" s="220"/>
      <c r="Z89" s="220"/>
      <c r="AA89" s="310"/>
      <c r="AB89" s="310"/>
      <c r="AC89" s="310"/>
      <c r="AD89" s="310"/>
      <c r="AE89" s="220"/>
    </row>
    <row r="90" spans="1:31" x14ac:dyDescent="0.2">
      <c r="A90" s="220"/>
      <c r="B90" s="220"/>
      <c r="C90" s="220"/>
      <c r="D90" s="220"/>
      <c r="E90" s="220"/>
      <c r="F90" s="220"/>
      <c r="G90" s="220"/>
      <c r="H90" s="220"/>
      <c r="I90" s="220"/>
      <c r="J90" s="220"/>
      <c r="K90" s="220"/>
      <c r="L90" s="220"/>
      <c r="M90" s="220"/>
      <c r="N90" s="220"/>
      <c r="O90" s="220"/>
      <c r="P90" s="220"/>
      <c r="Q90" s="220"/>
      <c r="R90" s="220"/>
      <c r="S90" s="220"/>
      <c r="T90" s="221"/>
      <c r="U90" s="221"/>
      <c r="V90" s="220"/>
      <c r="W90" s="220"/>
      <c r="X90" s="220"/>
      <c r="Y90" s="220"/>
      <c r="Z90" s="220"/>
      <c r="AA90" s="310"/>
      <c r="AB90" s="310"/>
      <c r="AC90" s="310"/>
      <c r="AD90" s="310"/>
      <c r="AE90" s="220"/>
    </row>
    <row r="91" spans="1:31" x14ac:dyDescent="0.2">
      <c r="A91" s="220"/>
      <c r="B91" s="220"/>
      <c r="C91" s="220"/>
      <c r="D91" s="220"/>
      <c r="E91" s="220"/>
      <c r="F91" s="220"/>
      <c r="G91" s="220"/>
      <c r="H91" s="220"/>
      <c r="I91" s="220"/>
      <c r="J91" s="220"/>
      <c r="K91" s="220"/>
      <c r="L91" s="220"/>
      <c r="M91" s="220"/>
      <c r="N91" s="220"/>
      <c r="O91" s="220"/>
      <c r="P91" s="220"/>
      <c r="Q91" s="220"/>
      <c r="R91" s="220"/>
      <c r="S91" s="220"/>
      <c r="T91" s="221"/>
      <c r="U91" s="221"/>
      <c r="V91" s="220"/>
      <c r="W91" s="220"/>
      <c r="X91" s="220"/>
      <c r="Y91" s="220"/>
      <c r="Z91" s="220"/>
      <c r="AA91" s="310"/>
      <c r="AB91" s="310"/>
      <c r="AC91" s="310"/>
      <c r="AD91" s="310"/>
      <c r="AE91" s="220"/>
    </row>
    <row r="92" spans="1:31" x14ac:dyDescent="0.2">
      <c r="A92" s="220"/>
      <c r="B92" s="220"/>
      <c r="C92" s="220"/>
      <c r="D92" s="220"/>
      <c r="E92" s="220"/>
      <c r="F92" s="220"/>
      <c r="G92" s="220"/>
      <c r="H92" s="220"/>
      <c r="I92" s="220"/>
      <c r="J92" s="220"/>
      <c r="K92" s="220"/>
      <c r="L92" s="220"/>
      <c r="M92" s="220"/>
      <c r="N92" s="220"/>
      <c r="O92" s="220"/>
      <c r="P92" s="220"/>
      <c r="Q92" s="220"/>
      <c r="R92" s="220"/>
      <c r="S92" s="220"/>
      <c r="T92" s="221"/>
      <c r="U92" s="221"/>
      <c r="V92" s="220"/>
      <c r="W92" s="220"/>
      <c r="X92" s="220"/>
      <c r="Y92" s="220"/>
      <c r="Z92" s="220"/>
      <c r="AA92" s="310"/>
      <c r="AB92" s="310"/>
      <c r="AC92" s="310"/>
      <c r="AD92" s="310"/>
      <c r="AE92" s="220"/>
    </row>
    <row r="95" spans="1:31" x14ac:dyDescent="0.2">
      <c r="A95" s="220"/>
      <c r="B95" s="220"/>
      <c r="C95" s="220"/>
      <c r="D95" s="220"/>
      <c r="E95" s="220"/>
      <c r="F95" s="220"/>
      <c r="G95" s="220"/>
      <c r="H95" s="220"/>
      <c r="I95" s="220"/>
      <c r="J95" s="220"/>
      <c r="K95" s="220"/>
      <c r="L95" s="220"/>
      <c r="M95" s="220"/>
      <c r="N95" s="220"/>
      <c r="O95" s="220"/>
      <c r="P95" s="220"/>
      <c r="Q95" s="220"/>
      <c r="R95" s="220"/>
      <c r="S95" s="220"/>
      <c r="T95" s="221"/>
      <c r="U95" s="221"/>
      <c r="V95" s="220"/>
      <c r="W95" s="220"/>
      <c r="X95" s="220"/>
      <c r="Y95" s="220"/>
      <c r="Z95" s="220"/>
      <c r="AA95" s="220"/>
      <c r="AB95" s="220"/>
      <c r="AC95" s="220"/>
      <c r="AD95" s="220"/>
      <c r="AE95" s="220"/>
    </row>
    <row r="96" spans="1:31" x14ac:dyDescent="0.2">
      <c r="A96" s="220"/>
      <c r="B96" s="220"/>
      <c r="C96" s="220"/>
      <c r="D96" s="220"/>
      <c r="E96" s="220"/>
      <c r="F96" s="220"/>
      <c r="G96" s="220"/>
      <c r="H96" s="220"/>
      <c r="I96" s="220"/>
      <c r="J96" s="220"/>
      <c r="K96" s="220"/>
      <c r="L96" s="220"/>
      <c r="M96" s="220"/>
      <c r="N96" s="220"/>
      <c r="O96" s="220"/>
      <c r="P96" s="220"/>
      <c r="Q96" s="220"/>
      <c r="R96" s="220"/>
      <c r="S96" s="220"/>
      <c r="T96" s="221"/>
      <c r="U96" s="221"/>
      <c r="V96" s="220"/>
      <c r="W96" s="220"/>
      <c r="X96" s="220"/>
      <c r="Y96" s="220"/>
      <c r="Z96" s="220"/>
      <c r="AA96" s="220"/>
      <c r="AB96" s="220"/>
      <c r="AC96" s="220"/>
      <c r="AD96" s="220"/>
      <c r="AE96" s="220"/>
    </row>
    <row r="97" spans="1:31" x14ac:dyDescent="0.2">
      <c r="A97" s="220"/>
      <c r="B97" s="220"/>
      <c r="C97" s="220"/>
      <c r="D97" s="220"/>
      <c r="E97" s="220"/>
      <c r="F97" s="220"/>
      <c r="G97" s="220"/>
      <c r="H97" s="220"/>
      <c r="I97" s="220"/>
      <c r="J97" s="220"/>
      <c r="K97" s="220"/>
      <c r="L97" s="220"/>
      <c r="M97" s="220"/>
      <c r="N97" s="220"/>
      <c r="O97" s="220"/>
      <c r="P97" s="220"/>
      <c r="Q97" s="220"/>
      <c r="R97" s="220"/>
      <c r="S97" s="220"/>
      <c r="T97" s="221"/>
      <c r="U97" s="221"/>
      <c r="V97" s="220"/>
      <c r="W97" s="220"/>
      <c r="X97" s="220"/>
      <c r="Y97" s="220"/>
      <c r="Z97" s="220"/>
      <c r="AA97" s="220"/>
      <c r="AB97" s="220"/>
      <c r="AC97" s="220"/>
      <c r="AD97" s="220"/>
      <c r="AE97" s="220"/>
    </row>
    <row r="98" spans="1:31" x14ac:dyDescent="0.2">
      <c r="A98" s="220"/>
      <c r="B98" s="220"/>
      <c r="C98" s="220"/>
      <c r="D98" s="220"/>
      <c r="E98" s="220"/>
      <c r="F98" s="220"/>
      <c r="G98" s="220"/>
      <c r="H98" s="220"/>
      <c r="I98" s="220"/>
      <c r="J98" s="220"/>
      <c r="K98" s="220"/>
      <c r="L98" s="220"/>
      <c r="M98" s="220"/>
      <c r="N98" s="220"/>
      <c r="O98" s="220"/>
      <c r="P98" s="220"/>
      <c r="Q98" s="220"/>
      <c r="R98" s="220"/>
      <c r="S98" s="220"/>
      <c r="T98" s="221"/>
      <c r="U98" s="221"/>
      <c r="V98" s="220"/>
      <c r="W98" s="220"/>
      <c r="X98" s="220"/>
      <c r="Y98" s="220"/>
      <c r="Z98" s="220"/>
      <c r="AA98" s="220"/>
      <c r="AB98" s="220"/>
      <c r="AC98" s="220"/>
      <c r="AD98" s="220"/>
      <c r="AE98" s="220"/>
    </row>
    <row r="99" spans="1:31" x14ac:dyDescent="0.2">
      <c r="A99" s="220"/>
      <c r="B99" s="220"/>
      <c r="C99" s="220"/>
      <c r="D99" s="220"/>
      <c r="E99" s="220"/>
      <c r="F99" s="220"/>
      <c r="G99" s="220"/>
      <c r="H99" s="220"/>
      <c r="I99" s="220"/>
      <c r="J99" s="220"/>
      <c r="K99" s="220"/>
      <c r="L99" s="220"/>
      <c r="M99" s="220"/>
      <c r="N99" s="220"/>
      <c r="O99" s="220"/>
      <c r="P99" s="220"/>
      <c r="Q99" s="220"/>
      <c r="R99" s="220"/>
      <c r="S99" s="220"/>
      <c r="T99" s="221"/>
      <c r="U99" s="221"/>
      <c r="V99" s="220"/>
      <c r="W99" s="220"/>
      <c r="X99" s="220"/>
      <c r="Y99" s="220"/>
      <c r="Z99" s="220"/>
      <c r="AA99" s="220"/>
      <c r="AB99" s="220"/>
      <c r="AC99" s="220"/>
      <c r="AD99" s="220"/>
      <c r="AE99" s="220"/>
    </row>
    <row r="100" spans="1:31" x14ac:dyDescent="0.2">
      <c r="A100" s="220"/>
      <c r="B100" s="220"/>
      <c r="C100" s="220"/>
      <c r="D100" s="220"/>
      <c r="E100" s="220"/>
      <c r="F100" s="220"/>
      <c r="G100" s="220"/>
      <c r="H100" s="220"/>
      <c r="I100" s="220"/>
      <c r="J100" s="220"/>
      <c r="K100" s="220"/>
      <c r="L100" s="220"/>
      <c r="M100" s="220"/>
      <c r="N100" s="220"/>
      <c r="O100" s="220"/>
      <c r="P100" s="220"/>
      <c r="Q100" s="220"/>
      <c r="R100" s="220"/>
      <c r="S100" s="220"/>
      <c r="T100" s="221"/>
      <c r="U100" s="221"/>
      <c r="V100" s="220"/>
      <c r="W100" s="220"/>
      <c r="X100" s="220"/>
      <c r="Y100" s="220"/>
      <c r="Z100" s="220"/>
      <c r="AA100" s="220"/>
      <c r="AB100" s="220"/>
      <c r="AC100" s="220"/>
      <c r="AD100" s="220"/>
      <c r="AE100" s="220"/>
    </row>
    <row r="106" spans="1:31" x14ac:dyDescent="0.2">
      <c r="A106" s="220"/>
      <c r="B106" s="220"/>
      <c r="C106" s="220"/>
      <c r="D106" s="220"/>
      <c r="E106" s="220"/>
      <c r="F106" s="220"/>
      <c r="G106" s="220"/>
      <c r="H106" s="220"/>
      <c r="I106" s="220"/>
      <c r="J106" s="220"/>
      <c r="K106" s="220"/>
      <c r="L106" s="220"/>
      <c r="M106" s="220"/>
      <c r="N106" s="220"/>
      <c r="O106" s="220"/>
      <c r="P106" s="220"/>
      <c r="Q106" s="220"/>
      <c r="R106" s="220"/>
      <c r="S106" s="220"/>
      <c r="T106" s="221"/>
      <c r="U106" s="221"/>
      <c r="V106" s="220"/>
      <c r="W106" s="220"/>
      <c r="X106" s="220"/>
      <c r="Y106" s="220"/>
      <c r="Z106" s="220"/>
      <c r="AA106" s="220"/>
      <c r="AB106" s="220"/>
      <c r="AC106" s="220"/>
      <c r="AD106" s="220"/>
      <c r="AE106" s="220"/>
    </row>
    <row r="107" spans="1:31" x14ac:dyDescent="0.2">
      <c r="A107" s="220"/>
      <c r="B107" s="220"/>
      <c r="C107" s="220"/>
      <c r="D107" s="220"/>
      <c r="E107" s="220"/>
      <c r="F107" s="220"/>
      <c r="G107" s="220"/>
      <c r="H107" s="220"/>
      <c r="I107" s="220"/>
      <c r="J107" s="220"/>
      <c r="K107" s="220"/>
      <c r="L107" s="220"/>
      <c r="M107" s="220"/>
      <c r="N107" s="220"/>
      <c r="O107" s="220"/>
      <c r="P107" s="220"/>
      <c r="Q107" s="220"/>
      <c r="R107" s="220"/>
      <c r="S107" s="220"/>
      <c r="T107" s="221"/>
      <c r="U107" s="221"/>
      <c r="V107" s="220"/>
      <c r="W107" s="220"/>
      <c r="X107" s="220"/>
      <c r="Y107" s="220"/>
      <c r="Z107" s="220"/>
      <c r="AA107" s="220"/>
      <c r="AB107" s="220"/>
      <c r="AC107" s="220"/>
      <c r="AD107" s="220"/>
      <c r="AE107" s="220"/>
    </row>
    <row r="108" spans="1:31" x14ac:dyDescent="0.2">
      <c r="A108" s="220"/>
      <c r="B108" s="220"/>
      <c r="C108" s="220"/>
      <c r="D108" s="220"/>
      <c r="E108" s="220"/>
      <c r="F108" s="220"/>
      <c r="G108" s="220"/>
      <c r="H108" s="220"/>
      <c r="I108" s="220"/>
      <c r="J108" s="220"/>
      <c r="K108" s="220"/>
      <c r="L108" s="220"/>
      <c r="M108" s="220"/>
      <c r="N108" s="220"/>
      <c r="O108" s="220"/>
      <c r="P108" s="220"/>
      <c r="Q108" s="220"/>
      <c r="R108" s="220"/>
      <c r="S108" s="220"/>
      <c r="T108" s="221"/>
      <c r="U108" s="221"/>
      <c r="V108" s="220"/>
      <c r="W108" s="220"/>
      <c r="X108" s="220"/>
      <c r="Y108" s="220"/>
      <c r="Z108" s="220"/>
      <c r="AA108" s="220"/>
      <c r="AB108" s="220"/>
      <c r="AC108" s="220"/>
      <c r="AD108" s="220"/>
      <c r="AE108" s="220"/>
    </row>
    <row r="109" spans="1:31" x14ac:dyDescent="0.2">
      <c r="A109" s="220"/>
      <c r="B109" s="220"/>
      <c r="C109" s="220"/>
      <c r="D109" s="220"/>
      <c r="E109" s="220"/>
      <c r="F109" s="220"/>
      <c r="G109" s="220"/>
      <c r="H109" s="220"/>
      <c r="I109" s="220"/>
      <c r="J109" s="220"/>
      <c r="K109" s="220"/>
      <c r="L109" s="220"/>
      <c r="M109" s="220"/>
      <c r="N109" s="220"/>
      <c r="O109" s="220"/>
      <c r="P109" s="220"/>
      <c r="Q109" s="220"/>
      <c r="R109" s="220"/>
      <c r="S109" s="220"/>
      <c r="T109" s="221"/>
      <c r="U109" s="221"/>
      <c r="V109" s="220"/>
      <c r="W109" s="220"/>
      <c r="X109" s="220"/>
      <c r="Y109" s="220"/>
      <c r="Z109" s="220"/>
      <c r="AA109" s="220"/>
      <c r="AB109" s="220"/>
      <c r="AC109" s="220"/>
      <c r="AD109" s="220"/>
      <c r="AE109" s="220"/>
    </row>
    <row r="110" spans="1:31" x14ac:dyDescent="0.2">
      <c r="A110" s="220"/>
      <c r="B110" s="220"/>
      <c r="C110" s="220"/>
      <c r="D110" s="220"/>
      <c r="E110" s="220"/>
      <c r="F110" s="220"/>
      <c r="G110" s="220"/>
      <c r="H110" s="220"/>
      <c r="I110" s="220"/>
      <c r="J110" s="220"/>
      <c r="K110" s="220"/>
      <c r="L110" s="220"/>
      <c r="M110" s="220"/>
      <c r="N110" s="220"/>
      <c r="O110" s="220"/>
      <c r="P110" s="220"/>
      <c r="Q110" s="220"/>
      <c r="R110" s="220"/>
      <c r="S110" s="220"/>
      <c r="T110" s="221"/>
      <c r="U110" s="221"/>
      <c r="V110" s="220"/>
      <c r="W110" s="220"/>
      <c r="X110" s="220"/>
      <c r="Y110" s="220"/>
      <c r="Z110" s="220"/>
      <c r="AA110" s="220"/>
      <c r="AB110" s="220"/>
      <c r="AC110" s="220"/>
      <c r="AD110" s="220"/>
      <c r="AE110" s="220"/>
    </row>
    <row r="111" spans="1:31" x14ac:dyDescent="0.2">
      <c r="A111" s="220"/>
      <c r="B111" s="220"/>
      <c r="C111" s="220"/>
      <c r="D111" s="220"/>
      <c r="E111" s="220"/>
      <c r="F111" s="220"/>
      <c r="G111" s="220"/>
      <c r="H111" s="220"/>
      <c r="I111" s="220"/>
      <c r="J111" s="220"/>
      <c r="K111" s="220"/>
      <c r="L111" s="220"/>
      <c r="M111" s="220"/>
      <c r="N111" s="220"/>
      <c r="O111" s="220"/>
      <c r="P111" s="220"/>
      <c r="Q111" s="220"/>
      <c r="R111" s="220"/>
      <c r="S111" s="220"/>
      <c r="T111" s="221"/>
      <c r="U111" s="221"/>
      <c r="V111" s="220"/>
      <c r="W111" s="220"/>
      <c r="X111" s="220"/>
      <c r="Y111" s="220"/>
      <c r="Z111" s="220"/>
      <c r="AA111" s="220"/>
      <c r="AB111" s="220"/>
      <c r="AC111" s="220"/>
      <c r="AD111" s="220"/>
      <c r="AE111" s="220"/>
    </row>
  </sheetData>
  <mergeCells count="3">
    <mergeCell ref="E64:P64"/>
    <mergeCell ref="B72:C72"/>
    <mergeCell ref="E72:P72"/>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E126"/>
  <sheetViews>
    <sheetView topLeftCell="A39" zoomScale="70" zoomScaleNormal="70" workbookViewId="0">
      <selection activeCell="Q34" sqref="Q34"/>
    </sheetView>
  </sheetViews>
  <sheetFormatPr defaultColWidth="9.28515625" defaultRowHeight="15" x14ac:dyDescent="0.2"/>
  <cols>
    <col min="1" max="1" width="10.28515625" style="220" bestFit="1" customWidth="1"/>
    <col min="2" max="2" width="9.28515625" style="220" customWidth="1"/>
    <col min="3" max="3" width="14.42578125" style="220" customWidth="1"/>
    <col min="4" max="4" width="13.28515625" style="220" customWidth="1"/>
    <col min="5" max="15" width="7.7109375" style="220" customWidth="1"/>
    <col min="16" max="16" width="7.7109375" style="220" bestFit="1" customWidth="1"/>
    <col min="17" max="17" width="11.7109375" style="220" bestFit="1" customWidth="1"/>
    <col min="18" max="18" width="10.28515625" style="220" customWidth="1"/>
    <col min="19" max="19" width="10" style="220" customWidth="1"/>
    <col min="20" max="20" width="12" style="221" customWidth="1"/>
    <col min="21" max="21" width="9.28515625" style="221"/>
    <col min="22" max="22" width="15.7109375" style="220" customWidth="1"/>
    <col min="23" max="26" width="9.28515625" style="220"/>
    <col min="27" max="27" width="22.7109375" style="220" customWidth="1"/>
    <col min="28" max="28" width="10.28515625" style="220" customWidth="1"/>
    <col min="29" max="29" width="64.7109375" style="221" customWidth="1"/>
    <col min="30" max="31" width="19.42578125" style="220" customWidth="1"/>
    <col min="32" max="16384" width="9.28515625" style="220"/>
  </cols>
  <sheetData>
    <row r="1" spans="1:30" x14ac:dyDescent="0.2">
      <c r="D1" s="221"/>
      <c r="E1" s="329"/>
      <c r="F1" s="221"/>
      <c r="G1" s="221"/>
      <c r="H1" s="221"/>
      <c r="I1" s="221"/>
      <c r="J1" s="221"/>
      <c r="K1" s="221"/>
      <c r="L1" s="221"/>
      <c r="M1" s="221"/>
      <c r="N1" s="221"/>
      <c r="O1" s="221"/>
      <c r="P1" s="221"/>
      <c r="Q1" s="221"/>
    </row>
    <row r="2" spans="1:30" x14ac:dyDescent="0.2">
      <c r="C2" s="329">
        <v>43830</v>
      </c>
      <c r="D2" s="221"/>
      <c r="E2" s="221"/>
      <c r="F2" s="221"/>
      <c r="G2" s="221"/>
      <c r="H2" s="221"/>
      <c r="I2" s="221"/>
      <c r="J2" s="221"/>
      <c r="K2" s="221"/>
      <c r="L2" s="221"/>
      <c r="M2" s="221"/>
      <c r="N2" s="221"/>
      <c r="O2" s="221"/>
      <c r="P2" s="221"/>
      <c r="Q2" s="221"/>
    </row>
    <row r="3" spans="1:30" x14ac:dyDescent="0.2">
      <c r="C3" s="221"/>
      <c r="D3" s="221"/>
      <c r="E3" s="221"/>
      <c r="F3" s="221"/>
      <c r="G3" s="221"/>
      <c r="H3" s="221"/>
      <c r="I3" s="221"/>
      <c r="J3" s="221"/>
      <c r="K3" s="221"/>
      <c r="L3" s="221"/>
      <c r="M3" s="221"/>
      <c r="N3" s="221"/>
      <c r="O3" s="221"/>
      <c r="P3" s="221"/>
      <c r="Q3" s="221"/>
    </row>
    <row r="4" spans="1:30" x14ac:dyDescent="0.2">
      <c r="C4" s="339"/>
      <c r="D4" s="339"/>
      <c r="E4" s="339"/>
      <c r="F4" s="339"/>
      <c r="G4" s="339"/>
      <c r="H4" s="339"/>
      <c r="I4" s="339"/>
      <c r="J4" s="339"/>
      <c r="K4" s="339"/>
      <c r="L4" s="339"/>
      <c r="M4" s="339"/>
      <c r="N4" s="339"/>
      <c r="O4" s="339"/>
      <c r="P4" s="339"/>
      <c r="Q4" s="339"/>
    </row>
    <row r="5" spans="1:30" x14ac:dyDescent="0.2">
      <c r="D5" s="221"/>
      <c r="E5" s="221"/>
      <c r="F5" s="221"/>
      <c r="G5" s="221"/>
      <c r="H5" s="221"/>
      <c r="I5" s="221"/>
      <c r="J5" s="221"/>
      <c r="K5" s="221"/>
      <c r="L5" s="221"/>
      <c r="M5" s="221"/>
      <c r="N5" s="221"/>
      <c r="O5" s="221"/>
      <c r="P5" s="221"/>
      <c r="Q5" s="221"/>
    </row>
    <row r="6" spans="1:30" ht="15.75" thickBot="1" x14ac:dyDescent="0.25">
      <c r="D6" s="221"/>
      <c r="E6" s="221"/>
      <c r="F6" s="221"/>
      <c r="G6" s="221"/>
      <c r="H6" s="221"/>
      <c r="I6" s="221"/>
      <c r="J6" s="221"/>
      <c r="K6" s="221"/>
      <c r="L6" s="221" t="s">
        <v>219</v>
      </c>
      <c r="M6" s="221"/>
      <c r="N6" s="221"/>
      <c r="O6" s="221"/>
      <c r="P6" s="221"/>
      <c r="Q6" s="221"/>
    </row>
    <row r="7" spans="1:30" ht="16.5" thickBot="1" x14ac:dyDescent="0.3">
      <c r="A7" s="222"/>
      <c r="B7" s="223" t="s">
        <v>0</v>
      </c>
      <c r="C7" s="224"/>
      <c r="D7" s="335"/>
      <c r="E7" s="335"/>
      <c r="F7" s="335"/>
      <c r="G7" s="335"/>
      <c r="H7" s="335"/>
      <c r="I7" s="335"/>
      <c r="J7" s="335"/>
      <c r="K7" s="335"/>
      <c r="L7" s="335"/>
      <c r="M7" s="335"/>
      <c r="N7" s="335"/>
      <c r="O7" s="335"/>
      <c r="P7" s="335"/>
      <c r="Q7" s="224"/>
      <c r="R7" s="224"/>
      <c r="S7" s="224"/>
      <c r="T7" s="300"/>
      <c r="U7" s="320" t="s">
        <v>0</v>
      </c>
      <c r="V7" s="224"/>
      <c r="AC7" s="1" t="s">
        <v>174</v>
      </c>
    </row>
    <row r="8" spans="1:30" ht="48" thickBot="1" x14ac:dyDescent="0.3">
      <c r="A8" s="160" t="s">
        <v>79</v>
      </c>
      <c r="B8" s="156" t="s">
        <v>3</v>
      </c>
      <c r="C8" s="107" t="s">
        <v>2</v>
      </c>
      <c r="D8" s="109" t="s">
        <v>175</v>
      </c>
      <c r="E8" s="219" t="s">
        <v>4</v>
      </c>
      <c r="F8" s="110" t="s">
        <v>5</v>
      </c>
      <c r="G8" s="110" t="s">
        <v>6</v>
      </c>
      <c r="H8" s="110" t="s">
        <v>7</v>
      </c>
      <c r="I8" s="110" t="s">
        <v>8</v>
      </c>
      <c r="J8" s="110" t="s">
        <v>9</v>
      </c>
      <c r="K8" s="110" t="s">
        <v>10</v>
      </c>
      <c r="L8" s="110" t="s">
        <v>11</v>
      </c>
      <c r="M8" s="110" t="s">
        <v>12</v>
      </c>
      <c r="N8" s="110" t="s">
        <v>13</v>
      </c>
      <c r="O8" s="110" t="s">
        <v>14</v>
      </c>
      <c r="P8" s="110" t="s">
        <v>15</v>
      </c>
      <c r="Q8" s="111" t="s">
        <v>16</v>
      </c>
      <c r="R8" s="112" t="s">
        <v>176</v>
      </c>
      <c r="S8" s="109" t="s">
        <v>19</v>
      </c>
      <c r="T8" s="113" t="s">
        <v>41</v>
      </c>
      <c r="U8" s="156" t="s">
        <v>3</v>
      </c>
      <c r="V8" s="107" t="s">
        <v>2</v>
      </c>
      <c r="AA8" s="301" t="s">
        <v>142</v>
      </c>
      <c r="AB8" s="301" t="s">
        <v>143</v>
      </c>
      <c r="AC8" s="301" t="s">
        <v>154</v>
      </c>
      <c r="AD8" s="301" t="s">
        <v>102</v>
      </c>
    </row>
    <row r="9" spans="1:30" x14ac:dyDescent="0.2">
      <c r="A9" s="226"/>
      <c r="B9" s="227"/>
      <c r="C9" s="228"/>
      <c r="D9" s="229"/>
      <c r="E9" s="229">
        <v>1</v>
      </c>
      <c r="F9" s="229"/>
      <c r="G9" s="229"/>
      <c r="H9" s="229"/>
      <c r="I9" s="229"/>
      <c r="J9" s="229"/>
      <c r="K9" s="229"/>
      <c r="L9" s="229"/>
      <c r="M9" s="229"/>
      <c r="N9" s="229"/>
      <c r="O9" s="229"/>
      <c r="P9" s="229"/>
      <c r="Q9" s="228"/>
      <c r="R9" s="230"/>
      <c r="S9" s="231"/>
      <c r="T9" s="302"/>
      <c r="U9" s="321"/>
      <c r="V9" s="228"/>
      <c r="AA9" s="303"/>
      <c r="AB9" s="304"/>
      <c r="AC9" s="304"/>
      <c r="AD9" s="304"/>
    </row>
    <row r="10" spans="1:30" x14ac:dyDescent="0.2">
      <c r="A10" s="234">
        <v>101639</v>
      </c>
      <c r="B10" s="255">
        <v>2014</v>
      </c>
      <c r="C10" s="234" t="s">
        <v>120</v>
      </c>
      <c r="D10" s="236">
        <v>61</v>
      </c>
      <c r="E10" s="236">
        <v>21</v>
      </c>
      <c r="F10" s="236">
        <v>26</v>
      </c>
      <c r="G10" s="236">
        <v>14</v>
      </c>
      <c r="H10" s="242"/>
      <c r="I10" s="242"/>
      <c r="J10" s="242"/>
      <c r="K10" s="242"/>
      <c r="L10" s="242"/>
      <c r="M10" s="242"/>
      <c r="N10" s="242"/>
      <c r="O10" s="242"/>
      <c r="P10" s="242"/>
      <c r="Q10" s="372">
        <f>SUM(E10:P10)</f>
        <v>61</v>
      </c>
      <c r="R10" s="263">
        <f>IFERROR((AVERAGE(E10:P10)),0)</f>
        <v>20.333333333333332</v>
      </c>
      <c r="S10" s="336">
        <f>IFERROR((T10/R10),0)</f>
        <v>0</v>
      </c>
      <c r="T10" s="306">
        <f>SUM(D10-Q10)</f>
        <v>0</v>
      </c>
      <c r="U10" s="237">
        <v>2014</v>
      </c>
      <c r="V10" s="234" t="s">
        <v>120</v>
      </c>
      <c r="AA10" s="303" t="s">
        <v>179</v>
      </c>
      <c r="AB10" s="304">
        <v>2018</v>
      </c>
      <c r="AC10" s="304" t="s">
        <v>177</v>
      </c>
      <c r="AD10" s="304">
        <v>618</v>
      </c>
    </row>
    <row r="11" spans="1:30" x14ac:dyDescent="0.2">
      <c r="A11" s="226"/>
      <c r="B11" s="226"/>
      <c r="C11" s="226"/>
      <c r="D11" s="226"/>
      <c r="E11" s="226"/>
      <c r="F11" s="226"/>
      <c r="G11" s="226"/>
      <c r="H11" s="226"/>
      <c r="I11" s="226"/>
      <c r="J11" s="226"/>
      <c r="K11" s="226"/>
      <c r="L11" s="226"/>
      <c r="M11" s="226"/>
      <c r="N11" s="243"/>
      <c r="O11" s="243"/>
      <c r="P11" s="226"/>
      <c r="Q11" s="243"/>
      <c r="R11" s="243"/>
      <c r="S11" s="243"/>
      <c r="T11" s="243"/>
      <c r="U11" s="243"/>
      <c r="V11" s="226"/>
      <c r="AA11" s="303" t="s">
        <v>179</v>
      </c>
      <c r="AB11" s="304">
        <v>2018</v>
      </c>
      <c r="AC11" s="304" t="s">
        <v>180</v>
      </c>
      <c r="AD11" s="304">
        <v>282</v>
      </c>
    </row>
    <row r="12" spans="1:30" x14ac:dyDescent="0.2">
      <c r="A12" s="234">
        <v>97509</v>
      </c>
      <c r="B12" s="255">
        <v>2015</v>
      </c>
      <c r="C12" s="234" t="s">
        <v>107</v>
      </c>
      <c r="D12" s="236">
        <v>29</v>
      </c>
      <c r="E12" s="236">
        <v>29</v>
      </c>
      <c r="F12" s="242"/>
      <c r="G12" s="242"/>
      <c r="H12" s="242"/>
      <c r="I12" s="242"/>
      <c r="J12" s="242"/>
      <c r="K12" s="242"/>
      <c r="L12" s="242"/>
      <c r="M12" s="242"/>
      <c r="N12" s="242"/>
      <c r="O12" s="242"/>
      <c r="P12" s="242"/>
      <c r="Q12" s="372">
        <f t="shared" ref="Q12:Q14" si="0">SUM(E12:P12)</f>
        <v>29</v>
      </c>
      <c r="R12" s="263">
        <f t="shared" ref="R12:R14" si="1">IFERROR((AVERAGE(E12:P12)),0)</f>
        <v>29</v>
      </c>
      <c r="S12" s="336">
        <f>IFERROR((T12/R12),0)</f>
        <v>0</v>
      </c>
      <c r="T12" s="306">
        <f t="shared" ref="T12:T14" si="2">SUM(D12-Q12)</f>
        <v>0</v>
      </c>
      <c r="U12" s="237">
        <v>2015</v>
      </c>
      <c r="V12" s="234" t="s">
        <v>107</v>
      </c>
      <c r="AA12" s="303" t="s">
        <v>179</v>
      </c>
      <c r="AB12" s="304">
        <v>2018</v>
      </c>
      <c r="AC12" s="304" t="s">
        <v>181</v>
      </c>
      <c r="AD12" s="304">
        <v>446</v>
      </c>
    </row>
    <row r="13" spans="1:30" x14ac:dyDescent="0.2">
      <c r="A13" s="234">
        <v>101638</v>
      </c>
      <c r="B13" s="248">
        <v>2015</v>
      </c>
      <c r="C13" s="234" t="s">
        <v>26</v>
      </c>
      <c r="D13" s="236">
        <v>101</v>
      </c>
      <c r="E13" s="236">
        <v>5</v>
      </c>
      <c r="F13" s="236">
        <v>15</v>
      </c>
      <c r="G13" s="236">
        <v>4</v>
      </c>
      <c r="H13" s="236">
        <v>26</v>
      </c>
      <c r="I13" s="236">
        <v>0</v>
      </c>
      <c r="J13" s="236">
        <v>14</v>
      </c>
      <c r="K13" s="236">
        <v>7</v>
      </c>
      <c r="L13" s="236">
        <v>12</v>
      </c>
      <c r="M13" s="337">
        <v>18</v>
      </c>
      <c r="N13" s="242"/>
      <c r="O13" s="242"/>
      <c r="P13" s="242"/>
      <c r="Q13" s="372">
        <f t="shared" si="0"/>
        <v>101</v>
      </c>
      <c r="R13" s="263">
        <f t="shared" si="1"/>
        <v>11.222222222222221</v>
      </c>
      <c r="S13" s="336">
        <f>IFERROR((T13/R13),0)</f>
        <v>0</v>
      </c>
      <c r="T13" s="306">
        <f t="shared" si="2"/>
        <v>0</v>
      </c>
      <c r="U13" s="295">
        <v>2015</v>
      </c>
      <c r="V13" s="234" t="s">
        <v>26</v>
      </c>
      <c r="AA13" s="303"/>
      <c r="AB13" s="304"/>
      <c r="AC13" s="304"/>
      <c r="AD13" s="304"/>
    </row>
    <row r="14" spans="1:30" x14ac:dyDescent="0.2">
      <c r="A14" s="234">
        <v>100465</v>
      </c>
      <c r="B14" s="248">
        <v>2015</v>
      </c>
      <c r="C14" s="250" t="s">
        <v>135</v>
      </c>
      <c r="D14" s="252">
        <v>58</v>
      </c>
      <c r="E14" s="252">
        <v>18</v>
      </c>
      <c r="F14" s="252">
        <v>20</v>
      </c>
      <c r="G14" s="252">
        <v>20</v>
      </c>
      <c r="H14" s="338"/>
      <c r="I14" s="338"/>
      <c r="J14" s="338"/>
      <c r="K14" s="338"/>
      <c r="L14" s="338"/>
      <c r="M14" s="338"/>
      <c r="N14" s="338"/>
      <c r="O14" s="338"/>
      <c r="P14" s="338"/>
      <c r="Q14" s="372">
        <f t="shared" si="0"/>
        <v>58</v>
      </c>
      <c r="R14" s="263">
        <f t="shared" si="1"/>
        <v>19.333333333333332</v>
      </c>
      <c r="S14" s="336">
        <f t="shared" ref="S14" si="3">IFERROR((T14/R14),0)</f>
        <v>0</v>
      </c>
      <c r="T14" s="316">
        <f t="shared" si="2"/>
        <v>0</v>
      </c>
      <c r="U14" s="237">
        <v>2015</v>
      </c>
      <c r="V14" s="234" t="s">
        <v>135</v>
      </c>
      <c r="AA14" s="303"/>
      <c r="AB14" s="304"/>
      <c r="AC14" s="304"/>
      <c r="AD14" s="304"/>
    </row>
    <row r="15" spans="1:30" x14ac:dyDescent="0.2">
      <c r="A15" s="234">
        <v>116509</v>
      </c>
      <c r="B15" s="255">
        <v>2015</v>
      </c>
      <c r="C15" s="234" t="s">
        <v>150</v>
      </c>
      <c r="D15" s="236">
        <v>56</v>
      </c>
      <c r="E15" s="236">
        <v>0</v>
      </c>
      <c r="F15" s="236">
        <v>0</v>
      </c>
      <c r="G15" s="236">
        <v>14</v>
      </c>
      <c r="H15" s="236">
        <v>1</v>
      </c>
      <c r="I15" s="236">
        <v>0</v>
      </c>
      <c r="J15" s="236">
        <v>0</v>
      </c>
      <c r="K15" s="236">
        <v>0</v>
      </c>
      <c r="L15" s="236">
        <v>0</v>
      </c>
      <c r="M15" s="236">
        <v>0</v>
      </c>
      <c r="N15" s="236">
        <v>16</v>
      </c>
      <c r="O15" s="236">
        <v>6</v>
      </c>
      <c r="P15" s="236">
        <v>7</v>
      </c>
      <c r="Q15" s="372">
        <f t="shared" ref="Q15" si="4">SUM(E15:P15)</f>
        <v>44</v>
      </c>
      <c r="R15" s="263">
        <f t="shared" ref="R15" si="5">IFERROR((AVERAGE(E15:P15)),0)</f>
        <v>3.6666666666666665</v>
      </c>
      <c r="S15" s="336">
        <f t="shared" ref="S15" si="6">IFERROR((T15/R15),0)</f>
        <v>3.2727272727272729</v>
      </c>
      <c r="T15" s="306">
        <f t="shared" ref="T15" si="7">SUM(D15-Q15)</f>
        <v>12</v>
      </c>
      <c r="U15" s="339">
        <f>+B15</f>
        <v>2015</v>
      </c>
      <c r="V15" s="234" t="str">
        <f>+C15</f>
        <v>Snort</v>
      </c>
      <c r="AA15" s="303">
        <v>43626</v>
      </c>
      <c r="AB15" s="304">
        <v>2018</v>
      </c>
      <c r="AC15" s="304" t="s">
        <v>193</v>
      </c>
      <c r="AD15" s="304">
        <v>352</v>
      </c>
    </row>
    <row r="16" spans="1:30" x14ac:dyDescent="0.2">
      <c r="A16" s="226"/>
      <c r="B16" s="269"/>
      <c r="C16" s="269"/>
      <c r="D16" s="272"/>
      <c r="E16" s="272"/>
      <c r="F16" s="272"/>
      <c r="G16" s="272"/>
      <c r="H16" s="272"/>
      <c r="I16" s="272"/>
      <c r="J16" s="272"/>
      <c r="K16" s="272"/>
      <c r="L16" s="272"/>
      <c r="M16" s="272"/>
      <c r="N16" s="272"/>
      <c r="O16" s="272"/>
      <c r="P16" s="272"/>
      <c r="Q16" s="375"/>
      <c r="R16" s="340"/>
      <c r="S16" s="341"/>
      <c r="T16" s="305"/>
      <c r="U16" s="272"/>
      <c r="V16" s="269"/>
      <c r="AA16" s="303"/>
      <c r="AB16" s="304"/>
      <c r="AC16" s="304"/>
      <c r="AD16" s="304"/>
    </row>
    <row r="17" spans="1:31" x14ac:dyDescent="0.2">
      <c r="A17" s="234">
        <v>97509</v>
      </c>
      <c r="B17" s="308">
        <v>2016</v>
      </c>
      <c r="C17" s="308" t="s">
        <v>107</v>
      </c>
      <c r="D17" s="309">
        <v>43</v>
      </c>
      <c r="E17" s="236">
        <v>37</v>
      </c>
      <c r="F17" s="236">
        <v>0</v>
      </c>
      <c r="G17" s="236">
        <v>6</v>
      </c>
      <c r="H17" s="242"/>
      <c r="I17" s="242"/>
      <c r="J17" s="242"/>
      <c r="K17" s="242"/>
      <c r="L17" s="242"/>
      <c r="M17" s="242"/>
      <c r="N17" s="242"/>
      <c r="O17" s="242"/>
      <c r="P17" s="242"/>
      <c r="Q17" s="372">
        <f t="shared" ref="Q17:Q20" si="8">SUM(E17:P17)</f>
        <v>43</v>
      </c>
      <c r="R17" s="263">
        <f t="shared" ref="R17:R22" si="9">IFERROR((AVERAGE(E17:P17)),0)</f>
        <v>14.333333333333334</v>
      </c>
      <c r="S17" s="336">
        <f t="shared" ref="S17:S22" si="10">IFERROR((T17/R17),0)</f>
        <v>0</v>
      </c>
      <c r="T17" s="306">
        <f t="shared" ref="T17:T22" si="11">SUM(D17-Q17)</f>
        <v>0</v>
      </c>
      <c r="U17" s="309">
        <v>2016</v>
      </c>
      <c r="V17" s="308" t="s">
        <v>107</v>
      </c>
      <c r="AA17" s="303">
        <v>43658</v>
      </c>
      <c r="AB17" s="304">
        <v>2018</v>
      </c>
      <c r="AC17" s="304" t="s">
        <v>194</v>
      </c>
      <c r="AD17" s="304"/>
    </row>
    <row r="18" spans="1:31" x14ac:dyDescent="0.2">
      <c r="A18" s="234">
        <v>97511</v>
      </c>
      <c r="B18" s="308">
        <v>2016</v>
      </c>
      <c r="C18" s="308" t="s">
        <v>25</v>
      </c>
      <c r="D18" s="309">
        <v>299</v>
      </c>
      <c r="E18" s="236">
        <v>14</v>
      </c>
      <c r="F18" s="236">
        <v>18</v>
      </c>
      <c r="G18" s="236">
        <v>6</v>
      </c>
      <c r="H18" s="236">
        <v>37</v>
      </c>
      <c r="I18" s="236">
        <f>224-217</f>
        <v>7</v>
      </c>
      <c r="J18" s="236">
        <v>27</v>
      </c>
      <c r="K18" s="236">
        <v>21</v>
      </c>
      <c r="L18" s="236">
        <v>16</v>
      </c>
      <c r="M18" s="236">
        <f>153-129</f>
        <v>24</v>
      </c>
      <c r="N18" s="236">
        <v>33</v>
      </c>
      <c r="O18" s="236">
        <v>11</v>
      </c>
      <c r="P18" s="236">
        <f>85-76</f>
        <v>9</v>
      </c>
      <c r="Q18" s="372">
        <f t="shared" si="8"/>
        <v>223</v>
      </c>
      <c r="R18" s="263">
        <f t="shared" si="9"/>
        <v>18.583333333333332</v>
      </c>
      <c r="S18" s="336">
        <f t="shared" si="10"/>
        <v>4.0896860986547088</v>
      </c>
      <c r="T18" s="306">
        <f t="shared" si="11"/>
        <v>76</v>
      </c>
      <c r="U18" s="309">
        <v>2016</v>
      </c>
      <c r="V18" s="308" t="s">
        <v>25</v>
      </c>
      <c r="AA18" s="303">
        <v>43657</v>
      </c>
      <c r="AB18" s="304">
        <v>2017</v>
      </c>
      <c r="AC18" s="304" t="s">
        <v>196</v>
      </c>
      <c r="AD18" s="304">
        <v>349</v>
      </c>
    </row>
    <row r="19" spans="1:31" x14ac:dyDescent="0.2">
      <c r="A19" s="234">
        <v>100465</v>
      </c>
      <c r="B19" s="308">
        <v>2016</v>
      </c>
      <c r="C19" s="308" t="s">
        <v>135</v>
      </c>
      <c r="D19" s="309">
        <v>283</v>
      </c>
      <c r="E19" s="246">
        <v>0</v>
      </c>
      <c r="F19" s="246">
        <v>1</v>
      </c>
      <c r="G19" s="236">
        <v>19</v>
      </c>
      <c r="H19" s="236">
        <v>31</v>
      </c>
      <c r="I19" s="236">
        <f>232-216</f>
        <v>16</v>
      </c>
      <c r="J19" s="236">
        <v>32</v>
      </c>
      <c r="K19" s="236">
        <v>23</v>
      </c>
      <c r="L19" s="236">
        <v>24</v>
      </c>
      <c r="M19" s="236">
        <f>137-102</f>
        <v>35</v>
      </c>
      <c r="N19" s="236">
        <v>60</v>
      </c>
      <c r="O19" s="236">
        <v>22</v>
      </c>
      <c r="P19" s="236">
        <v>20</v>
      </c>
      <c r="Q19" s="372">
        <f t="shared" si="8"/>
        <v>283</v>
      </c>
      <c r="R19" s="263">
        <f t="shared" si="9"/>
        <v>23.583333333333332</v>
      </c>
      <c r="S19" s="336">
        <f t="shared" si="10"/>
        <v>0</v>
      </c>
      <c r="T19" s="306">
        <f t="shared" si="11"/>
        <v>0</v>
      </c>
      <c r="U19" s="309">
        <v>2016</v>
      </c>
      <c r="V19" s="308" t="s">
        <v>135</v>
      </c>
      <c r="AA19" s="303">
        <v>43657</v>
      </c>
      <c r="AB19" s="304">
        <v>2018</v>
      </c>
      <c r="AC19" s="304" t="s">
        <v>197</v>
      </c>
      <c r="AD19" s="304">
        <v>362</v>
      </c>
    </row>
    <row r="20" spans="1:31" x14ac:dyDescent="0.2">
      <c r="A20" s="234">
        <v>101638</v>
      </c>
      <c r="B20" s="308">
        <v>2016</v>
      </c>
      <c r="C20" s="308" t="s">
        <v>26</v>
      </c>
      <c r="D20" s="309">
        <v>198</v>
      </c>
      <c r="E20" s="252">
        <v>0</v>
      </c>
      <c r="F20" s="252">
        <v>2</v>
      </c>
      <c r="G20" s="252">
        <v>0</v>
      </c>
      <c r="H20" s="252">
        <v>0</v>
      </c>
      <c r="I20" s="252">
        <v>0</v>
      </c>
      <c r="J20" s="252">
        <v>0</v>
      </c>
      <c r="K20" s="252">
        <v>1</v>
      </c>
      <c r="L20" s="252">
        <v>1</v>
      </c>
      <c r="M20" s="342">
        <f>194-185</f>
        <v>9</v>
      </c>
      <c r="N20" s="252">
        <v>62</v>
      </c>
      <c r="O20" s="252">
        <v>13</v>
      </c>
      <c r="P20" s="252">
        <f>110-78-4</f>
        <v>28</v>
      </c>
      <c r="Q20" s="374">
        <f t="shared" si="8"/>
        <v>116</v>
      </c>
      <c r="R20" s="263">
        <f t="shared" si="9"/>
        <v>9.6666666666666661</v>
      </c>
      <c r="S20" s="343">
        <f t="shared" si="10"/>
        <v>8.4827586206896548</v>
      </c>
      <c r="T20" s="306">
        <f t="shared" si="11"/>
        <v>82</v>
      </c>
      <c r="U20" s="309">
        <v>2016</v>
      </c>
      <c r="V20" s="308" t="s">
        <v>26</v>
      </c>
      <c r="AA20" s="303">
        <v>43686</v>
      </c>
      <c r="AB20" s="304">
        <v>2018</v>
      </c>
      <c r="AC20" s="304" t="s">
        <v>195</v>
      </c>
      <c r="AD20" s="304">
        <v>393</v>
      </c>
    </row>
    <row r="21" spans="1:31" x14ac:dyDescent="0.2">
      <c r="A21" s="234">
        <v>100462</v>
      </c>
      <c r="B21" s="308">
        <v>2016</v>
      </c>
      <c r="C21" s="308" t="s">
        <v>136</v>
      </c>
      <c r="D21" s="309">
        <v>347</v>
      </c>
      <c r="E21" s="236">
        <v>38</v>
      </c>
      <c r="F21" s="236">
        <v>28</v>
      </c>
      <c r="G21" s="236">
        <v>0</v>
      </c>
      <c r="H21" s="236">
        <v>38</v>
      </c>
      <c r="I21" s="236">
        <f>243-78</f>
        <v>165</v>
      </c>
      <c r="J21" s="236">
        <v>29</v>
      </c>
      <c r="K21" s="236">
        <v>22</v>
      </c>
      <c r="L21" s="236">
        <v>0</v>
      </c>
      <c r="M21" s="337">
        <v>27</v>
      </c>
      <c r="N21" s="242"/>
      <c r="O21" s="242"/>
      <c r="P21" s="242"/>
      <c r="Q21" s="372">
        <f t="shared" ref="Q21:Q22" si="12">SUM(E21:P21)</f>
        <v>347</v>
      </c>
      <c r="R21" s="267">
        <f t="shared" si="9"/>
        <v>38.555555555555557</v>
      </c>
      <c r="S21" s="344">
        <f t="shared" si="10"/>
        <v>0</v>
      </c>
      <c r="T21" s="279">
        <f t="shared" si="11"/>
        <v>0</v>
      </c>
      <c r="U21" s="309">
        <v>2016</v>
      </c>
      <c r="V21" s="308" t="s">
        <v>136</v>
      </c>
      <c r="AA21" s="303"/>
      <c r="AB21" s="304"/>
      <c r="AC21" s="304"/>
      <c r="AD21" s="304"/>
    </row>
    <row r="22" spans="1:31" x14ac:dyDescent="0.2">
      <c r="A22" s="234">
        <v>101639</v>
      </c>
      <c r="B22" s="308">
        <v>2016</v>
      </c>
      <c r="C22" s="308" t="s">
        <v>120</v>
      </c>
      <c r="D22" s="221">
        <v>332</v>
      </c>
      <c r="E22" s="246">
        <v>0</v>
      </c>
      <c r="F22" s="246">
        <v>1</v>
      </c>
      <c r="G22" s="246" t="s">
        <v>35</v>
      </c>
      <c r="H22" s="236">
        <v>2</v>
      </c>
      <c r="I22" s="236">
        <f>329-316</f>
        <v>13</v>
      </c>
      <c r="J22" s="236">
        <v>11</v>
      </c>
      <c r="K22" s="236">
        <v>12</v>
      </c>
      <c r="L22" s="236">
        <v>18</v>
      </c>
      <c r="M22" s="337">
        <f>275-250</f>
        <v>25</v>
      </c>
      <c r="N22" s="236">
        <v>37</v>
      </c>
      <c r="O22" s="236">
        <f>213-189</f>
        <v>24</v>
      </c>
      <c r="P22" s="236">
        <f>189-168-5</f>
        <v>16</v>
      </c>
      <c r="Q22" s="372">
        <f t="shared" si="12"/>
        <v>159</v>
      </c>
      <c r="R22" s="267">
        <f t="shared" si="9"/>
        <v>14.454545454545455</v>
      </c>
      <c r="S22" s="344">
        <f t="shared" si="10"/>
        <v>11.968553459119496</v>
      </c>
      <c r="T22" s="279">
        <f t="shared" si="11"/>
        <v>173</v>
      </c>
      <c r="U22" s="221">
        <v>2016</v>
      </c>
      <c r="V22" s="220" t="s">
        <v>120</v>
      </c>
      <c r="AA22" s="303">
        <v>43819</v>
      </c>
      <c r="AB22" s="304">
        <v>2018</v>
      </c>
      <c r="AC22" s="304" t="s">
        <v>220</v>
      </c>
      <c r="AD22" s="304">
        <v>145</v>
      </c>
    </row>
    <row r="23" spans="1:31" x14ac:dyDescent="0.2">
      <c r="A23" s="226"/>
      <c r="B23" s="269"/>
      <c r="C23" s="269"/>
      <c r="D23" s="271"/>
      <c r="E23" s="271"/>
      <c r="F23" s="271"/>
      <c r="G23" s="271"/>
      <c r="H23" s="271"/>
      <c r="I23" s="271"/>
      <c r="J23" s="271"/>
      <c r="K23" s="271"/>
      <c r="L23" s="271"/>
      <c r="M23" s="271"/>
      <c r="N23" s="271"/>
      <c r="O23" s="271"/>
      <c r="P23" s="271"/>
      <c r="Q23" s="281"/>
      <c r="R23" s="283"/>
      <c r="S23" s="284"/>
      <c r="T23" s="271"/>
      <c r="U23" s="271"/>
      <c r="V23" s="282"/>
      <c r="AA23" s="303"/>
      <c r="AB23" s="304"/>
      <c r="AC23" s="304"/>
      <c r="AD23" s="304"/>
    </row>
    <row r="24" spans="1:31" x14ac:dyDescent="0.2">
      <c r="A24" s="234">
        <v>101819</v>
      </c>
      <c r="B24" s="237" t="s">
        <v>133</v>
      </c>
      <c r="C24" s="234" t="s">
        <v>217</v>
      </c>
      <c r="D24" s="236">
        <v>69</v>
      </c>
      <c r="E24" s="236">
        <v>6</v>
      </c>
      <c r="F24" s="236">
        <v>12</v>
      </c>
      <c r="G24" s="236">
        <v>3</v>
      </c>
      <c r="H24" s="236">
        <v>0</v>
      </c>
      <c r="I24" s="236">
        <f>48-32</f>
        <v>16</v>
      </c>
      <c r="J24" s="236">
        <v>0</v>
      </c>
      <c r="K24" s="236">
        <v>0</v>
      </c>
      <c r="L24" s="236">
        <v>24</v>
      </c>
      <c r="M24" s="236">
        <v>0</v>
      </c>
      <c r="N24" s="236">
        <v>8</v>
      </c>
      <c r="O24" s="242"/>
      <c r="P24" s="242"/>
      <c r="Q24" s="372">
        <f t="shared" ref="Q24:Q33" si="13">SUM(E24:P24)</f>
        <v>69</v>
      </c>
      <c r="R24" s="345">
        <f t="shared" ref="R24:R33" si="14">IFERROR((AVERAGE(E24:P24)),0)</f>
        <v>6.9</v>
      </c>
      <c r="S24" s="279">
        <f t="shared" ref="S24:S33" si="15">IFERROR((T24/R24),0)</f>
        <v>0</v>
      </c>
      <c r="T24" s="236">
        <f t="shared" ref="T24:T33" si="16">SUM(D24-Q24)</f>
        <v>0</v>
      </c>
      <c r="U24" s="236" t="s">
        <v>133</v>
      </c>
      <c r="V24" s="234" t="s">
        <v>134</v>
      </c>
      <c r="AA24" s="346"/>
      <c r="AB24" s="346"/>
      <c r="AC24" s="304"/>
      <c r="AD24" s="346"/>
    </row>
    <row r="25" spans="1:31" x14ac:dyDescent="0.2">
      <c r="A25" s="234">
        <v>100464</v>
      </c>
      <c r="B25" s="234">
        <v>2017</v>
      </c>
      <c r="C25" s="234" t="s">
        <v>110</v>
      </c>
      <c r="D25" s="236">
        <v>116</v>
      </c>
      <c r="E25" s="236">
        <v>17</v>
      </c>
      <c r="F25" s="236">
        <v>15</v>
      </c>
      <c r="G25" s="236">
        <v>0</v>
      </c>
      <c r="H25" s="236">
        <v>59</v>
      </c>
      <c r="I25" s="236">
        <v>25</v>
      </c>
      <c r="J25" s="242"/>
      <c r="K25" s="242"/>
      <c r="L25" s="242"/>
      <c r="M25" s="242"/>
      <c r="N25" s="242"/>
      <c r="O25" s="242"/>
      <c r="P25" s="242"/>
      <c r="Q25" s="372">
        <f t="shared" si="13"/>
        <v>116</v>
      </c>
      <c r="R25" s="345">
        <f t="shared" si="14"/>
        <v>23.2</v>
      </c>
      <c r="S25" s="279">
        <f t="shared" si="15"/>
        <v>0</v>
      </c>
      <c r="T25" s="236">
        <f t="shared" si="16"/>
        <v>0</v>
      </c>
      <c r="U25" s="236">
        <v>2017</v>
      </c>
      <c r="V25" s="234" t="s">
        <v>110</v>
      </c>
      <c r="AA25" s="346"/>
      <c r="AB25" s="346"/>
      <c r="AC25" s="304"/>
      <c r="AD25" s="346"/>
    </row>
    <row r="26" spans="1:31" x14ac:dyDescent="0.2">
      <c r="A26" s="234">
        <v>97509</v>
      </c>
      <c r="B26" s="234">
        <v>2017</v>
      </c>
      <c r="C26" s="234" t="s">
        <v>107</v>
      </c>
      <c r="D26" s="236">
        <v>335</v>
      </c>
      <c r="E26" s="242">
        <v>0</v>
      </c>
      <c r="F26" s="242">
        <v>0</v>
      </c>
      <c r="G26" s="236">
        <v>0</v>
      </c>
      <c r="H26" s="236">
        <v>0</v>
      </c>
      <c r="I26" s="236">
        <v>0</v>
      </c>
      <c r="J26" s="236">
        <v>0</v>
      </c>
      <c r="K26" s="236">
        <v>6</v>
      </c>
      <c r="L26" s="236">
        <v>3</v>
      </c>
      <c r="M26" s="337">
        <f>326-267</f>
        <v>59</v>
      </c>
      <c r="N26" s="236">
        <v>79</v>
      </c>
      <c r="O26" s="236">
        <v>13</v>
      </c>
      <c r="P26" s="236">
        <f>175-163-9</f>
        <v>3</v>
      </c>
      <c r="Q26" s="372">
        <f t="shared" si="13"/>
        <v>163</v>
      </c>
      <c r="R26" s="345">
        <f t="shared" si="14"/>
        <v>13.583333333333334</v>
      </c>
      <c r="S26" s="279">
        <f t="shared" si="15"/>
        <v>12.662576687116564</v>
      </c>
      <c r="T26" s="236">
        <f t="shared" si="16"/>
        <v>172</v>
      </c>
      <c r="U26" s="236">
        <v>2017</v>
      </c>
      <c r="V26" s="234" t="s">
        <v>107</v>
      </c>
      <c r="AA26" s="346"/>
      <c r="AB26" s="346"/>
      <c r="AC26" s="304"/>
      <c r="AD26" s="346"/>
    </row>
    <row r="27" spans="1:31" x14ac:dyDescent="0.2">
      <c r="A27" s="234">
        <v>101636</v>
      </c>
      <c r="B27" s="234">
        <v>2017</v>
      </c>
      <c r="C27" s="234" t="s">
        <v>31</v>
      </c>
      <c r="D27" s="236">
        <v>91</v>
      </c>
      <c r="E27" s="236">
        <v>0</v>
      </c>
      <c r="F27" s="236">
        <v>13</v>
      </c>
      <c r="G27" s="236">
        <v>25</v>
      </c>
      <c r="H27" s="236">
        <v>30</v>
      </c>
      <c r="I27" s="236">
        <v>3</v>
      </c>
      <c r="J27" s="236">
        <v>13</v>
      </c>
      <c r="K27" s="236">
        <v>4</v>
      </c>
      <c r="L27" s="236">
        <v>3</v>
      </c>
      <c r="M27" s="242"/>
      <c r="N27" s="242"/>
      <c r="O27" s="242"/>
      <c r="P27" s="242"/>
      <c r="Q27" s="372">
        <f t="shared" si="13"/>
        <v>91</v>
      </c>
      <c r="R27" s="345">
        <f t="shared" si="14"/>
        <v>11.375</v>
      </c>
      <c r="S27" s="279">
        <f t="shared" si="15"/>
        <v>0</v>
      </c>
      <c r="T27" s="236">
        <f t="shared" si="16"/>
        <v>0</v>
      </c>
      <c r="U27" s="236">
        <v>2017</v>
      </c>
      <c r="V27" s="234" t="s">
        <v>31</v>
      </c>
      <c r="AA27" s="346"/>
      <c r="AB27" s="346"/>
      <c r="AC27" s="304"/>
      <c r="AD27" s="346"/>
    </row>
    <row r="28" spans="1:31" x14ac:dyDescent="0.2">
      <c r="A28" s="234">
        <v>97511</v>
      </c>
      <c r="B28" s="234">
        <v>2017</v>
      </c>
      <c r="C28" s="234" t="s">
        <v>25</v>
      </c>
      <c r="D28" s="236">
        <v>329</v>
      </c>
      <c r="E28" s="246">
        <v>0</v>
      </c>
      <c r="F28" s="246">
        <v>5</v>
      </c>
      <c r="G28" s="246">
        <v>0</v>
      </c>
      <c r="H28" s="246">
        <v>0</v>
      </c>
      <c r="I28" s="246">
        <v>0</v>
      </c>
      <c r="J28" s="246">
        <v>0</v>
      </c>
      <c r="K28" s="246">
        <v>0</v>
      </c>
      <c r="L28" s="246">
        <v>0</v>
      </c>
      <c r="M28" s="246">
        <v>0</v>
      </c>
      <c r="N28" s="246">
        <v>0</v>
      </c>
      <c r="O28" s="246">
        <v>0</v>
      </c>
      <c r="P28" s="246">
        <v>0</v>
      </c>
      <c r="Q28" s="372">
        <f t="shared" si="13"/>
        <v>5</v>
      </c>
      <c r="R28" s="345">
        <f t="shared" si="14"/>
        <v>0.41666666666666669</v>
      </c>
      <c r="S28" s="279">
        <f t="shared" si="15"/>
        <v>777.59999999999991</v>
      </c>
      <c r="T28" s="236">
        <f>SUM(D28-Q28)</f>
        <v>324</v>
      </c>
      <c r="U28" s="236">
        <v>2017</v>
      </c>
      <c r="V28" s="234" t="s">
        <v>25</v>
      </c>
      <c r="AA28" s="346"/>
      <c r="AB28" s="346"/>
      <c r="AC28" s="304"/>
      <c r="AD28" s="346"/>
    </row>
    <row r="29" spans="1:31" ht="15.75" x14ac:dyDescent="0.25">
      <c r="A29" s="234">
        <v>101638</v>
      </c>
      <c r="B29" s="234">
        <v>2017</v>
      </c>
      <c r="C29" s="234" t="s">
        <v>26</v>
      </c>
      <c r="D29" s="236">
        <v>308</v>
      </c>
      <c r="E29" s="246">
        <v>0</v>
      </c>
      <c r="F29" s="246">
        <v>0</v>
      </c>
      <c r="G29" s="246">
        <v>0</v>
      </c>
      <c r="H29" s="246">
        <v>1</v>
      </c>
      <c r="I29" s="246">
        <v>0</v>
      </c>
      <c r="J29" s="246">
        <v>0</v>
      </c>
      <c r="K29" s="246">
        <v>0</v>
      </c>
      <c r="L29" s="246">
        <v>0</v>
      </c>
      <c r="M29" s="246">
        <v>0</v>
      </c>
      <c r="N29" s="246">
        <v>56</v>
      </c>
      <c r="O29" s="246">
        <v>0</v>
      </c>
      <c r="P29" s="246">
        <v>0</v>
      </c>
      <c r="Q29" s="372">
        <f t="shared" si="13"/>
        <v>57</v>
      </c>
      <c r="R29" s="345">
        <f t="shared" si="14"/>
        <v>4.75</v>
      </c>
      <c r="S29" s="279">
        <f t="shared" si="15"/>
        <v>52.842105263157897</v>
      </c>
      <c r="T29" s="236">
        <f t="shared" si="16"/>
        <v>251</v>
      </c>
      <c r="U29" s="236">
        <v>2017</v>
      </c>
      <c r="V29" s="234" t="s">
        <v>26</v>
      </c>
      <c r="AA29" s="455" t="s">
        <v>173</v>
      </c>
      <c r="AB29" s="455"/>
      <c r="AC29" s="455"/>
      <c r="AD29" s="455"/>
      <c r="AE29" s="455"/>
    </row>
    <row r="30" spans="1:31" x14ac:dyDescent="0.2">
      <c r="A30" s="234">
        <v>100465</v>
      </c>
      <c r="B30" s="234">
        <v>2017</v>
      </c>
      <c r="C30" s="234" t="s">
        <v>135</v>
      </c>
      <c r="D30" s="236">
        <v>323</v>
      </c>
      <c r="E30" s="246">
        <v>0</v>
      </c>
      <c r="F30" s="246">
        <v>0</v>
      </c>
      <c r="G30" s="246">
        <v>2</v>
      </c>
      <c r="H30" s="246">
        <v>1</v>
      </c>
      <c r="I30" s="246">
        <v>0</v>
      </c>
      <c r="J30" s="246">
        <v>0</v>
      </c>
      <c r="K30" s="246">
        <v>0</v>
      </c>
      <c r="L30" s="246">
        <v>0</v>
      </c>
      <c r="M30" s="246">
        <v>0</v>
      </c>
      <c r="N30" s="246">
        <v>0</v>
      </c>
      <c r="O30" s="246">
        <v>0</v>
      </c>
      <c r="P30" s="246">
        <f>15-6</f>
        <v>9</v>
      </c>
      <c r="Q30" s="372">
        <f t="shared" si="13"/>
        <v>12</v>
      </c>
      <c r="R30" s="345">
        <f t="shared" si="14"/>
        <v>1</v>
      </c>
      <c r="S30" s="279">
        <v>29</v>
      </c>
      <c r="T30" s="236">
        <f t="shared" si="16"/>
        <v>311</v>
      </c>
      <c r="U30" s="236">
        <v>2017</v>
      </c>
      <c r="V30" s="234" t="s">
        <v>135</v>
      </c>
      <c r="AA30" s="331">
        <v>43746</v>
      </c>
      <c r="AB30" s="332">
        <v>2019</v>
      </c>
      <c r="AC30" s="333" t="s">
        <v>198</v>
      </c>
      <c r="AD30" s="334">
        <v>210</v>
      </c>
      <c r="AE30" s="347" t="s">
        <v>104</v>
      </c>
    </row>
    <row r="31" spans="1:31" x14ac:dyDescent="0.2">
      <c r="A31" s="234">
        <v>102768</v>
      </c>
      <c r="B31" s="234">
        <v>2017</v>
      </c>
      <c r="C31" s="234" t="s">
        <v>131</v>
      </c>
      <c r="D31" s="236">
        <v>249</v>
      </c>
      <c r="E31" s="246">
        <v>0</v>
      </c>
      <c r="F31" s="246">
        <v>26</v>
      </c>
      <c r="G31" s="246">
        <v>25</v>
      </c>
      <c r="H31" s="246">
        <v>30</v>
      </c>
      <c r="I31" s="246">
        <v>1</v>
      </c>
      <c r="J31" s="246">
        <v>14</v>
      </c>
      <c r="K31" s="246">
        <v>6</v>
      </c>
      <c r="L31" s="246">
        <v>6</v>
      </c>
      <c r="M31" s="246">
        <f>141-128</f>
        <v>13</v>
      </c>
      <c r="N31" s="246">
        <v>31</v>
      </c>
      <c r="O31" s="246">
        <v>10</v>
      </c>
      <c r="P31" s="246">
        <f>87-76-4</f>
        <v>7</v>
      </c>
      <c r="Q31" s="372">
        <f t="shared" si="13"/>
        <v>169</v>
      </c>
      <c r="R31" s="345">
        <f t="shared" si="14"/>
        <v>14.083333333333334</v>
      </c>
      <c r="S31" s="279">
        <v>1</v>
      </c>
      <c r="T31" s="236">
        <f t="shared" si="16"/>
        <v>80</v>
      </c>
      <c r="U31" s="236">
        <v>2017</v>
      </c>
      <c r="V31" s="234" t="s">
        <v>131</v>
      </c>
      <c r="AA31" s="331">
        <v>43746</v>
      </c>
      <c r="AB31" s="332">
        <v>2019</v>
      </c>
      <c r="AC31" s="333" t="s">
        <v>199</v>
      </c>
      <c r="AD31" s="334">
        <v>990</v>
      </c>
      <c r="AE31" s="347" t="s">
        <v>104</v>
      </c>
    </row>
    <row r="32" spans="1:31" x14ac:dyDescent="0.2">
      <c r="A32" s="234">
        <v>100463</v>
      </c>
      <c r="B32" s="234">
        <v>2017</v>
      </c>
      <c r="C32" s="234" t="s">
        <v>136</v>
      </c>
      <c r="D32" s="236">
        <v>408</v>
      </c>
      <c r="E32" s="246">
        <v>0</v>
      </c>
      <c r="F32" s="246">
        <v>4</v>
      </c>
      <c r="G32" s="246">
        <v>0</v>
      </c>
      <c r="H32" s="246">
        <v>2</v>
      </c>
      <c r="I32" s="246">
        <f>402-391</f>
        <v>11</v>
      </c>
      <c r="J32" s="246">
        <v>7</v>
      </c>
      <c r="K32" s="246">
        <v>4</v>
      </c>
      <c r="L32" s="246">
        <v>13</v>
      </c>
      <c r="M32" s="246">
        <v>50</v>
      </c>
      <c r="N32" s="246">
        <v>42</v>
      </c>
      <c r="O32" s="246">
        <f>275-252</f>
        <v>23</v>
      </c>
      <c r="P32" s="246">
        <f>252-214-6</f>
        <v>32</v>
      </c>
      <c r="Q32" s="372">
        <f t="shared" si="13"/>
        <v>188</v>
      </c>
      <c r="R32" s="345">
        <f t="shared" si="14"/>
        <v>15.666666666666666</v>
      </c>
      <c r="S32" s="279">
        <f t="shared" si="15"/>
        <v>14.042553191489363</v>
      </c>
      <c r="T32" s="236">
        <f t="shared" si="16"/>
        <v>220</v>
      </c>
      <c r="U32" s="236">
        <v>2017</v>
      </c>
      <c r="V32" s="234" t="s">
        <v>136</v>
      </c>
      <c r="AA32" s="331">
        <v>43746</v>
      </c>
      <c r="AB32" s="332">
        <v>2019</v>
      </c>
      <c r="AC32" s="333" t="s">
        <v>200</v>
      </c>
      <c r="AD32" s="334">
        <v>570</v>
      </c>
      <c r="AE32" s="347" t="s">
        <v>104</v>
      </c>
    </row>
    <row r="33" spans="1:31" x14ac:dyDescent="0.2">
      <c r="A33" s="234">
        <v>101639</v>
      </c>
      <c r="B33" s="234">
        <v>2017</v>
      </c>
      <c r="C33" s="234" t="s">
        <v>120</v>
      </c>
      <c r="D33" s="236">
        <v>349</v>
      </c>
      <c r="E33" s="246">
        <v>0</v>
      </c>
      <c r="F33" s="246">
        <v>0</v>
      </c>
      <c r="G33" s="246">
        <v>0</v>
      </c>
      <c r="H33" s="246">
        <v>0</v>
      </c>
      <c r="I33" s="246">
        <v>0</v>
      </c>
      <c r="J33" s="246">
        <v>0</v>
      </c>
      <c r="K33" s="246">
        <v>0</v>
      </c>
      <c r="L33" s="246">
        <v>0</v>
      </c>
      <c r="M33" s="246">
        <v>0</v>
      </c>
      <c r="N33" s="246">
        <v>1</v>
      </c>
      <c r="O33" s="246">
        <v>0</v>
      </c>
      <c r="P33" s="246">
        <v>0</v>
      </c>
      <c r="Q33" s="372">
        <f t="shared" si="13"/>
        <v>1</v>
      </c>
      <c r="R33" s="345">
        <f t="shared" si="14"/>
        <v>8.3333333333333329E-2</v>
      </c>
      <c r="S33" s="279">
        <f t="shared" si="15"/>
        <v>4176</v>
      </c>
      <c r="T33" s="236">
        <f t="shared" si="16"/>
        <v>348</v>
      </c>
      <c r="U33" s="236">
        <v>2017</v>
      </c>
      <c r="V33" s="234" t="str">
        <f>+C33</f>
        <v>Norton</v>
      </c>
      <c r="AA33" s="331">
        <v>43746</v>
      </c>
      <c r="AB33" s="332">
        <v>2019</v>
      </c>
      <c r="AC33" s="333" t="s">
        <v>201</v>
      </c>
      <c r="AD33" s="334">
        <v>660</v>
      </c>
      <c r="AE33" s="347" t="s">
        <v>104</v>
      </c>
    </row>
    <row r="34" spans="1:31" x14ac:dyDescent="0.2">
      <c r="A34" s="226"/>
      <c r="B34" s="269" t="s">
        <v>35</v>
      </c>
      <c r="C34" s="269"/>
      <c r="D34" s="272"/>
      <c r="E34" s="272"/>
      <c r="F34" s="272"/>
      <c r="G34" s="272"/>
      <c r="H34" s="272"/>
      <c r="I34" s="272"/>
      <c r="J34" s="272"/>
      <c r="K34" s="272"/>
      <c r="L34" s="272"/>
      <c r="M34" s="272"/>
      <c r="N34" s="272"/>
      <c r="O34" s="272"/>
      <c r="P34" s="272"/>
      <c r="Q34" s="376"/>
      <c r="R34" s="283"/>
      <c r="S34" s="284">
        <v>0</v>
      </c>
      <c r="T34" s="271"/>
      <c r="U34" s="272"/>
      <c r="V34" s="269"/>
      <c r="AA34" s="331">
        <v>43746</v>
      </c>
      <c r="AB34" s="332">
        <v>2019</v>
      </c>
      <c r="AC34" s="333" t="s">
        <v>202</v>
      </c>
      <c r="AD34" s="334">
        <v>330</v>
      </c>
      <c r="AE34" s="347" t="s">
        <v>104</v>
      </c>
    </row>
    <row r="35" spans="1:31" x14ac:dyDescent="0.2">
      <c r="A35" s="234">
        <v>101638</v>
      </c>
      <c r="B35" s="237" t="s">
        <v>133</v>
      </c>
      <c r="C35" s="234" t="s">
        <v>217</v>
      </c>
      <c r="D35" s="236">
        <v>132</v>
      </c>
      <c r="E35" s="236"/>
      <c r="F35" s="236"/>
      <c r="G35" s="236"/>
      <c r="H35" s="236"/>
      <c r="I35" s="236"/>
      <c r="J35" s="236"/>
      <c r="K35" s="236"/>
      <c r="L35" s="236"/>
      <c r="M35" s="236"/>
      <c r="N35" s="236">
        <v>5</v>
      </c>
      <c r="O35" s="236">
        <f>127-112</f>
        <v>15</v>
      </c>
      <c r="P35" s="236">
        <f>112-87</f>
        <v>25</v>
      </c>
      <c r="Q35" s="372">
        <f t="shared" ref="Q35" si="17">SUM(E35:P35)</f>
        <v>45</v>
      </c>
      <c r="R35" s="345">
        <f t="shared" ref="R35" si="18">IFERROR((AVERAGE(E35:P35)),0)</f>
        <v>15</v>
      </c>
      <c r="S35" s="279">
        <f t="shared" ref="S35" si="19">IFERROR((T35/R35),0)</f>
        <v>5.8</v>
      </c>
      <c r="T35" s="236">
        <f t="shared" ref="T35" si="20">SUM(D35-Q35)</f>
        <v>87</v>
      </c>
      <c r="U35" s="236" t="s">
        <v>133</v>
      </c>
      <c r="V35" s="234" t="s">
        <v>134</v>
      </c>
      <c r="AA35" s="331">
        <v>43746</v>
      </c>
      <c r="AB35" s="332">
        <v>2019</v>
      </c>
      <c r="AC35" s="333" t="s">
        <v>203</v>
      </c>
      <c r="AD35" s="334">
        <v>660</v>
      </c>
      <c r="AE35" s="347" t="s">
        <v>104</v>
      </c>
    </row>
    <row r="36" spans="1:31" x14ac:dyDescent="0.2">
      <c r="A36" s="234">
        <v>100464</v>
      </c>
      <c r="B36" s="237">
        <v>2018</v>
      </c>
      <c r="C36" s="234" t="s">
        <v>110</v>
      </c>
      <c r="D36" s="236">
        <v>618</v>
      </c>
      <c r="E36" s="337" t="s">
        <v>35</v>
      </c>
      <c r="F36" s="337">
        <v>56</v>
      </c>
      <c r="G36" s="337">
        <v>0</v>
      </c>
      <c r="H36" s="337">
        <v>0</v>
      </c>
      <c r="I36" s="337">
        <f>562-549</f>
        <v>13</v>
      </c>
      <c r="J36" s="337">
        <v>68</v>
      </c>
      <c r="K36" s="337">
        <v>48</v>
      </c>
      <c r="L36" s="337">
        <v>47</v>
      </c>
      <c r="M36" s="337">
        <f>386-337</f>
        <v>49</v>
      </c>
      <c r="N36" s="337">
        <v>39</v>
      </c>
      <c r="O36" s="337">
        <v>18</v>
      </c>
      <c r="P36" s="337">
        <f>280-263-10</f>
        <v>7</v>
      </c>
      <c r="Q36" s="372">
        <f t="shared" ref="Q36:Q44" si="21">SUM(E36:P36)</f>
        <v>345</v>
      </c>
      <c r="R36" s="345">
        <f t="shared" ref="R36:R46" si="22">IFERROR((AVERAGE(E36:P36)),0)</f>
        <v>31.363636363636363</v>
      </c>
      <c r="S36" s="279">
        <f t="shared" ref="S36:S42" si="23">IFERROR((T36/R36),0)</f>
        <v>8.7043478260869573</v>
      </c>
      <c r="T36" s="236">
        <f t="shared" ref="T36:T39" si="24">SUM(D36-Q36)</f>
        <v>273</v>
      </c>
      <c r="U36" s="236">
        <f t="shared" ref="U36:U46" si="25">+B36</f>
        <v>2018</v>
      </c>
      <c r="V36" s="234" t="str">
        <f t="shared" ref="V36:V46" si="26">+C36</f>
        <v>Rose</v>
      </c>
      <c r="AA36" s="331">
        <v>43746</v>
      </c>
      <c r="AB36" s="332">
        <v>2019</v>
      </c>
      <c r="AC36" s="333" t="s">
        <v>204</v>
      </c>
      <c r="AD36" s="334">
        <v>660</v>
      </c>
      <c r="AE36" s="347" t="s">
        <v>104</v>
      </c>
    </row>
    <row r="37" spans="1:31" x14ac:dyDescent="0.2">
      <c r="A37" s="234">
        <v>97509</v>
      </c>
      <c r="B37" s="237">
        <v>2018</v>
      </c>
      <c r="C37" s="234" t="s">
        <v>107</v>
      </c>
      <c r="D37" s="236">
        <v>282</v>
      </c>
      <c r="E37" s="337"/>
      <c r="F37" s="337" t="s">
        <v>35</v>
      </c>
      <c r="G37" s="337">
        <v>0</v>
      </c>
      <c r="H37" s="337">
        <v>11</v>
      </c>
      <c r="I37" s="337">
        <v>0</v>
      </c>
      <c r="J37" s="337">
        <v>1</v>
      </c>
      <c r="K37" s="337">
        <v>1</v>
      </c>
      <c r="L37" s="337">
        <v>0</v>
      </c>
      <c r="M37" s="337">
        <v>1</v>
      </c>
      <c r="N37" s="337">
        <v>2</v>
      </c>
      <c r="O37" s="337">
        <v>0</v>
      </c>
      <c r="P37" s="337">
        <v>0</v>
      </c>
      <c r="Q37" s="372">
        <f t="shared" si="21"/>
        <v>16</v>
      </c>
      <c r="R37" s="345">
        <f t="shared" si="22"/>
        <v>1.6</v>
      </c>
      <c r="S37" s="279">
        <f t="shared" si="23"/>
        <v>166.25</v>
      </c>
      <c r="T37" s="236">
        <f t="shared" si="24"/>
        <v>266</v>
      </c>
      <c r="U37" s="236">
        <f t="shared" si="25"/>
        <v>2018</v>
      </c>
      <c r="V37" s="367" t="str">
        <f t="shared" si="26"/>
        <v>Traminette</v>
      </c>
      <c r="AA37" s="331">
        <v>43746</v>
      </c>
      <c r="AB37" s="332">
        <v>2019</v>
      </c>
      <c r="AC37" s="333" t="s">
        <v>205</v>
      </c>
      <c r="AD37" s="334">
        <v>275</v>
      </c>
      <c r="AE37" s="347" t="s">
        <v>104</v>
      </c>
    </row>
    <row r="38" spans="1:31" x14ac:dyDescent="0.2">
      <c r="A38" s="234">
        <v>101636</v>
      </c>
      <c r="B38" s="237">
        <v>2018</v>
      </c>
      <c r="C38" s="234" t="s">
        <v>31</v>
      </c>
      <c r="D38" s="236">
        <v>352</v>
      </c>
      <c r="E38" s="337"/>
      <c r="F38" s="337"/>
      <c r="G38" s="337"/>
      <c r="H38" s="337"/>
      <c r="I38" s="337"/>
      <c r="J38" s="337">
        <v>0</v>
      </c>
      <c r="K38" s="337">
        <v>3</v>
      </c>
      <c r="L38" s="337">
        <v>21</v>
      </c>
      <c r="M38" s="337">
        <f>328-297</f>
        <v>31</v>
      </c>
      <c r="N38" s="337">
        <v>23</v>
      </c>
      <c r="O38" s="337">
        <v>9</v>
      </c>
      <c r="P38" s="337">
        <f>10-9</f>
        <v>1</v>
      </c>
      <c r="Q38" s="372">
        <f t="shared" si="21"/>
        <v>88</v>
      </c>
      <c r="R38" s="345">
        <f t="shared" si="22"/>
        <v>12.571428571428571</v>
      </c>
      <c r="S38" s="279">
        <f t="shared" si="23"/>
        <v>21</v>
      </c>
      <c r="T38" s="236">
        <f t="shared" si="24"/>
        <v>264</v>
      </c>
      <c r="U38" s="236">
        <f t="shared" si="25"/>
        <v>2018</v>
      </c>
      <c r="V38" s="367" t="str">
        <f t="shared" si="26"/>
        <v>Viognier</v>
      </c>
      <c r="AA38" s="331">
        <v>43767</v>
      </c>
      <c r="AB38" s="332">
        <v>2019</v>
      </c>
      <c r="AC38" s="333" t="s">
        <v>206</v>
      </c>
      <c r="AD38" s="334">
        <v>330</v>
      </c>
      <c r="AE38" s="347" t="s">
        <v>104</v>
      </c>
    </row>
    <row r="39" spans="1:31" x14ac:dyDescent="0.2">
      <c r="A39" s="234">
        <v>97511</v>
      </c>
      <c r="B39" s="237">
        <v>2018</v>
      </c>
      <c r="C39" s="234" t="s">
        <v>25</v>
      </c>
      <c r="D39" s="236">
        <v>362</v>
      </c>
      <c r="E39" s="337"/>
      <c r="F39" s="337"/>
      <c r="G39" s="337"/>
      <c r="H39" s="337"/>
      <c r="I39" s="337"/>
      <c r="J39" s="337"/>
      <c r="K39" s="337">
        <v>0</v>
      </c>
      <c r="L39" s="337">
        <v>1</v>
      </c>
      <c r="M39" s="337">
        <f>361-359</f>
        <v>2</v>
      </c>
      <c r="N39" s="337">
        <v>0</v>
      </c>
      <c r="O39" s="337">
        <v>0</v>
      </c>
      <c r="P39" s="337">
        <f>359-334-2</f>
        <v>23</v>
      </c>
      <c r="Q39" s="372">
        <f t="shared" si="21"/>
        <v>26</v>
      </c>
      <c r="R39" s="345">
        <f t="shared" si="22"/>
        <v>4.333333333333333</v>
      </c>
      <c r="S39" s="279">
        <f t="shared" si="23"/>
        <v>77.538461538461547</v>
      </c>
      <c r="T39" s="236">
        <f t="shared" si="24"/>
        <v>336</v>
      </c>
      <c r="U39" s="236">
        <f t="shared" si="25"/>
        <v>2018</v>
      </c>
      <c r="V39" s="367" t="str">
        <f t="shared" si="26"/>
        <v>Chardonnay</v>
      </c>
      <c r="AA39" s="331">
        <v>76639</v>
      </c>
      <c r="AB39" s="332">
        <v>2019</v>
      </c>
      <c r="AC39" s="333" t="s">
        <v>207</v>
      </c>
      <c r="AD39" s="334">
        <v>330</v>
      </c>
      <c r="AE39" s="347" t="s">
        <v>104</v>
      </c>
    </row>
    <row r="40" spans="1:31" x14ac:dyDescent="0.2">
      <c r="A40" s="234">
        <v>137525</v>
      </c>
      <c r="B40" s="237">
        <v>2018</v>
      </c>
      <c r="C40" s="234" t="s">
        <v>192</v>
      </c>
      <c r="D40" s="236">
        <v>446</v>
      </c>
      <c r="E40" s="337"/>
      <c r="F40" s="337"/>
      <c r="G40" s="337"/>
      <c r="H40" s="337">
        <v>12</v>
      </c>
      <c r="I40" s="337">
        <v>20</v>
      </c>
      <c r="J40" s="337">
        <v>54</v>
      </c>
      <c r="K40" s="337">
        <v>33</v>
      </c>
      <c r="L40" s="337">
        <v>30</v>
      </c>
      <c r="M40" s="337">
        <f>297-266</f>
        <v>31</v>
      </c>
      <c r="N40" s="337">
        <v>21</v>
      </c>
      <c r="O40" s="337">
        <v>10</v>
      </c>
      <c r="P40" s="337">
        <f>235-227-5</f>
        <v>3</v>
      </c>
      <c r="Q40" s="372">
        <f t="shared" si="21"/>
        <v>214</v>
      </c>
      <c r="R40" s="345">
        <f t="shared" si="22"/>
        <v>23.777777777777779</v>
      </c>
      <c r="S40" s="279">
        <f t="shared" si="23"/>
        <v>9.7570093457943923</v>
      </c>
      <c r="T40" s="236">
        <f>SUM(D40-Q40)</f>
        <v>232</v>
      </c>
      <c r="U40" s="236">
        <f t="shared" si="25"/>
        <v>2018</v>
      </c>
      <c r="V40" s="367" t="str">
        <f t="shared" si="26"/>
        <v>Celebration</v>
      </c>
      <c r="AA40" s="331">
        <v>76639</v>
      </c>
      <c r="AB40" s="332">
        <v>2019</v>
      </c>
      <c r="AC40" s="333" t="s">
        <v>208</v>
      </c>
      <c r="AD40" s="334">
        <v>330</v>
      </c>
      <c r="AE40" s="347" t="s">
        <v>104</v>
      </c>
    </row>
    <row r="41" spans="1:31" x14ac:dyDescent="0.2">
      <c r="A41" s="234">
        <v>101638</v>
      </c>
      <c r="B41" s="237">
        <v>2018</v>
      </c>
      <c r="C41" s="234" t="s">
        <v>26</v>
      </c>
      <c r="D41" s="236">
        <v>393</v>
      </c>
      <c r="E41" s="337"/>
      <c r="F41" s="337"/>
      <c r="G41" s="337"/>
      <c r="H41" s="337"/>
      <c r="I41" s="337"/>
      <c r="J41" s="337"/>
      <c r="K41" s="337"/>
      <c r="L41" s="337">
        <v>1</v>
      </c>
      <c r="M41" s="337">
        <f>392-168-224</f>
        <v>0</v>
      </c>
      <c r="N41" s="337">
        <v>0</v>
      </c>
      <c r="O41" s="337">
        <v>0</v>
      </c>
      <c r="P41" s="337">
        <f>392-388-2</f>
        <v>2</v>
      </c>
      <c r="Q41" s="372">
        <f t="shared" si="21"/>
        <v>3</v>
      </c>
      <c r="R41" s="345">
        <f t="shared" si="22"/>
        <v>0.6</v>
      </c>
      <c r="S41" s="279">
        <f t="shared" si="23"/>
        <v>650</v>
      </c>
      <c r="T41" s="236">
        <f t="shared" ref="T41:T46" si="27">SUM(D41-Q41)</f>
        <v>390</v>
      </c>
      <c r="U41" s="236">
        <f t="shared" si="25"/>
        <v>2018</v>
      </c>
      <c r="V41" s="367" t="str">
        <f t="shared" si="26"/>
        <v>Merlot</v>
      </c>
      <c r="AA41" s="331">
        <v>76639</v>
      </c>
      <c r="AB41" s="332">
        <v>2019</v>
      </c>
      <c r="AC41" s="333" t="s">
        <v>209</v>
      </c>
      <c r="AD41" s="334">
        <v>330</v>
      </c>
      <c r="AE41" s="347" t="s">
        <v>104</v>
      </c>
    </row>
    <row r="42" spans="1:31" x14ac:dyDescent="0.2">
      <c r="A42" s="234">
        <v>100465</v>
      </c>
      <c r="B42" s="237">
        <v>2018</v>
      </c>
      <c r="C42" s="234" t="s">
        <v>135</v>
      </c>
      <c r="D42" s="236"/>
      <c r="E42" s="337"/>
      <c r="F42" s="337"/>
      <c r="G42" s="337"/>
      <c r="H42" s="337"/>
      <c r="I42" s="337"/>
      <c r="J42" s="337"/>
      <c r="K42" s="337"/>
      <c r="L42" s="337"/>
      <c r="M42" s="337"/>
      <c r="N42" s="337"/>
      <c r="O42" s="337"/>
      <c r="P42" s="337"/>
      <c r="Q42" s="372">
        <f t="shared" si="21"/>
        <v>0</v>
      </c>
      <c r="R42" s="345">
        <f t="shared" si="22"/>
        <v>0</v>
      </c>
      <c r="S42" s="279">
        <f t="shared" si="23"/>
        <v>0</v>
      </c>
      <c r="T42" s="236">
        <f t="shared" si="27"/>
        <v>0</v>
      </c>
      <c r="U42" s="236">
        <f t="shared" si="25"/>
        <v>2018</v>
      </c>
      <c r="V42" s="367" t="str">
        <f t="shared" si="26"/>
        <v>Meritage</v>
      </c>
      <c r="AA42" s="331">
        <v>76639</v>
      </c>
      <c r="AB42" s="332">
        <v>2019</v>
      </c>
      <c r="AC42" s="333" t="s">
        <v>210</v>
      </c>
      <c r="AD42" s="334">
        <v>330</v>
      </c>
      <c r="AE42" s="347" t="s">
        <v>104</v>
      </c>
    </row>
    <row r="43" spans="1:31" x14ac:dyDescent="0.2">
      <c r="A43" s="234">
        <v>102768</v>
      </c>
      <c r="B43" s="237">
        <v>2018</v>
      </c>
      <c r="C43" s="234" t="s">
        <v>131</v>
      </c>
      <c r="D43" s="236"/>
      <c r="E43" s="337"/>
      <c r="F43" s="337"/>
      <c r="G43" s="337"/>
      <c r="H43" s="337"/>
      <c r="I43" s="337"/>
      <c r="J43" s="337"/>
      <c r="K43" s="337"/>
      <c r="L43" s="337"/>
      <c r="M43" s="337"/>
      <c r="N43" s="337"/>
      <c r="O43" s="337"/>
      <c r="P43" s="337"/>
      <c r="Q43" s="372">
        <f t="shared" si="21"/>
        <v>0</v>
      </c>
      <c r="R43" s="345">
        <f t="shared" si="22"/>
        <v>0</v>
      </c>
      <c r="S43" s="279" t="s">
        <v>35</v>
      </c>
      <c r="T43" s="236">
        <f t="shared" si="27"/>
        <v>0</v>
      </c>
      <c r="U43" s="236">
        <f t="shared" si="25"/>
        <v>2018</v>
      </c>
      <c r="V43" s="367" t="str">
        <f t="shared" si="26"/>
        <v>Tannat</v>
      </c>
      <c r="AA43" s="331">
        <v>43769</v>
      </c>
      <c r="AB43" s="332">
        <v>2018</v>
      </c>
      <c r="AC43" s="333" t="s">
        <v>214</v>
      </c>
      <c r="AD43" s="334">
        <v>280</v>
      </c>
      <c r="AE43" s="347" t="s">
        <v>104</v>
      </c>
    </row>
    <row r="44" spans="1:31" x14ac:dyDescent="0.2">
      <c r="A44" s="234">
        <v>100643</v>
      </c>
      <c r="B44" s="237">
        <v>2018</v>
      </c>
      <c r="C44" s="234" t="s">
        <v>136</v>
      </c>
      <c r="D44" s="236"/>
      <c r="E44" s="337"/>
      <c r="F44" s="337"/>
      <c r="G44" s="337"/>
      <c r="H44" s="337"/>
      <c r="I44" s="337"/>
      <c r="J44" s="337"/>
      <c r="K44" s="337"/>
      <c r="L44" s="337"/>
      <c r="M44" s="337"/>
      <c r="N44" s="337"/>
      <c r="O44" s="337"/>
      <c r="P44" s="337"/>
      <c r="Q44" s="372">
        <f t="shared" si="21"/>
        <v>0</v>
      </c>
      <c r="R44" s="345">
        <f t="shared" si="22"/>
        <v>0</v>
      </c>
      <c r="S44" s="279">
        <f t="shared" ref="S44:S46" si="28">IFERROR((T44/R44),0)</f>
        <v>0</v>
      </c>
      <c r="T44" s="236">
        <f t="shared" si="27"/>
        <v>0</v>
      </c>
      <c r="U44" s="236">
        <f t="shared" si="25"/>
        <v>2018</v>
      </c>
      <c r="V44" s="367" t="str">
        <f t="shared" si="26"/>
        <v>Kings Ransom</v>
      </c>
      <c r="AA44" s="331">
        <v>43769</v>
      </c>
      <c r="AB44" s="332">
        <v>2018</v>
      </c>
      <c r="AC44" s="333" t="s">
        <v>213</v>
      </c>
      <c r="AD44" s="334">
        <v>60</v>
      </c>
      <c r="AE44" s="347" t="s">
        <v>104</v>
      </c>
    </row>
    <row r="45" spans="1:31" x14ac:dyDescent="0.2">
      <c r="A45" s="234">
        <v>101639</v>
      </c>
      <c r="B45" s="236">
        <v>2018</v>
      </c>
      <c r="C45" s="234" t="s">
        <v>120</v>
      </c>
      <c r="D45" s="236"/>
      <c r="E45" s="337"/>
      <c r="F45" s="337"/>
      <c r="G45" s="337"/>
      <c r="H45" s="337"/>
      <c r="I45" s="337"/>
      <c r="J45" s="337"/>
      <c r="K45" s="337"/>
      <c r="L45" s="337"/>
      <c r="M45" s="337"/>
      <c r="N45" s="337"/>
      <c r="O45" s="337"/>
      <c r="P45" s="337"/>
      <c r="Q45" s="372">
        <f t="shared" ref="Q45:Q46" si="29">SUM(E45:P45)</f>
        <v>0</v>
      </c>
      <c r="R45" s="244">
        <f t="shared" si="22"/>
        <v>0</v>
      </c>
      <c r="S45" s="236">
        <f t="shared" si="28"/>
        <v>0</v>
      </c>
      <c r="T45" s="236">
        <f t="shared" si="27"/>
        <v>0</v>
      </c>
      <c r="U45" s="236">
        <f t="shared" si="25"/>
        <v>2018</v>
      </c>
      <c r="V45" s="367" t="str">
        <f t="shared" si="26"/>
        <v>Norton</v>
      </c>
      <c r="AA45" s="331">
        <v>43769</v>
      </c>
      <c r="AB45" s="332">
        <v>2019</v>
      </c>
      <c r="AC45" s="333" t="s">
        <v>212</v>
      </c>
      <c r="AD45" s="334">
        <v>140</v>
      </c>
      <c r="AE45" s="347" t="s">
        <v>104</v>
      </c>
    </row>
    <row r="46" spans="1:31" ht="15.75" x14ac:dyDescent="0.25">
      <c r="A46" s="234">
        <v>116509</v>
      </c>
      <c r="B46" s="236">
        <v>2018</v>
      </c>
      <c r="C46" s="234" t="s">
        <v>150</v>
      </c>
      <c r="D46" s="236">
        <v>145</v>
      </c>
      <c r="E46" s="348"/>
      <c r="F46" s="337"/>
      <c r="G46" s="337"/>
      <c r="H46" s="337"/>
      <c r="I46" s="337"/>
      <c r="J46" s="337"/>
      <c r="K46" s="337"/>
      <c r="L46" s="337"/>
      <c r="M46" s="337"/>
      <c r="N46" s="337"/>
      <c r="O46" s="337"/>
      <c r="P46" s="337">
        <v>0</v>
      </c>
      <c r="Q46" s="372">
        <f t="shared" si="29"/>
        <v>0</v>
      </c>
      <c r="R46" s="244">
        <f t="shared" si="22"/>
        <v>0</v>
      </c>
      <c r="S46" s="236">
        <f t="shared" si="28"/>
        <v>0</v>
      </c>
      <c r="T46" s="236">
        <f t="shared" si="27"/>
        <v>145</v>
      </c>
      <c r="U46" s="236">
        <f t="shared" si="25"/>
        <v>2018</v>
      </c>
      <c r="V46" s="234" t="str">
        <f t="shared" si="26"/>
        <v>Snort</v>
      </c>
      <c r="AA46" s="331">
        <v>43790</v>
      </c>
      <c r="AB46" s="332">
        <v>2018</v>
      </c>
      <c r="AC46" s="333" t="s">
        <v>211</v>
      </c>
      <c r="AD46" s="334">
        <v>105</v>
      </c>
      <c r="AE46" s="347" t="s">
        <v>104</v>
      </c>
    </row>
    <row r="47" spans="1:31" x14ac:dyDescent="0.2">
      <c r="A47" s="226"/>
      <c r="B47" s="269"/>
      <c r="C47" s="269"/>
      <c r="D47" s="271"/>
      <c r="E47" s="271"/>
      <c r="F47" s="271"/>
      <c r="G47" s="271"/>
      <c r="H47" s="271"/>
      <c r="I47" s="271"/>
      <c r="J47" s="271"/>
      <c r="K47" s="271"/>
      <c r="L47" s="271"/>
      <c r="M47" s="271"/>
      <c r="N47" s="271"/>
      <c r="O47" s="271"/>
      <c r="P47" s="271"/>
      <c r="Q47" s="281"/>
      <c r="R47" s="283"/>
      <c r="S47" s="284"/>
      <c r="T47" s="271"/>
      <c r="U47" s="271"/>
      <c r="V47" s="282"/>
      <c r="AA47" s="331">
        <v>43790</v>
      </c>
      <c r="AB47" s="332">
        <v>2019</v>
      </c>
      <c r="AC47" s="333" t="s">
        <v>215</v>
      </c>
      <c r="AD47" s="334">
        <v>120</v>
      </c>
      <c r="AE47" s="347" t="s">
        <v>104</v>
      </c>
    </row>
    <row r="48" spans="1:31" x14ac:dyDescent="0.2">
      <c r="A48" s="234">
        <v>101638</v>
      </c>
      <c r="B48" s="237" t="s">
        <v>133</v>
      </c>
      <c r="C48" s="234" t="s">
        <v>217</v>
      </c>
      <c r="D48" s="236">
        <v>0</v>
      </c>
      <c r="E48" s="236"/>
      <c r="F48" s="236"/>
      <c r="G48" s="236"/>
      <c r="H48" s="236"/>
      <c r="I48" s="236"/>
      <c r="J48" s="236"/>
      <c r="K48" s="236"/>
      <c r="L48" s="236"/>
      <c r="M48" s="236"/>
      <c r="N48" s="236" t="s">
        <v>35</v>
      </c>
      <c r="O48" s="236" t="s">
        <v>35</v>
      </c>
      <c r="P48" s="236" t="s">
        <v>35</v>
      </c>
      <c r="Q48" s="372">
        <f t="shared" ref="Q48:Q57" si="30">SUM(E48:P48)</f>
        <v>0</v>
      </c>
      <c r="R48" s="345">
        <f t="shared" ref="R48:R58" si="31">IFERROR((AVERAGE(E48:P48)),0)</f>
        <v>0</v>
      </c>
      <c r="S48" s="279">
        <f t="shared" ref="S48:S56" si="32">IFERROR((T48/R48),0)</f>
        <v>0</v>
      </c>
      <c r="T48" s="236">
        <f t="shared" ref="T48:T52" si="33">SUM(D48-Q48)</f>
        <v>0</v>
      </c>
      <c r="U48" s="236" t="s">
        <v>133</v>
      </c>
      <c r="V48" s="234" t="s">
        <v>134</v>
      </c>
      <c r="AA48" s="331"/>
      <c r="AB48" s="332"/>
      <c r="AC48" s="333"/>
      <c r="AD48" s="334"/>
      <c r="AE48" s="347"/>
    </row>
    <row r="49" spans="1:31" x14ac:dyDescent="0.2">
      <c r="A49" s="234" t="s">
        <v>35</v>
      </c>
      <c r="B49" s="237">
        <v>2019</v>
      </c>
      <c r="C49" s="234" t="s">
        <v>218</v>
      </c>
      <c r="D49" s="236">
        <v>0</v>
      </c>
      <c r="E49" s="337" t="s">
        <v>35</v>
      </c>
      <c r="F49" s="337" t="s">
        <v>35</v>
      </c>
      <c r="G49" s="337" t="s">
        <v>35</v>
      </c>
      <c r="H49" s="337" t="s">
        <v>35</v>
      </c>
      <c r="I49" s="337" t="s">
        <v>35</v>
      </c>
      <c r="J49" s="337" t="s">
        <v>35</v>
      </c>
      <c r="K49" s="337" t="s">
        <v>35</v>
      </c>
      <c r="L49" s="337" t="s">
        <v>35</v>
      </c>
      <c r="M49" s="337" t="s">
        <v>35</v>
      </c>
      <c r="N49" s="337" t="s">
        <v>35</v>
      </c>
      <c r="O49" s="337" t="s">
        <v>35</v>
      </c>
      <c r="P49" s="337"/>
      <c r="Q49" s="372">
        <f>SUM(E49:P49)</f>
        <v>0</v>
      </c>
      <c r="R49" s="345">
        <f t="shared" si="31"/>
        <v>0</v>
      </c>
      <c r="S49" s="279">
        <f t="shared" si="32"/>
        <v>0</v>
      </c>
      <c r="T49" s="236">
        <f t="shared" si="33"/>
        <v>0</v>
      </c>
      <c r="U49" s="236">
        <f t="shared" ref="U49:U59" si="34">+B49</f>
        <v>2019</v>
      </c>
      <c r="V49" s="234" t="str">
        <f t="shared" ref="V49:V59" si="35">+C49</f>
        <v>Cameo Rose</v>
      </c>
      <c r="AA49" s="331"/>
      <c r="AB49" s="332"/>
      <c r="AC49" s="333"/>
      <c r="AD49" s="334"/>
      <c r="AE49" s="347"/>
    </row>
    <row r="50" spans="1:31" x14ac:dyDescent="0.2">
      <c r="A50" s="234">
        <v>97509</v>
      </c>
      <c r="B50" s="237">
        <v>2019</v>
      </c>
      <c r="C50" s="234" t="s">
        <v>107</v>
      </c>
      <c r="D50" s="236">
        <v>0</v>
      </c>
      <c r="E50" s="337"/>
      <c r="F50" s="337" t="s">
        <v>35</v>
      </c>
      <c r="G50" s="337" t="s">
        <v>35</v>
      </c>
      <c r="H50" s="337" t="s">
        <v>35</v>
      </c>
      <c r="I50" s="337" t="s">
        <v>35</v>
      </c>
      <c r="J50" s="337" t="s">
        <v>35</v>
      </c>
      <c r="K50" s="337" t="s">
        <v>35</v>
      </c>
      <c r="L50" s="337" t="s">
        <v>35</v>
      </c>
      <c r="M50" s="337" t="s">
        <v>35</v>
      </c>
      <c r="N50" s="337" t="s">
        <v>35</v>
      </c>
      <c r="O50" s="337" t="s">
        <v>35</v>
      </c>
      <c r="P50" s="337"/>
      <c r="Q50" s="372">
        <f t="shared" si="30"/>
        <v>0</v>
      </c>
      <c r="R50" s="345">
        <f t="shared" si="31"/>
        <v>0</v>
      </c>
      <c r="S50" s="279">
        <f t="shared" si="32"/>
        <v>0</v>
      </c>
      <c r="T50" s="236">
        <f t="shared" si="33"/>
        <v>0</v>
      </c>
      <c r="U50" s="236">
        <f t="shared" si="34"/>
        <v>2019</v>
      </c>
      <c r="V50" s="367" t="str">
        <f t="shared" si="35"/>
        <v>Traminette</v>
      </c>
      <c r="AA50" s="331"/>
      <c r="AB50" s="332"/>
      <c r="AC50" s="333"/>
      <c r="AD50" s="334"/>
      <c r="AE50" s="347"/>
    </row>
    <row r="51" spans="1:31" x14ac:dyDescent="0.2">
      <c r="A51" s="234">
        <v>101636</v>
      </c>
      <c r="B51" s="237">
        <v>2019</v>
      </c>
      <c r="C51" s="234" t="s">
        <v>31</v>
      </c>
      <c r="D51" s="236">
        <v>0</v>
      </c>
      <c r="E51" s="337"/>
      <c r="F51" s="337"/>
      <c r="G51" s="337" t="s">
        <v>35</v>
      </c>
      <c r="H51" s="337" t="s">
        <v>35</v>
      </c>
      <c r="I51" s="337"/>
      <c r="J51" s="337" t="s">
        <v>35</v>
      </c>
      <c r="K51" s="337" t="s">
        <v>35</v>
      </c>
      <c r="L51" s="337" t="s">
        <v>35</v>
      </c>
      <c r="M51" s="337" t="s">
        <v>35</v>
      </c>
      <c r="N51" s="337" t="s">
        <v>35</v>
      </c>
      <c r="O51" s="337" t="s">
        <v>35</v>
      </c>
      <c r="P51" s="337"/>
      <c r="Q51" s="372">
        <f t="shared" si="30"/>
        <v>0</v>
      </c>
      <c r="R51" s="345">
        <f t="shared" si="31"/>
        <v>0</v>
      </c>
      <c r="S51" s="279">
        <f t="shared" si="32"/>
        <v>0</v>
      </c>
      <c r="T51" s="236">
        <f t="shared" si="33"/>
        <v>0</v>
      </c>
      <c r="U51" s="236">
        <f t="shared" si="34"/>
        <v>2019</v>
      </c>
      <c r="V51" s="367" t="str">
        <f t="shared" si="35"/>
        <v>Viognier</v>
      </c>
      <c r="AA51" s="347"/>
      <c r="AB51" s="347"/>
      <c r="AC51" s="333"/>
      <c r="AD51" s="347"/>
      <c r="AE51" s="347"/>
    </row>
    <row r="52" spans="1:31" x14ac:dyDescent="0.2">
      <c r="A52" s="234">
        <v>97511</v>
      </c>
      <c r="B52" s="237">
        <v>2019</v>
      </c>
      <c r="C52" s="234" t="s">
        <v>25</v>
      </c>
      <c r="D52" s="236">
        <v>0</v>
      </c>
      <c r="E52" s="337"/>
      <c r="F52" s="337"/>
      <c r="G52" s="337"/>
      <c r="H52" s="337"/>
      <c r="I52" s="337"/>
      <c r="J52" s="337"/>
      <c r="K52" s="337" t="s">
        <v>35</v>
      </c>
      <c r="L52" s="337" t="s">
        <v>35</v>
      </c>
      <c r="M52" s="337" t="s">
        <v>35</v>
      </c>
      <c r="N52" s="337" t="s">
        <v>35</v>
      </c>
      <c r="O52" s="337" t="s">
        <v>35</v>
      </c>
      <c r="P52" s="337"/>
      <c r="Q52" s="372">
        <f t="shared" si="30"/>
        <v>0</v>
      </c>
      <c r="R52" s="345">
        <f t="shared" si="31"/>
        <v>0</v>
      </c>
      <c r="S52" s="279">
        <f t="shared" si="32"/>
        <v>0</v>
      </c>
      <c r="T52" s="236">
        <f t="shared" si="33"/>
        <v>0</v>
      </c>
      <c r="U52" s="236">
        <f t="shared" si="34"/>
        <v>2019</v>
      </c>
      <c r="V52" s="367" t="str">
        <f t="shared" si="35"/>
        <v>Chardonnay</v>
      </c>
      <c r="AA52" s="350"/>
      <c r="AB52" s="333"/>
      <c r="AC52" s="333"/>
      <c r="AD52" s="333"/>
      <c r="AE52" s="347"/>
    </row>
    <row r="53" spans="1:31" x14ac:dyDescent="0.2">
      <c r="A53" s="234">
        <v>137525</v>
      </c>
      <c r="B53" s="237">
        <v>2019</v>
      </c>
      <c r="C53" s="234" t="s">
        <v>192</v>
      </c>
      <c r="D53" s="236">
        <v>0</v>
      </c>
      <c r="E53" s="337"/>
      <c r="F53" s="337"/>
      <c r="G53" s="337" t="s">
        <v>35</v>
      </c>
      <c r="H53" s="337" t="s">
        <v>35</v>
      </c>
      <c r="I53" s="337" t="s">
        <v>35</v>
      </c>
      <c r="J53" s="337" t="s">
        <v>35</v>
      </c>
      <c r="K53" s="337" t="s">
        <v>35</v>
      </c>
      <c r="L53" s="337" t="s">
        <v>35</v>
      </c>
      <c r="M53" s="337" t="s">
        <v>35</v>
      </c>
      <c r="N53" s="337" t="s">
        <v>35</v>
      </c>
      <c r="O53" s="337" t="s">
        <v>35</v>
      </c>
      <c r="P53" s="337"/>
      <c r="Q53" s="372">
        <f t="shared" si="30"/>
        <v>0</v>
      </c>
      <c r="R53" s="345">
        <f t="shared" si="31"/>
        <v>0</v>
      </c>
      <c r="S53" s="279">
        <f t="shared" si="32"/>
        <v>0</v>
      </c>
      <c r="T53" s="236">
        <f>SUM(D53-Q53)</f>
        <v>0</v>
      </c>
      <c r="U53" s="236">
        <f t="shared" si="34"/>
        <v>2019</v>
      </c>
      <c r="V53" s="367" t="str">
        <f t="shared" si="35"/>
        <v>Celebration</v>
      </c>
      <c r="AA53" s="350"/>
      <c r="AB53" s="333"/>
      <c r="AC53" s="333"/>
      <c r="AD53" s="333"/>
      <c r="AE53" s="347"/>
    </row>
    <row r="54" spans="1:31" x14ac:dyDescent="0.2">
      <c r="A54" s="234">
        <v>101638</v>
      </c>
      <c r="B54" s="237">
        <v>2019</v>
      </c>
      <c r="C54" s="234" t="s">
        <v>26</v>
      </c>
      <c r="D54" s="236">
        <v>0</v>
      </c>
      <c r="E54" s="337"/>
      <c r="F54" s="337"/>
      <c r="G54" s="337"/>
      <c r="H54" s="337"/>
      <c r="I54" s="337"/>
      <c r="J54" s="337"/>
      <c r="K54" s="337"/>
      <c r="L54" s="337" t="s">
        <v>35</v>
      </c>
      <c r="M54" s="337" t="s">
        <v>35</v>
      </c>
      <c r="N54" s="337" t="s">
        <v>35</v>
      </c>
      <c r="O54" s="337" t="s">
        <v>35</v>
      </c>
      <c r="P54" s="337"/>
      <c r="Q54" s="372">
        <f t="shared" si="30"/>
        <v>0</v>
      </c>
      <c r="R54" s="345">
        <f t="shared" si="31"/>
        <v>0</v>
      </c>
      <c r="S54" s="279">
        <f t="shared" si="32"/>
        <v>0</v>
      </c>
      <c r="T54" s="236">
        <f t="shared" ref="T54:T58" si="36">SUM(D54-Q54)</f>
        <v>0</v>
      </c>
      <c r="U54" s="236">
        <f t="shared" si="34"/>
        <v>2019</v>
      </c>
      <c r="V54" s="367" t="str">
        <f t="shared" si="35"/>
        <v>Merlot</v>
      </c>
      <c r="AA54" s="347"/>
      <c r="AB54" s="347"/>
      <c r="AC54" s="333"/>
      <c r="AD54" s="347"/>
      <c r="AE54" s="347"/>
    </row>
    <row r="55" spans="1:31" x14ac:dyDescent="0.2">
      <c r="A55" s="234">
        <v>100465</v>
      </c>
      <c r="B55" s="237">
        <v>2019</v>
      </c>
      <c r="C55" s="234" t="s">
        <v>135</v>
      </c>
      <c r="D55" s="236"/>
      <c r="E55" s="337"/>
      <c r="F55" s="337"/>
      <c r="G55" s="337"/>
      <c r="H55" s="337"/>
      <c r="I55" s="337"/>
      <c r="J55" s="337"/>
      <c r="K55" s="337"/>
      <c r="L55" s="337"/>
      <c r="M55" s="337"/>
      <c r="N55" s="337"/>
      <c r="O55" s="337"/>
      <c r="P55" s="337"/>
      <c r="Q55" s="372">
        <f t="shared" si="30"/>
        <v>0</v>
      </c>
      <c r="R55" s="345">
        <f t="shared" si="31"/>
        <v>0</v>
      </c>
      <c r="S55" s="279">
        <f t="shared" si="32"/>
        <v>0</v>
      </c>
      <c r="T55" s="236">
        <f t="shared" si="36"/>
        <v>0</v>
      </c>
      <c r="U55" s="236">
        <f t="shared" si="34"/>
        <v>2019</v>
      </c>
      <c r="V55" s="367" t="str">
        <f t="shared" si="35"/>
        <v>Meritage</v>
      </c>
      <c r="AA55" s="347"/>
      <c r="AB55" s="347"/>
      <c r="AC55" s="333"/>
      <c r="AD55" s="347"/>
      <c r="AE55" s="347"/>
    </row>
    <row r="56" spans="1:31" x14ac:dyDescent="0.2">
      <c r="A56" s="234">
        <v>102768</v>
      </c>
      <c r="B56" s="237">
        <v>2019</v>
      </c>
      <c r="C56" s="234" t="s">
        <v>131</v>
      </c>
      <c r="D56" s="236"/>
      <c r="E56" s="337"/>
      <c r="F56" s="337"/>
      <c r="G56" s="337"/>
      <c r="H56" s="337"/>
      <c r="I56" s="337"/>
      <c r="J56" s="337"/>
      <c r="K56" s="337"/>
      <c r="L56" s="337"/>
      <c r="M56" s="337"/>
      <c r="N56" s="337"/>
      <c r="O56" s="337"/>
      <c r="P56" s="337"/>
      <c r="Q56" s="372">
        <f t="shared" si="30"/>
        <v>0</v>
      </c>
      <c r="R56" s="345">
        <f t="shared" si="31"/>
        <v>0</v>
      </c>
      <c r="S56" s="279">
        <f t="shared" si="32"/>
        <v>0</v>
      </c>
      <c r="T56" s="236">
        <f t="shared" si="36"/>
        <v>0</v>
      </c>
      <c r="U56" s="236">
        <f t="shared" si="34"/>
        <v>2019</v>
      </c>
      <c r="V56" s="367" t="str">
        <f t="shared" si="35"/>
        <v>Tannat</v>
      </c>
      <c r="AA56" s="347"/>
      <c r="AB56" s="347"/>
      <c r="AC56" s="333"/>
      <c r="AD56" s="347"/>
      <c r="AE56" s="347"/>
    </row>
    <row r="57" spans="1:31" x14ac:dyDescent="0.2">
      <c r="A57" s="234">
        <v>100643</v>
      </c>
      <c r="B57" s="237">
        <v>2019</v>
      </c>
      <c r="C57" s="234" t="s">
        <v>136</v>
      </c>
      <c r="D57" s="236"/>
      <c r="E57" s="337"/>
      <c r="F57" s="337"/>
      <c r="G57" s="337"/>
      <c r="H57" s="337"/>
      <c r="I57" s="337"/>
      <c r="J57" s="337"/>
      <c r="K57" s="337"/>
      <c r="L57" s="337"/>
      <c r="M57" s="337"/>
      <c r="N57" s="337"/>
      <c r="O57" s="337"/>
      <c r="P57" s="337"/>
      <c r="Q57" s="372">
        <f t="shared" si="30"/>
        <v>0</v>
      </c>
      <c r="R57" s="345">
        <f t="shared" si="31"/>
        <v>0</v>
      </c>
      <c r="S57" s="279">
        <f t="shared" ref="S57:S58" si="37">IFERROR((T57/R57),0)</f>
        <v>0</v>
      </c>
      <c r="T57" s="236">
        <f t="shared" si="36"/>
        <v>0</v>
      </c>
      <c r="U57" s="236">
        <f t="shared" si="34"/>
        <v>2019</v>
      </c>
      <c r="V57" s="367" t="str">
        <f t="shared" si="35"/>
        <v>Kings Ransom</v>
      </c>
      <c r="AA57" s="347"/>
      <c r="AB57" s="347"/>
      <c r="AC57" s="333"/>
      <c r="AD57" s="347"/>
      <c r="AE57" s="347"/>
    </row>
    <row r="58" spans="1:31" ht="16.149999999999999" customHeight="1" x14ac:dyDescent="0.2">
      <c r="A58" s="234">
        <v>101639</v>
      </c>
      <c r="B58" s="236">
        <v>2019</v>
      </c>
      <c r="C58" s="234" t="s">
        <v>120</v>
      </c>
      <c r="D58" s="236"/>
      <c r="E58" s="337"/>
      <c r="F58" s="337"/>
      <c r="G58" s="337"/>
      <c r="H58" s="337"/>
      <c r="I58" s="337"/>
      <c r="J58" s="337"/>
      <c r="K58" s="337"/>
      <c r="L58" s="337"/>
      <c r="M58" s="337"/>
      <c r="N58" s="337"/>
      <c r="O58" s="337"/>
      <c r="P58" s="337"/>
      <c r="Q58" s="372">
        <f t="shared" ref="Q58" si="38">SUM(E58:P58)</f>
        <v>0</v>
      </c>
      <c r="R58" s="244">
        <f t="shared" si="31"/>
        <v>0</v>
      </c>
      <c r="S58" s="236">
        <f t="shared" si="37"/>
        <v>0</v>
      </c>
      <c r="T58" s="236">
        <f t="shared" si="36"/>
        <v>0</v>
      </c>
      <c r="U58" s="236">
        <f t="shared" si="34"/>
        <v>2019</v>
      </c>
      <c r="V58" s="367" t="str">
        <f t="shared" si="35"/>
        <v>Norton</v>
      </c>
      <c r="AA58" s="347"/>
      <c r="AB58" s="347"/>
      <c r="AC58" s="333"/>
      <c r="AD58" s="347"/>
      <c r="AE58" s="347"/>
    </row>
    <row r="59" spans="1:31" ht="16.149999999999999" customHeight="1" x14ac:dyDescent="0.25">
      <c r="A59" s="234"/>
      <c r="B59" s="234"/>
      <c r="C59" s="234"/>
      <c r="D59" s="236"/>
      <c r="E59" s="348"/>
      <c r="F59" s="337"/>
      <c r="G59" s="337"/>
      <c r="H59" s="337"/>
      <c r="I59" s="337"/>
      <c r="J59" s="337"/>
      <c r="K59" s="337"/>
      <c r="L59" s="337"/>
      <c r="M59" s="337"/>
      <c r="N59" s="337"/>
      <c r="O59" s="337"/>
      <c r="P59" s="337"/>
      <c r="Q59" s="372" t="s">
        <v>35</v>
      </c>
      <c r="R59" s="244" t="s">
        <v>35</v>
      </c>
      <c r="S59" s="236" t="s">
        <v>35</v>
      </c>
      <c r="T59" s="236" t="s">
        <v>35</v>
      </c>
      <c r="U59" s="236">
        <f t="shared" si="34"/>
        <v>0</v>
      </c>
      <c r="V59" s="234">
        <f t="shared" si="35"/>
        <v>0</v>
      </c>
      <c r="AA59" s="353"/>
      <c r="AB59" s="353"/>
      <c r="AC59" s="354" t="s">
        <v>182</v>
      </c>
      <c r="AD59" s="353"/>
    </row>
    <row r="60" spans="1:31" x14ac:dyDescent="0.2">
      <c r="A60" s="226"/>
      <c r="B60" s="269"/>
      <c r="C60" s="269"/>
      <c r="D60" s="271"/>
      <c r="E60" s="271"/>
      <c r="F60" s="271"/>
      <c r="G60" s="271"/>
      <c r="H60" s="271"/>
      <c r="I60" s="271"/>
      <c r="J60" s="271"/>
      <c r="K60" s="271"/>
      <c r="L60" s="271"/>
      <c r="M60" s="271"/>
      <c r="N60" s="271"/>
      <c r="O60" s="271"/>
      <c r="P60" s="271"/>
      <c r="Q60" s="281"/>
      <c r="R60" s="283"/>
      <c r="S60" s="284"/>
      <c r="T60" s="271"/>
      <c r="U60" s="271"/>
      <c r="V60" s="282"/>
      <c r="AA60" s="355"/>
      <c r="AB60" s="355"/>
      <c r="AC60" s="356"/>
      <c r="AD60" s="355"/>
    </row>
    <row r="61" spans="1:31" x14ac:dyDescent="0.2">
      <c r="A61" s="234"/>
      <c r="B61" s="234">
        <v>2014</v>
      </c>
      <c r="C61" s="234"/>
      <c r="D61" s="267">
        <f t="shared" ref="D61:Q61" si="39">SUM(D10:D10)</f>
        <v>61</v>
      </c>
      <c r="E61" s="267">
        <f t="shared" si="39"/>
        <v>21</v>
      </c>
      <c r="F61" s="267">
        <f t="shared" si="39"/>
        <v>26</v>
      </c>
      <c r="G61" s="267">
        <f t="shared" si="39"/>
        <v>14</v>
      </c>
      <c r="H61" s="267">
        <f t="shared" si="39"/>
        <v>0</v>
      </c>
      <c r="I61" s="267">
        <f t="shared" si="39"/>
        <v>0</v>
      </c>
      <c r="J61" s="267">
        <f t="shared" si="39"/>
        <v>0</v>
      </c>
      <c r="K61" s="267">
        <f t="shared" si="39"/>
        <v>0</v>
      </c>
      <c r="L61" s="267">
        <f t="shared" si="39"/>
        <v>0</v>
      </c>
      <c r="M61" s="267">
        <f t="shared" si="39"/>
        <v>0</v>
      </c>
      <c r="N61" s="267">
        <f t="shared" si="39"/>
        <v>0</v>
      </c>
      <c r="O61" s="267">
        <f t="shared" si="39"/>
        <v>0</v>
      </c>
      <c r="P61" s="267">
        <f t="shared" si="39"/>
        <v>0</v>
      </c>
      <c r="Q61" s="372">
        <f t="shared" si="39"/>
        <v>61</v>
      </c>
      <c r="R61" s="268">
        <f>IFERROR((AVERAGE(E61:P61)),0)</f>
        <v>5.083333333333333</v>
      </c>
      <c r="S61" s="349">
        <f>IFERROR((T61/R61),0)</f>
        <v>0</v>
      </c>
      <c r="T61" s="279">
        <f>SUM(D61-Q61)</f>
        <v>0</v>
      </c>
      <c r="U61" s="236">
        <v>2014</v>
      </c>
      <c r="V61" s="234"/>
      <c r="AA61" s="355"/>
      <c r="AB61" s="355"/>
      <c r="AC61" s="356"/>
      <c r="AD61" s="355"/>
    </row>
    <row r="62" spans="1:31" x14ac:dyDescent="0.2">
      <c r="A62" s="234"/>
      <c r="B62" s="234">
        <v>2015</v>
      </c>
      <c r="C62" s="234"/>
      <c r="D62" s="267">
        <f t="shared" ref="D62:Q62" si="40">SUM(D12:D15)</f>
        <v>244</v>
      </c>
      <c r="E62" s="267">
        <f t="shared" si="40"/>
        <v>52</v>
      </c>
      <c r="F62" s="267">
        <f t="shared" si="40"/>
        <v>35</v>
      </c>
      <c r="G62" s="267">
        <f t="shared" si="40"/>
        <v>38</v>
      </c>
      <c r="H62" s="267">
        <f t="shared" si="40"/>
        <v>27</v>
      </c>
      <c r="I62" s="267">
        <f t="shared" si="40"/>
        <v>0</v>
      </c>
      <c r="J62" s="267">
        <f t="shared" si="40"/>
        <v>14</v>
      </c>
      <c r="K62" s="267">
        <f t="shared" si="40"/>
        <v>7</v>
      </c>
      <c r="L62" s="267">
        <f t="shared" si="40"/>
        <v>12</v>
      </c>
      <c r="M62" s="267">
        <f t="shared" si="40"/>
        <v>18</v>
      </c>
      <c r="N62" s="267">
        <f t="shared" si="40"/>
        <v>16</v>
      </c>
      <c r="O62" s="267">
        <f t="shared" si="40"/>
        <v>6</v>
      </c>
      <c r="P62" s="267">
        <f t="shared" si="40"/>
        <v>7</v>
      </c>
      <c r="Q62" s="372">
        <f t="shared" si="40"/>
        <v>232</v>
      </c>
      <c r="R62" s="268">
        <f>IFERROR((AVERAGE(E62:P62)),0)</f>
        <v>19.333333333333332</v>
      </c>
      <c r="S62" s="349">
        <f>IFERROR((T62/R62),0)</f>
        <v>0.62068965517241381</v>
      </c>
      <c r="T62" s="279">
        <f>SUM(D62-Q62)</f>
        <v>12</v>
      </c>
      <c r="U62" s="236">
        <v>2015</v>
      </c>
      <c r="V62" s="234"/>
      <c r="AA62" s="355"/>
      <c r="AB62" s="355"/>
      <c r="AC62" s="356"/>
      <c r="AD62" s="355"/>
    </row>
    <row r="63" spans="1:31" x14ac:dyDescent="0.2">
      <c r="A63" s="234"/>
      <c r="B63" s="234">
        <v>2016</v>
      </c>
      <c r="C63" s="234"/>
      <c r="D63" s="267">
        <f t="shared" ref="D63:Q63" si="41">SUM(D17:D22)</f>
        <v>1502</v>
      </c>
      <c r="E63" s="267">
        <f t="shared" si="41"/>
        <v>89</v>
      </c>
      <c r="F63" s="267">
        <f t="shared" si="41"/>
        <v>50</v>
      </c>
      <c r="G63" s="267">
        <f t="shared" si="41"/>
        <v>31</v>
      </c>
      <c r="H63" s="267">
        <f t="shared" si="41"/>
        <v>108</v>
      </c>
      <c r="I63" s="267">
        <f t="shared" si="41"/>
        <v>201</v>
      </c>
      <c r="J63" s="267">
        <f t="shared" si="41"/>
        <v>99</v>
      </c>
      <c r="K63" s="267">
        <f t="shared" si="41"/>
        <v>79</v>
      </c>
      <c r="L63" s="267">
        <f t="shared" si="41"/>
        <v>59</v>
      </c>
      <c r="M63" s="267">
        <f t="shared" si="41"/>
        <v>120</v>
      </c>
      <c r="N63" s="267">
        <f t="shared" si="41"/>
        <v>192</v>
      </c>
      <c r="O63" s="267">
        <f t="shared" si="41"/>
        <v>70</v>
      </c>
      <c r="P63" s="267">
        <f t="shared" si="41"/>
        <v>73</v>
      </c>
      <c r="Q63" s="373">
        <f t="shared" si="41"/>
        <v>1171</v>
      </c>
      <c r="R63" s="268">
        <f t="shared" ref="R63:R66" si="42">IFERROR((AVERAGE(E63:P63)),0)</f>
        <v>97.583333333333329</v>
      </c>
      <c r="S63" s="349">
        <f t="shared" ref="S63:S67" si="43">IFERROR((T63/R63),0)</f>
        <v>3.3919726729291204</v>
      </c>
      <c r="T63" s="279">
        <f t="shared" ref="T63:T66" si="44">SUM(D63-Q63)</f>
        <v>331</v>
      </c>
      <c r="U63" s="236">
        <v>2016</v>
      </c>
      <c r="V63" s="234"/>
      <c r="AA63" s="355"/>
      <c r="AB63" s="355"/>
      <c r="AC63" s="356"/>
      <c r="AD63" s="355"/>
    </row>
    <row r="64" spans="1:31" x14ac:dyDescent="0.2">
      <c r="A64" s="234"/>
      <c r="B64" s="234">
        <v>2017</v>
      </c>
      <c r="C64" s="234"/>
      <c r="D64" s="267">
        <f t="shared" ref="D64:Q64" si="45">SUM(D24:D33)</f>
        <v>2577</v>
      </c>
      <c r="E64" s="267">
        <f t="shared" si="45"/>
        <v>23</v>
      </c>
      <c r="F64" s="267">
        <f t="shared" si="45"/>
        <v>75</v>
      </c>
      <c r="G64" s="267">
        <f t="shared" si="45"/>
        <v>55</v>
      </c>
      <c r="H64" s="267">
        <f t="shared" si="45"/>
        <v>123</v>
      </c>
      <c r="I64" s="267">
        <f t="shared" si="45"/>
        <v>56</v>
      </c>
      <c r="J64" s="267">
        <f t="shared" si="45"/>
        <v>34</v>
      </c>
      <c r="K64" s="267">
        <f t="shared" si="45"/>
        <v>20</v>
      </c>
      <c r="L64" s="267">
        <f t="shared" si="45"/>
        <v>49</v>
      </c>
      <c r="M64" s="267">
        <f t="shared" si="45"/>
        <v>122</v>
      </c>
      <c r="N64" s="267">
        <f t="shared" si="45"/>
        <v>217</v>
      </c>
      <c r="O64" s="267">
        <f t="shared" si="45"/>
        <v>46</v>
      </c>
      <c r="P64" s="267">
        <f t="shared" si="45"/>
        <v>51</v>
      </c>
      <c r="Q64" s="373">
        <f t="shared" si="45"/>
        <v>871</v>
      </c>
      <c r="R64" s="268">
        <f t="shared" si="42"/>
        <v>72.583333333333329</v>
      </c>
      <c r="S64" s="349">
        <f t="shared" si="43"/>
        <v>23.504018369690012</v>
      </c>
      <c r="T64" s="279">
        <f t="shared" si="44"/>
        <v>1706</v>
      </c>
      <c r="U64" s="236">
        <v>2017</v>
      </c>
      <c r="V64" s="234"/>
      <c r="AA64" s="355"/>
      <c r="AB64" s="355"/>
      <c r="AC64" s="356"/>
      <c r="AD64" s="355"/>
    </row>
    <row r="65" spans="1:31" x14ac:dyDescent="0.2">
      <c r="A65" s="234"/>
      <c r="B65" s="234">
        <v>2018</v>
      </c>
      <c r="C65" s="234"/>
      <c r="D65" s="267">
        <f t="shared" ref="D65:Q65" si="46">SUM(D35:D46)</f>
        <v>2730</v>
      </c>
      <c r="E65" s="267">
        <f t="shared" si="46"/>
        <v>0</v>
      </c>
      <c r="F65" s="267">
        <f t="shared" si="46"/>
        <v>56</v>
      </c>
      <c r="G65" s="267">
        <f t="shared" si="46"/>
        <v>0</v>
      </c>
      <c r="H65" s="267">
        <f t="shared" si="46"/>
        <v>23</v>
      </c>
      <c r="I65" s="267">
        <f t="shared" si="46"/>
        <v>33</v>
      </c>
      <c r="J65" s="267">
        <f t="shared" si="46"/>
        <v>123</v>
      </c>
      <c r="K65" s="267">
        <f t="shared" si="46"/>
        <v>85</v>
      </c>
      <c r="L65" s="267">
        <f t="shared" si="46"/>
        <v>100</v>
      </c>
      <c r="M65" s="267">
        <f t="shared" si="46"/>
        <v>114</v>
      </c>
      <c r="N65" s="267">
        <f t="shared" si="46"/>
        <v>90</v>
      </c>
      <c r="O65" s="267">
        <f t="shared" si="46"/>
        <v>52</v>
      </c>
      <c r="P65" s="267">
        <f t="shared" si="46"/>
        <v>61</v>
      </c>
      <c r="Q65" s="373">
        <f t="shared" si="46"/>
        <v>737</v>
      </c>
      <c r="R65" s="268">
        <f t="shared" si="42"/>
        <v>61.416666666666664</v>
      </c>
      <c r="S65" s="349">
        <f t="shared" si="43"/>
        <v>32.450474898236095</v>
      </c>
      <c r="T65" s="279">
        <f t="shared" si="44"/>
        <v>1993</v>
      </c>
      <c r="U65" s="236">
        <v>2018</v>
      </c>
      <c r="V65" s="234"/>
      <c r="AA65" s="357"/>
      <c r="AB65" s="356"/>
      <c r="AC65" s="356"/>
      <c r="AD65" s="356"/>
    </row>
    <row r="66" spans="1:31" x14ac:dyDescent="0.2">
      <c r="A66" s="368"/>
      <c r="B66" s="369">
        <v>2019</v>
      </c>
      <c r="C66" s="289"/>
      <c r="D66" s="267">
        <f>SUM(D48:D59)</f>
        <v>0</v>
      </c>
      <c r="E66" s="267">
        <f t="shared" ref="E66:Q66" si="47">SUM(E48:E59)</f>
        <v>0</v>
      </c>
      <c r="F66" s="267">
        <f t="shared" si="47"/>
        <v>0</v>
      </c>
      <c r="G66" s="267">
        <f t="shared" si="47"/>
        <v>0</v>
      </c>
      <c r="H66" s="267">
        <f t="shared" si="47"/>
        <v>0</v>
      </c>
      <c r="I66" s="267">
        <f t="shared" si="47"/>
        <v>0</v>
      </c>
      <c r="J66" s="267">
        <f t="shared" si="47"/>
        <v>0</v>
      </c>
      <c r="K66" s="267">
        <f t="shared" si="47"/>
        <v>0</v>
      </c>
      <c r="L66" s="267">
        <f t="shared" si="47"/>
        <v>0</v>
      </c>
      <c r="M66" s="267">
        <f t="shared" si="47"/>
        <v>0</v>
      </c>
      <c r="N66" s="267">
        <f t="shared" si="47"/>
        <v>0</v>
      </c>
      <c r="O66" s="267">
        <f t="shared" si="47"/>
        <v>0</v>
      </c>
      <c r="P66" s="267">
        <f t="shared" si="47"/>
        <v>0</v>
      </c>
      <c r="Q66" s="373">
        <f t="shared" si="47"/>
        <v>0</v>
      </c>
      <c r="R66" s="268">
        <f t="shared" si="42"/>
        <v>0</v>
      </c>
      <c r="S66" s="349">
        <f t="shared" si="43"/>
        <v>0</v>
      </c>
      <c r="T66" s="279">
        <f t="shared" si="44"/>
        <v>0</v>
      </c>
      <c r="U66" s="351">
        <v>2019</v>
      </c>
      <c r="V66" s="289"/>
      <c r="AA66" s="357"/>
      <c r="AB66" s="356"/>
      <c r="AC66" s="356"/>
      <c r="AD66" s="356"/>
    </row>
    <row r="67" spans="1:31" x14ac:dyDescent="0.2">
      <c r="B67" s="351" t="s">
        <v>59</v>
      </c>
      <c r="C67" s="289"/>
      <c r="D67" s="352">
        <f>SUM(D61:D64)</f>
        <v>4384</v>
      </c>
      <c r="E67" s="352">
        <f>SUM(E61:E65)</f>
        <v>185</v>
      </c>
      <c r="F67" s="352">
        <f t="shared" ref="F67:P67" si="48">SUM(F61:F65)</f>
        <v>242</v>
      </c>
      <c r="G67" s="352">
        <f t="shared" si="48"/>
        <v>138</v>
      </c>
      <c r="H67" s="352">
        <f t="shared" si="48"/>
        <v>281</v>
      </c>
      <c r="I67" s="352">
        <f t="shared" si="48"/>
        <v>290</v>
      </c>
      <c r="J67" s="352">
        <f t="shared" si="48"/>
        <v>270</v>
      </c>
      <c r="K67" s="352">
        <f t="shared" si="48"/>
        <v>191</v>
      </c>
      <c r="L67" s="352">
        <f t="shared" si="48"/>
        <v>220</v>
      </c>
      <c r="M67" s="352">
        <f t="shared" si="48"/>
        <v>374</v>
      </c>
      <c r="N67" s="352">
        <f t="shared" si="48"/>
        <v>515</v>
      </c>
      <c r="O67" s="352">
        <f t="shared" si="48"/>
        <v>174</v>
      </c>
      <c r="P67" s="352">
        <f t="shared" si="48"/>
        <v>192</v>
      </c>
      <c r="Q67" s="370">
        <f>SUM(Q61:Q65)</f>
        <v>3072</v>
      </c>
      <c r="R67" s="371">
        <f>SUM(R61:R66)</f>
        <v>255.99999999999997</v>
      </c>
      <c r="S67" s="349">
        <f t="shared" si="43"/>
        <v>15.789062500000002</v>
      </c>
      <c r="T67" s="352">
        <f>SUM(T61:T66)</f>
        <v>4042</v>
      </c>
      <c r="U67" s="351" t="s">
        <v>59</v>
      </c>
      <c r="V67" s="289"/>
      <c r="AA67" s="357"/>
      <c r="AB67" s="356"/>
      <c r="AC67" s="356"/>
      <c r="AD67" s="356"/>
    </row>
    <row r="68" spans="1:31" x14ac:dyDescent="0.2">
      <c r="A68" s="226"/>
      <c r="B68" s="269"/>
      <c r="C68" s="269"/>
      <c r="D68" s="272"/>
      <c r="E68" s="272"/>
      <c r="F68" s="272"/>
      <c r="G68" s="272"/>
      <c r="H68" s="272"/>
      <c r="I68" s="272"/>
      <c r="J68" s="272"/>
      <c r="K68" s="272"/>
      <c r="L68" s="272"/>
      <c r="M68" s="272"/>
      <c r="N68" s="272"/>
      <c r="O68" s="272"/>
      <c r="P68" s="272"/>
      <c r="Q68" s="269"/>
      <c r="R68" s="270"/>
      <c r="S68" s="273"/>
      <c r="T68" s="305"/>
      <c r="U68" s="272"/>
      <c r="V68" s="269"/>
      <c r="AA68" s="357"/>
      <c r="AB68" s="356"/>
      <c r="AC68" s="356"/>
      <c r="AD68" s="356"/>
    </row>
    <row r="69" spans="1:31" x14ac:dyDescent="0.2">
      <c r="M69" s="220" t="s">
        <v>35</v>
      </c>
      <c r="AA69" s="357"/>
      <c r="AB69" s="356"/>
      <c r="AC69" s="356"/>
      <c r="AD69" s="356"/>
    </row>
    <row r="70" spans="1:31" x14ac:dyDescent="0.2">
      <c r="A70" s="281"/>
      <c r="B70" s="282"/>
      <c r="C70" s="282"/>
      <c r="D70" s="271"/>
      <c r="E70" s="271"/>
      <c r="F70" s="271"/>
      <c r="G70" s="271"/>
      <c r="H70" s="271"/>
      <c r="I70" s="271"/>
      <c r="J70" s="271"/>
      <c r="K70" s="271"/>
      <c r="L70" s="271"/>
      <c r="M70" s="271"/>
      <c r="N70" s="271"/>
      <c r="O70" s="271"/>
      <c r="P70" s="271"/>
      <c r="Q70" s="282"/>
      <c r="R70" s="283"/>
      <c r="S70" s="284"/>
      <c r="T70" s="271"/>
      <c r="U70" s="271"/>
      <c r="V70" s="282"/>
      <c r="AA70" s="357"/>
      <c r="AB70" s="356"/>
      <c r="AC70" s="356"/>
      <c r="AD70" s="356"/>
    </row>
    <row r="71" spans="1:31" ht="15.75" thickBot="1" x14ac:dyDescent="0.25">
      <c r="D71" s="221"/>
      <c r="E71" s="221"/>
      <c r="F71" s="221"/>
      <c r="G71" s="221"/>
      <c r="H71" s="221"/>
      <c r="I71" s="221"/>
      <c r="J71" s="221"/>
      <c r="K71" s="221"/>
      <c r="L71" s="221"/>
      <c r="M71" s="221"/>
      <c r="N71" s="221"/>
      <c r="O71" s="221"/>
      <c r="P71" s="221"/>
      <c r="R71" s="275"/>
      <c r="S71" s="277"/>
      <c r="T71" s="276"/>
      <c r="AA71" s="357"/>
      <c r="AB71" s="356"/>
      <c r="AC71" s="356"/>
      <c r="AD71" s="356"/>
    </row>
    <row r="72" spans="1:31" ht="32.25" thickBot="1" x14ac:dyDescent="0.3">
      <c r="B72" s="286" t="s">
        <v>60</v>
      </c>
      <c r="C72" s="287"/>
      <c r="D72" s="127" t="s">
        <v>138</v>
      </c>
      <c r="E72" s="449" t="s">
        <v>139</v>
      </c>
      <c r="F72" s="450"/>
      <c r="G72" s="450"/>
      <c r="H72" s="450"/>
      <c r="I72" s="450"/>
      <c r="J72" s="450"/>
      <c r="K72" s="450"/>
      <c r="L72" s="450"/>
      <c r="M72" s="450"/>
      <c r="N72" s="450"/>
      <c r="O72" s="450"/>
      <c r="P72" s="450"/>
      <c r="Q72" s="119" t="s">
        <v>63</v>
      </c>
      <c r="R72" s="288"/>
      <c r="S72" s="288"/>
      <c r="U72" s="320" t="s">
        <v>60</v>
      </c>
      <c r="V72" s="287"/>
      <c r="AA72" s="357"/>
      <c r="AB72" s="356"/>
      <c r="AC72" s="356"/>
      <c r="AD72" s="356"/>
      <c r="AE72" s="330"/>
    </row>
    <row r="73" spans="1:31" ht="15.75" x14ac:dyDescent="0.25">
      <c r="B73" s="289"/>
      <c r="C73" s="289"/>
      <c r="D73" s="290"/>
      <c r="E73" s="291"/>
      <c r="F73" s="291"/>
      <c r="G73" s="291"/>
      <c r="H73" s="291"/>
      <c r="I73" s="291"/>
      <c r="J73" s="291"/>
      <c r="K73" s="291"/>
      <c r="L73" s="291"/>
      <c r="M73" s="291"/>
      <c r="N73" s="291"/>
      <c r="O73" s="291"/>
      <c r="P73" s="292"/>
      <c r="Q73" s="289"/>
      <c r="T73" s="312"/>
      <c r="U73" s="291"/>
      <c r="V73" s="289"/>
      <c r="AA73" s="357"/>
      <c r="AB73" s="356"/>
      <c r="AC73" s="356"/>
      <c r="AD73" s="356"/>
      <c r="AE73" s="330"/>
    </row>
    <row r="74" spans="1:31" x14ac:dyDescent="0.2">
      <c r="B74" s="234"/>
      <c r="C74" s="234"/>
      <c r="D74" s="291"/>
      <c r="E74" s="236"/>
      <c r="F74" s="236"/>
      <c r="G74" s="236"/>
      <c r="H74" s="236"/>
      <c r="I74" s="236"/>
      <c r="J74" s="236"/>
      <c r="K74" s="236"/>
      <c r="L74" s="236"/>
      <c r="M74" s="236"/>
      <c r="N74" s="236"/>
      <c r="O74" s="236"/>
      <c r="P74" s="293"/>
      <c r="Q74" s="234"/>
      <c r="U74" s="236"/>
      <c r="V74" s="234"/>
      <c r="AA74" s="357"/>
      <c r="AB74" s="356"/>
      <c r="AC74" s="356"/>
      <c r="AD74" s="356"/>
      <c r="AE74" s="330"/>
    </row>
    <row r="75" spans="1:31" x14ac:dyDescent="0.2">
      <c r="B75" s="228"/>
      <c r="C75" s="228"/>
      <c r="D75" s="229"/>
      <c r="E75" s="229"/>
      <c r="F75" s="229"/>
      <c r="G75" s="229"/>
      <c r="H75" s="229"/>
      <c r="I75" s="229"/>
      <c r="J75" s="229"/>
      <c r="K75" s="229"/>
      <c r="L75" s="229"/>
      <c r="M75" s="229"/>
      <c r="N75" s="229"/>
      <c r="O75" s="229"/>
      <c r="P75" s="294"/>
      <c r="Q75" s="228"/>
      <c r="U75" s="229"/>
      <c r="V75" s="228"/>
      <c r="AA75" s="357"/>
      <c r="AB75" s="356"/>
      <c r="AC75" s="356"/>
      <c r="AD75" s="356"/>
      <c r="AE75" s="330"/>
    </row>
    <row r="76" spans="1:31" x14ac:dyDescent="0.2">
      <c r="B76" s="234"/>
      <c r="C76" s="234"/>
      <c r="D76" s="236"/>
      <c r="E76" s="236"/>
      <c r="F76" s="236"/>
      <c r="G76" s="236"/>
      <c r="H76" s="236"/>
      <c r="I76" s="236"/>
      <c r="J76" s="236"/>
      <c r="K76" s="236"/>
      <c r="L76" s="236"/>
      <c r="M76" s="236"/>
      <c r="N76" s="236"/>
      <c r="O76" s="236"/>
      <c r="P76" s="293"/>
      <c r="Q76" s="234"/>
      <c r="U76" s="236"/>
      <c r="V76" s="234"/>
      <c r="AA76" s="357"/>
      <c r="AB76" s="356"/>
      <c r="AC76" s="356"/>
      <c r="AD76" s="356"/>
      <c r="AE76" s="330"/>
    </row>
    <row r="77" spans="1:31" x14ac:dyDescent="0.2">
      <c r="B77" s="234"/>
      <c r="C77" s="234"/>
      <c r="D77" s="236"/>
      <c r="E77" s="236"/>
      <c r="F77" s="236"/>
      <c r="G77" s="236"/>
      <c r="H77" s="236"/>
      <c r="I77" s="236"/>
      <c r="J77" s="236"/>
      <c r="K77" s="236"/>
      <c r="L77" s="236"/>
      <c r="M77" s="236"/>
      <c r="N77" s="236"/>
      <c r="O77" s="236"/>
      <c r="P77" s="293"/>
      <c r="Q77" s="234"/>
      <c r="U77" s="236"/>
      <c r="V77" s="234"/>
      <c r="AA77" s="357"/>
      <c r="AB77" s="356"/>
      <c r="AC77" s="356"/>
      <c r="AD77" s="356"/>
      <c r="AE77" s="330"/>
    </row>
    <row r="78" spans="1:31" x14ac:dyDescent="0.2">
      <c r="B78" s="282"/>
      <c r="C78" s="282"/>
      <c r="D78" s="271"/>
      <c r="E78" s="271"/>
      <c r="F78" s="271"/>
      <c r="G78" s="271"/>
      <c r="H78" s="271"/>
      <c r="I78" s="271"/>
      <c r="J78" s="271"/>
      <c r="K78" s="271"/>
      <c r="L78" s="271"/>
      <c r="M78" s="271"/>
      <c r="N78" s="271"/>
      <c r="O78" s="271"/>
      <c r="P78" s="271"/>
      <c r="Q78" s="228"/>
      <c r="U78" s="271"/>
      <c r="V78" s="282"/>
      <c r="AA78" s="357"/>
      <c r="AB78" s="356"/>
      <c r="AC78" s="356"/>
      <c r="AD78" s="356"/>
      <c r="AE78" s="330"/>
    </row>
    <row r="79" spans="1:31" ht="15.75" thickBot="1" x14ac:dyDescent="0.25">
      <c r="D79" s="221"/>
      <c r="E79" s="221"/>
      <c r="F79" s="221"/>
      <c r="G79" s="221"/>
      <c r="H79" s="221"/>
      <c r="I79" s="221"/>
      <c r="J79" s="221"/>
      <c r="K79" s="221"/>
      <c r="L79" s="221"/>
      <c r="M79" s="221"/>
      <c r="N79" s="221"/>
      <c r="O79" s="221"/>
      <c r="P79" s="221"/>
      <c r="AA79" s="357"/>
      <c r="AB79" s="356"/>
      <c r="AC79" s="356"/>
      <c r="AD79" s="356"/>
      <c r="AE79" s="330"/>
    </row>
    <row r="80" spans="1:31" ht="32.25" thickBot="1" x14ac:dyDescent="0.3">
      <c r="B80" s="451" t="s">
        <v>60</v>
      </c>
      <c r="C80" s="452"/>
      <c r="D80" s="127" t="s">
        <v>64</v>
      </c>
      <c r="E80" s="449" t="s">
        <v>140</v>
      </c>
      <c r="F80" s="450"/>
      <c r="G80" s="450"/>
      <c r="H80" s="450"/>
      <c r="I80" s="450"/>
      <c r="J80" s="450"/>
      <c r="K80" s="450"/>
      <c r="L80" s="450"/>
      <c r="M80" s="450"/>
      <c r="N80" s="450"/>
      <c r="O80" s="450"/>
      <c r="P80" s="454"/>
      <c r="Q80" s="119" t="s">
        <v>66</v>
      </c>
      <c r="AA80" s="357"/>
      <c r="AB80" s="356"/>
      <c r="AC80" s="356"/>
      <c r="AD80" s="356"/>
      <c r="AE80" s="330"/>
    </row>
    <row r="81" spans="2:31" ht="15.75" x14ac:dyDescent="0.25">
      <c r="B81" s="289"/>
      <c r="C81" s="289"/>
      <c r="D81" s="122"/>
      <c r="E81" s="291"/>
      <c r="F81" s="291"/>
      <c r="G81" s="291"/>
      <c r="H81" s="291"/>
      <c r="I81" s="291"/>
      <c r="J81" s="291"/>
      <c r="K81" s="291"/>
      <c r="L81" s="291"/>
      <c r="M81" s="291"/>
      <c r="N81" s="291"/>
      <c r="O81" s="291"/>
      <c r="P81" s="291"/>
      <c r="Q81" s="289"/>
      <c r="U81" s="291"/>
      <c r="V81" s="289"/>
      <c r="AA81" s="357"/>
      <c r="AB81" s="356"/>
      <c r="AC81" s="356"/>
      <c r="AD81" s="356"/>
      <c r="AE81" s="330"/>
    </row>
    <row r="82" spans="2:31" ht="15.75" x14ac:dyDescent="0.25">
      <c r="B82" s="234"/>
      <c r="C82" s="234"/>
      <c r="D82" s="291"/>
      <c r="E82" s="236"/>
      <c r="F82" s="236"/>
      <c r="G82" s="236"/>
      <c r="H82" s="236"/>
      <c r="I82" s="236"/>
      <c r="J82" s="236"/>
      <c r="K82" s="236"/>
      <c r="L82" s="236"/>
      <c r="M82" s="236"/>
      <c r="N82" s="236"/>
      <c r="O82" s="236"/>
      <c r="P82" s="236"/>
      <c r="Q82" s="234"/>
      <c r="U82" s="236"/>
      <c r="V82" s="234"/>
      <c r="AA82" s="330"/>
      <c r="AB82" s="330"/>
      <c r="AC82" s="358"/>
      <c r="AD82" s="330"/>
      <c r="AE82" s="330"/>
    </row>
    <row r="83" spans="2:31" x14ac:dyDescent="0.2">
      <c r="B83" s="228"/>
      <c r="C83" s="228"/>
      <c r="D83" s="229"/>
      <c r="E83" s="229"/>
      <c r="F83" s="229"/>
      <c r="G83" s="229"/>
      <c r="H83" s="229"/>
      <c r="I83" s="229"/>
      <c r="J83" s="229"/>
      <c r="K83" s="229"/>
      <c r="L83" s="229"/>
      <c r="M83" s="229"/>
      <c r="N83" s="229"/>
      <c r="O83" s="229"/>
      <c r="P83" s="229"/>
      <c r="Q83" s="228"/>
      <c r="U83" s="229"/>
      <c r="V83" s="228"/>
      <c r="AA83" s="330"/>
      <c r="AB83" s="330"/>
      <c r="AC83" s="359"/>
      <c r="AD83" s="330"/>
      <c r="AE83" s="330"/>
    </row>
    <row r="84" spans="2:31" x14ac:dyDescent="0.2">
      <c r="B84" s="234"/>
      <c r="C84" s="234"/>
      <c r="D84" s="236"/>
      <c r="E84" s="236"/>
      <c r="F84" s="236"/>
      <c r="G84" s="236"/>
      <c r="H84" s="236"/>
      <c r="I84" s="236"/>
      <c r="J84" s="236"/>
      <c r="K84" s="236"/>
      <c r="L84" s="236"/>
      <c r="M84" s="236"/>
      <c r="N84" s="236"/>
      <c r="O84" s="236"/>
      <c r="P84" s="236"/>
      <c r="Q84" s="234"/>
      <c r="U84" s="236"/>
      <c r="V84" s="234"/>
      <c r="AA84" s="330"/>
      <c r="AB84" s="330"/>
      <c r="AC84" s="359"/>
      <c r="AD84" s="330"/>
      <c r="AE84" s="330"/>
    </row>
    <row r="85" spans="2:31" x14ac:dyDescent="0.2">
      <c r="B85" s="234"/>
      <c r="C85" s="234"/>
      <c r="D85" s="236"/>
      <c r="E85" s="236"/>
      <c r="F85" s="236"/>
      <c r="G85" s="236"/>
      <c r="H85" s="236"/>
      <c r="I85" s="236"/>
      <c r="J85" s="236"/>
      <c r="K85" s="236"/>
      <c r="L85" s="236"/>
      <c r="M85" s="236"/>
      <c r="N85" s="236"/>
      <c r="O85" s="236"/>
      <c r="P85" s="236"/>
      <c r="Q85" s="234"/>
      <c r="U85" s="236"/>
      <c r="V85" s="234"/>
      <c r="AA85" s="330"/>
      <c r="AB85" s="330"/>
      <c r="AC85" s="359"/>
      <c r="AD85" s="330"/>
      <c r="AE85" s="330"/>
    </row>
    <row r="86" spans="2:31" x14ac:dyDescent="0.2">
      <c r="AA86" s="330"/>
      <c r="AB86" s="330"/>
      <c r="AC86" s="359"/>
      <c r="AD86" s="330"/>
      <c r="AE86" s="330"/>
    </row>
    <row r="87" spans="2:31" ht="14.25" customHeight="1" x14ac:dyDescent="0.2">
      <c r="AA87" s="360"/>
      <c r="AB87" s="330"/>
      <c r="AC87" s="359"/>
      <c r="AD87" s="330"/>
      <c r="AE87" s="330"/>
    </row>
    <row r="88" spans="2:31" ht="15.75" x14ac:dyDescent="0.25">
      <c r="B88" s="278" t="s">
        <v>183</v>
      </c>
      <c r="C88" s="1" t="s">
        <v>184</v>
      </c>
      <c r="D88" s="1" t="s">
        <v>185</v>
      </c>
      <c r="E88" s="362" t="s">
        <v>4</v>
      </c>
      <c r="F88" s="363" t="s">
        <v>5</v>
      </c>
      <c r="G88" s="363" t="s">
        <v>6</v>
      </c>
      <c r="H88" s="363" t="s">
        <v>7</v>
      </c>
      <c r="I88" s="363" t="s">
        <v>8</v>
      </c>
      <c r="J88" s="363" t="s">
        <v>9</v>
      </c>
      <c r="K88" s="363" t="s">
        <v>10</v>
      </c>
      <c r="L88" s="363" t="s">
        <v>11</v>
      </c>
      <c r="M88" s="363" t="s">
        <v>12</v>
      </c>
      <c r="N88" s="363" t="s">
        <v>13</v>
      </c>
      <c r="O88" s="363" t="s">
        <v>14</v>
      </c>
      <c r="P88" s="363" t="s">
        <v>15</v>
      </c>
      <c r="Q88" s="221"/>
      <c r="AA88" s="360"/>
      <c r="AB88" s="330"/>
      <c r="AC88" s="359"/>
      <c r="AD88" s="330"/>
      <c r="AE88" s="330"/>
    </row>
    <row r="89" spans="2:31" ht="15.75" x14ac:dyDescent="0.25">
      <c r="B89" s="160"/>
      <c r="C89" s="325"/>
      <c r="D89" s="325"/>
      <c r="E89" s="364"/>
      <c r="F89" s="325"/>
      <c r="G89" s="325"/>
      <c r="H89" s="325"/>
      <c r="I89" s="325"/>
      <c r="J89" s="325"/>
      <c r="K89" s="325"/>
      <c r="L89" s="325"/>
      <c r="M89" s="325"/>
      <c r="N89" s="325"/>
      <c r="O89" s="236"/>
      <c r="P89" s="325">
        <v>0</v>
      </c>
      <c r="Q89" s="221"/>
      <c r="AA89" s="360"/>
      <c r="AB89" s="330"/>
      <c r="AC89" s="359"/>
      <c r="AD89" s="330"/>
      <c r="AE89" s="330"/>
    </row>
    <row r="90" spans="2:31" x14ac:dyDescent="0.2">
      <c r="B90" s="234">
        <v>2016</v>
      </c>
      <c r="C90" s="234" t="s">
        <v>26</v>
      </c>
      <c r="D90" s="236" t="s">
        <v>35</v>
      </c>
      <c r="E90" s="236"/>
      <c r="F90" s="236"/>
      <c r="G90" s="236"/>
      <c r="H90" s="236"/>
      <c r="I90" s="236"/>
      <c r="J90" s="236"/>
      <c r="K90" s="236"/>
      <c r="L90" s="236"/>
      <c r="M90" s="236"/>
      <c r="N90" s="236"/>
      <c r="O90" s="236"/>
      <c r="P90" s="236">
        <v>0</v>
      </c>
      <c r="Q90" s="221"/>
      <c r="AA90" s="360"/>
      <c r="AB90" s="330"/>
      <c r="AC90" s="359"/>
      <c r="AD90" s="330"/>
      <c r="AE90" s="330"/>
    </row>
    <row r="91" spans="2:31" x14ac:dyDescent="0.2">
      <c r="B91" s="365"/>
      <c r="C91" s="365"/>
      <c r="D91" s="366" t="s">
        <v>35</v>
      </c>
      <c r="E91" s="366"/>
      <c r="F91" s="366"/>
      <c r="G91" s="366"/>
      <c r="H91" s="366"/>
      <c r="I91" s="366"/>
      <c r="J91" s="366"/>
      <c r="K91" s="366"/>
      <c r="L91" s="366"/>
      <c r="M91" s="366"/>
      <c r="N91" s="366"/>
      <c r="O91" s="366"/>
      <c r="P91" s="366"/>
      <c r="Q91" s="221"/>
      <c r="AA91" s="361"/>
      <c r="AB91" s="330"/>
      <c r="AC91" s="359"/>
      <c r="AD91" s="330"/>
      <c r="AE91" s="330"/>
    </row>
    <row r="92" spans="2:31" x14ac:dyDescent="0.2">
      <c r="B92" s="234">
        <v>2017</v>
      </c>
      <c r="C92" s="234" t="s">
        <v>26</v>
      </c>
      <c r="D92" s="236" t="s">
        <v>35</v>
      </c>
      <c r="E92" s="236"/>
      <c r="F92" s="236"/>
      <c r="G92" s="236"/>
      <c r="H92" s="236"/>
      <c r="I92" s="234"/>
      <c r="J92" s="236"/>
      <c r="K92" s="236"/>
      <c r="L92" s="236"/>
      <c r="M92" s="236"/>
      <c r="N92" s="236"/>
      <c r="O92" s="236"/>
      <c r="P92" s="236">
        <v>0</v>
      </c>
      <c r="Q92" s="221"/>
      <c r="AA92" s="361"/>
      <c r="AB92" s="330"/>
      <c r="AC92" s="359"/>
      <c r="AD92" s="330"/>
      <c r="AE92" s="330"/>
    </row>
    <row r="93" spans="2:31" x14ac:dyDescent="0.2">
      <c r="B93" s="234"/>
      <c r="C93" s="234" t="s">
        <v>186</v>
      </c>
      <c r="D93" s="236">
        <v>5</v>
      </c>
      <c r="E93" s="236"/>
      <c r="F93" s="236"/>
      <c r="G93" s="236"/>
      <c r="H93" s="236"/>
      <c r="I93" s="234"/>
      <c r="J93" s="236"/>
      <c r="K93" s="236"/>
      <c r="L93" s="236"/>
      <c r="M93" s="236"/>
      <c r="N93" s="236"/>
      <c r="O93" s="236"/>
      <c r="P93" s="236">
        <v>0</v>
      </c>
      <c r="Q93" s="221"/>
      <c r="AA93" s="361"/>
      <c r="AB93" s="330"/>
      <c r="AC93" s="359"/>
      <c r="AD93" s="330"/>
      <c r="AE93" s="330"/>
    </row>
    <row r="94" spans="2:31" x14ac:dyDescent="0.2">
      <c r="B94" s="234"/>
      <c r="C94" s="234" t="s">
        <v>120</v>
      </c>
      <c r="D94" s="236">
        <v>900</v>
      </c>
      <c r="E94" s="236"/>
      <c r="F94" s="236"/>
      <c r="G94" s="236"/>
      <c r="H94" s="236">
        <v>840</v>
      </c>
      <c r="I94" s="234"/>
      <c r="J94" s="236"/>
      <c r="K94" s="236"/>
      <c r="L94" s="236"/>
      <c r="M94" s="236"/>
      <c r="N94" s="236"/>
      <c r="O94" s="236"/>
      <c r="P94" s="236">
        <v>0</v>
      </c>
      <c r="Q94" s="221"/>
      <c r="AA94" s="361"/>
      <c r="AB94" s="330"/>
      <c r="AC94" s="359"/>
      <c r="AD94" s="330"/>
      <c r="AE94" s="330"/>
    </row>
    <row r="95" spans="2:31" x14ac:dyDescent="0.2">
      <c r="B95" s="365" t="s">
        <v>35</v>
      </c>
      <c r="C95" s="365" t="s">
        <v>35</v>
      </c>
      <c r="D95" s="366" t="s">
        <v>35</v>
      </c>
      <c r="E95" s="366"/>
      <c r="F95" s="366"/>
      <c r="G95" s="366"/>
      <c r="H95" s="366"/>
      <c r="I95" s="365"/>
      <c r="J95" s="366"/>
      <c r="K95" s="366"/>
      <c r="L95" s="366"/>
      <c r="M95" s="366"/>
      <c r="N95" s="366"/>
      <c r="O95" s="366"/>
      <c r="P95" s="366"/>
      <c r="Q95" s="221"/>
      <c r="AA95" s="330"/>
      <c r="AB95" s="330"/>
      <c r="AC95" s="359"/>
      <c r="AD95" s="330"/>
      <c r="AE95" s="330"/>
    </row>
    <row r="96" spans="2:31" x14ac:dyDescent="0.2">
      <c r="B96" s="234">
        <v>2018</v>
      </c>
      <c r="C96" s="234" t="s">
        <v>191</v>
      </c>
      <c r="D96" s="236">
        <v>60</v>
      </c>
      <c r="E96" s="236"/>
      <c r="F96" s="236"/>
      <c r="G96" s="236"/>
      <c r="H96" s="236"/>
      <c r="I96" s="234"/>
      <c r="J96" s="236"/>
      <c r="K96" s="236"/>
      <c r="L96" s="236"/>
      <c r="M96" s="236"/>
      <c r="N96" s="236"/>
      <c r="O96" s="236"/>
      <c r="P96" s="236">
        <v>0</v>
      </c>
      <c r="Q96" s="221"/>
      <c r="AA96" s="330"/>
      <c r="AB96" s="330"/>
      <c r="AC96" s="359"/>
      <c r="AD96" s="330"/>
      <c r="AE96" s="330"/>
    </row>
    <row r="97" spans="2:31" x14ac:dyDescent="0.2">
      <c r="B97" s="234"/>
      <c r="C97" s="234" t="s">
        <v>190</v>
      </c>
      <c r="D97" s="279">
        <v>60</v>
      </c>
      <c r="E97" s="236"/>
      <c r="F97" s="236"/>
      <c r="G97" s="236"/>
      <c r="H97" s="236"/>
      <c r="I97" s="234"/>
      <c r="J97" s="236"/>
      <c r="K97" s="236"/>
      <c r="L97" s="236"/>
      <c r="M97" s="236"/>
      <c r="N97" s="236"/>
      <c r="O97" s="236"/>
      <c r="P97" s="236">
        <v>0</v>
      </c>
      <c r="Q97" s="221"/>
      <c r="AA97" s="330"/>
      <c r="AB97" s="330"/>
      <c r="AC97" s="359"/>
      <c r="AD97" s="330"/>
      <c r="AE97" s="330"/>
    </row>
    <row r="98" spans="2:31" x14ac:dyDescent="0.2">
      <c r="B98" s="234" t="s">
        <v>35</v>
      </c>
      <c r="C98" s="234" t="s">
        <v>189</v>
      </c>
      <c r="D98" s="236">
        <v>60</v>
      </c>
      <c r="E98" s="236"/>
      <c r="F98" s="236"/>
      <c r="G98" s="236"/>
      <c r="H98" s="236"/>
      <c r="I98" s="234"/>
      <c r="J98" s="236"/>
      <c r="K98" s="236"/>
      <c r="L98" s="236"/>
      <c r="M98" s="236"/>
      <c r="N98" s="236"/>
      <c r="O98" s="236"/>
      <c r="P98" s="236">
        <v>0</v>
      </c>
      <c r="Q98" s="221"/>
      <c r="AA98" s="330"/>
      <c r="AB98" s="330"/>
      <c r="AC98" s="359"/>
      <c r="AD98" s="330"/>
      <c r="AE98" s="330"/>
    </row>
    <row r="99" spans="2:31" x14ac:dyDescent="0.2">
      <c r="B99" s="234"/>
      <c r="C99" s="234" t="s">
        <v>188</v>
      </c>
      <c r="D99" s="236">
        <v>600</v>
      </c>
      <c r="E99" s="236"/>
      <c r="F99" s="236"/>
      <c r="G99" s="236"/>
      <c r="H99" s="236">
        <f>240+300</f>
        <v>540</v>
      </c>
      <c r="I99" s="234"/>
      <c r="J99" s="236"/>
      <c r="K99" s="236"/>
      <c r="L99" s="236"/>
      <c r="M99" s="234">
        <v>540</v>
      </c>
      <c r="N99" s="236"/>
      <c r="O99" s="236"/>
      <c r="P99" s="236">
        <v>0</v>
      </c>
      <c r="Q99" s="221"/>
      <c r="AA99" s="330"/>
      <c r="AB99" s="330"/>
      <c r="AC99" s="359"/>
      <c r="AD99" s="330"/>
      <c r="AE99" s="330"/>
    </row>
    <row r="100" spans="2:31" x14ac:dyDescent="0.2">
      <c r="B100" s="234"/>
      <c r="C100" s="234" t="s">
        <v>187</v>
      </c>
      <c r="D100" s="236">
        <v>240</v>
      </c>
      <c r="E100" s="236"/>
      <c r="F100" s="236"/>
      <c r="G100" s="236"/>
      <c r="H100" s="236">
        <v>240</v>
      </c>
      <c r="I100" s="234"/>
      <c r="J100" s="236"/>
      <c r="K100" s="236"/>
      <c r="L100" s="236"/>
      <c r="M100" s="234">
        <v>420</v>
      </c>
      <c r="N100" s="236"/>
      <c r="O100" s="236"/>
      <c r="P100" s="236">
        <v>0</v>
      </c>
      <c r="Q100" s="221"/>
      <c r="AA100" s="330"/>
      <c r="AB100" s="330"/>
      <c r="AC100" s="359"/>
      <c r="AD100" s="330"/>
      <c r="AE100" s="330"/>
    </row>
    <row r="101" spans="2:31" x14ac:dyDescent="0.2">
      <c r="B101" s="234"/>
      <c r="C101" s="234" t="s">
        <v>26</v>
      </c>
      <c r="D101" s="236">
        <v>1980</v>
      </c>
      <c r="E101" s="236"/>
      <c r="F101" s="236"/>
      <c r="G101" s="236"/>
      <c r="H101" s="236">
        <f>1720+840+360</f>
        <v>2920</v>
      </c>
      <c r="I101" s="234"/>
      <c r="J101" s="236"/>
      <c r="K101" s="236"/>
      <c r="L101" s="236"/>
      <c r="M101" s="234">
        <v>1320</v>
      </c>
      <c r="N101" s="236">
        <v>120</v>
      </c>
      <c r="O101" s="236">
        <f>120-105</f>
        <v>15</v>
      </c>
      <c r="P101" s="236">
        <v>15</v>
      </c>
      <c r="Q101" s="221"/>
      <c r="AA101" s="330"/>
      <c r="AB101" s="330"/>
      <c r="AC101" s="359"/>
      <c r="AD101" s="330"/>
      <c r="AE101" s="330"/>
    </row>
    <row r="102" spans="2:31" x14ac:dyDescent="0.2">
      <c r="B102" s="234"/>
      <c r="C102" s="234" t="s">
        <v>23</v>
      </c>
      <c r="D102" s="236">
        <v>540</v>
      </c>
      <c r="E102" s="236"/>
      <c r="F102" s="236"/>
      <c r="G102" s="236"/>
      <c r="H102" s="236">
        <v>660</v>
      </c>
      <c r="I102" s="234"/>
      <c r="J102" s="236"/>
      <c r="K102" s="236"/>
      <c r="L102" s="236"/>
      <c r="M102" s="234">
        <v>630</v>
      </c>
      <c r="N102" s="236"/>
      <c r="O102" s="236"/>
      <c r="P102" s="236">
        <v>0</v>
      </c>
      <c r="Q102" s="221"/>
      <c r="AA102" s="330"/>
      <c r="AB102" s="330"/>
      <c r="AC102" s="359"/>
      <c r="AD102" s="330"/>
      <c r="AE102" s="330"/>
    </row>
    <row r="103" spans="2:31" x14ac:dyDescent="0.2">
      <c r="B103" s="234"/>
      <c r="C103" s="234" t="s">
        <v>56</v>
      </c>
      <c r="D103" s="236">
        <v>195</v>
      </c>
      <c r="E103" s="236"/>
      <c r="F103" s="236"/>
      <c r="G103" s="236"/>
      <c r="H103" s="236">
        <v>180</v>
      </c>
      <c r="I103" s="234"/>
      <c r="J103" s="236"/>
      <c r="K103" s="236"/>
      <c r="L103" s="236"/>
      <c r="M103" s="234"/>
      <c r="N103" s="236"/>
      <c r="O103" s="236"/>
      <c r="P103" s="236">
        <v>0</v>
      </c>
      <c r="Q103" s="221"/>
      <c r="AA103" s="330"/>
      <c r="AB103" s="330"/>
      <c r="AC103" s="359"/>
      <c r="AD103" s="330"/>
      <c r="AE103" s="330"/>
    </row>
    <row r="104" spans="2:31" x14ac:dyDescent="0.2">
      <c r="B104" s="234"/>
      <c r="C104" s="234" t="s">
        <v>29</v>
      </c>
      <c r="D104" s="236">
        <v>240</v>
      </c>
      <c r="E104" s="236"/>
      <c r="F104" s="236"/>
      <c r="G104" s="236"/>
      <c r="H104" s="236">
        <v>240</v>
      </c>
      <c r="I104" s="234"/>
      <c r="J104" s="236"/>
      <c r="K104" s="236"/>
      <c r="L104" s="236"/>
      <c r="M104" s="234">
        <v>240</v>
      </c>
      <c r="N104" s="236"/>
      <c r="O104" s="236"/>
      <c r="P104" s="236">
        <v>0</v>
      </c>
      <c r="Q104" s="221"/>
      <c r="AA104" s="360"/>
      <c r="AB104" s="330"/>
      <c r="AC104" s="359"/>
      <c r="AD104" s="330"/>
      <c r="AE104" s="330"/>
    </row>
    <row r="105" spans="2:31" x14ac:dyDescent="0.2">
      <c r="B105" s="234"/>
      <c r="C105" s="234" t="s">
        <v>24</v>
      </c>
      <c r="D105" s="236">
        <v>540</v>
      </c>
      <c r="E105" s="236"/>
      <c r="F105" s="236"/>
      <c r="G105" s="236"/>
      <c r="H105" s="236">
        <f>360+300</f>
        <v>660</v>
      </c>
      <c r="I105" s="234"/>
      <c r="J105" s="236"/>
      <c r="K105" s="236"/>
      <c r="L105" s="236"/>
      <c r="M105" s="234">
        <v>635</v>
      </c>
      <c r="N105" s="236"/>
      <c r="O105" s="236">
        <v>120</v>
      </c>
      <c r="P105" s="236">
        <v>120</v>
      </c>
      <c r="Q105" s="221"/>
      <c r="AA105" s="330"/>
      <c r="AB105" s="330"/>
      <c r="AC105" s="359"/>
      <c r="AD105" s="330"/>
      <c r="AE105" s="330"/>
    </row>
    <row r="106" spans="2:31" x14ac:dyDescent="0.2">
      <c r="B106" s="234"/>
      <c r="C106" s="234" t="s">
        <v>131</v>
      </c>
      <c r="D106" s="236">
        <v>900</v>
      </c>
      <c r="E106" s="236"/>
      <c r="F106" s="236"/>
      <c r="G106" s="236"/>
      <c r="H106" s="236">
        <v>900</v>
      </c>
      <c r="I106" s="234"/>
      <c r="J106" s="236"/>
      <c r="K106" s="236"/>
      <c r="L106" s="236"/>
      <c r="M106" s="234">
        <v>900</v>
      </c>
      <c r="N106" s="236">
        <v>935</v>
      </c>
      <c r="O106" s="236">
        <v>935</v>
      </c>
      <c r="P106" s="236">
        <v>935</v>
      </c>
      <c r="Q106" s="221"/>
      <c r="AA106" s="330"/>
      <c r="AB106" s="330"/>
      <c r="AC106" s="359"/>
      <c r="AD106" s="330"/>
      <c r="AE106" s="330"/>
    </row>
    <row r="107" spans="2:31" x14ac:dyDescent="0.2">
      <c r="B107" s="234"/>
      <c r="C107" s="234" t="s">
        <v>136</v>
      </c>
      <c r="D107" s="236"/>
      <c r="E107" s="236"/>
      <c r="F107" s="236"/>
      <c r="G107" s="236"/>
      <c r="H107" s="236"/>
      <c r="I107" s="234"/>
      <c r="J107" s="236"/>
      <c r="K107" s="236"/>
      <c r="L107" s="236"/>
      <c r="M107" s="234"/>
      <c r="N107" s="236">
        <v>1750</v>
      </c>
      <c r="O107" s="236">
        <v>1750</v>
      </c>
      <c r="P107" s="236">
        <v>1750</v>
      </c>
      <c r="Q107" s="221"/>
      <c r="AA107" s="330"/>
      <c r="AB107" s="330"/>
      <c r="AC107" s="359"/>
      <c r="AD107" s="330"/>
      <c r="AE107" s="330"/>
    </row>
    <row r="108" spans="2:31" x14ac:dyDescent="0.2">
      <c r="B108" s="234"/>
      <c r="C108" s="234" t="s">
        <v>135</v>
      </c>
      <c r="D108" s="236"/>
      <c r="E108" s="236"/>
      <c r="F108" s="236"/>
      <c r="G108" s="236"/>
      <c r="H108" s="236"/>
      <c r="I108" s="234"/>
      <c r="J108" s="236"/>
      <c r="K108" s="236"/>
      <c r="L108" s="236"/>
      <c r="M108" s="234"/>
      <c r="N108" s="236">
        <v>1360</v>
      </c>
      <c r="O108" s="236">
        <v>1360</v>
      </c>
      <c r="P108" s="236">
        <v>1360</v>
      </c>
      <c r="Q108" s="221"/>
      <c r="AA108" s="330"/>
      <c r="AB108" s="330"/>
      <c r="AC108" s="359"/>
      <c r="AD108" s="330"/>
      <c r="AE108" s="330"/>
    </row>
    <row r="109" spans="2:31" x14ac:dyDescent="0.2">
      <c r="B109" s="234"/>
      <c r="C109" s="234" t="s">
        <v>131</v>
      </c>
      <c r="D109" s="236"/>
      <c r="E109" s="236"/>
      <c r="F109" s="236"/>
      <c r="G109" s="236"/>
      <c r="H109" s="236"/>
      <c r="I109" s="234"/>
      <c r="J109" s="236"/>
      <c r="K109" s="236"/>
      <c r="L109" s="236"/>
      <c r="M109" s="234"/>
      <c r="N109" s="236">
        <v>900</v>
      </c>
      <c r="O109" s="236">
        <v>900</v>
      </c>
      <c r="P109" s="236">
        <v>900</v>
      </c>
      <c r="Q109" s="221"/>
      <c r="AA109" s="330"/>
      <c r="AB109" s="330"/>
      <c r="AC109" s="359"/>
      <c r="AD109" s="330"/>
      <c r="AE109" s="330"/>
    </row>
    <row r="110" spans="2:31" x14ac:dyDescent="0.2">
      <c r="B110" s="365" t="s">
        <v>35</v>
      </c>
      <c r="C110" s="365" t="s">
        <v>35</v>
      </c>
      <c r="D110" s="366" t="s">
        <v>35</v>
      </c>
      <c r="E110" s="366"/>
      <c r="F110" s="366"/>
      <c r="G110" s="366"/>
      <c r="H110" s="366"/>
      <c r="I110" s="365"/>
      <c r="J110" s="366"/>
      <c r="K110" s="366"/>
      <c r="L110" s="366"/>
      <c r="M110" s="366"/>
      <c r="N110" s="366"/>
      <c r="O110" s="366"/>
      <c r="P110" s="366"/>
      <c r="Q110" s="221"/>
      <c r="AA110" s="330"/>
      <c r="AB110" s="330"/>
      <c r="AC110" s="359"/>
      <c r="AD110" s="330"/>
      <c r="AE110" s="330"/>
    </row>
    <row r="111" spans="2:31" x14ac:dyDescent="0.2">
      <c r="B111" s="234">
        <v>2019</v>
      </c>
      <c r="C111" s="234" t="s">
        <v>26</v>
      </c>
      <c r="D111" s="234"/>
      <c r="E111" s="234"/>
      <c r="F111" s="234"/>
      <c r="G111" s="234"/>
      <c r="H111" s="234"/>
      <c r="I111" s="234"/>
      <c r="J111" s="234"/>
      <c r="K111" s="234"/>
      <c r="L111" s="234"/>
      <c r="M111" s="234"/>
      <c r="N111" s="234">
        <v>1860</v>
      </c>
      <c r="O111" s="234">
        <v>1860</v>
      </c>
      <c r="P111" s="234">
        <v>1860</v>
      </c>
      <c r="AA111" s="330"/>
      <c r="AB111" s="330"/>
      <c r="AC111" s="359"/>
      <c r="AD111" s="330"/>
      <c r="AE111" s="330"/>
    </row>
    <row r="112" spans="2:31" x14ac:dyDescent="0.2">
      <c r="B112" s="234"/>
      <c r="C112" s="234" t="s">
        <v>216</v>
      </c>
      <c r="D112" s="234"/>
      <c r="E112" s="234"/>
      <c r="F112" s="234"/>
      <c r="G112" s="234"/>
      <c r="H112" s="234"/>
      <c r="I112" s="234"/>
      <c r="J112" s="234"/>
      <c r="K112" s="234"/>
      <c r="L112" s="234"/>
      <c r="M112" s="234"/>
      <c r="N112" s="234">
        <v>60</v>
      </c>
      <c r="O112" s="234">
        <v>60</v>
      </c>
      <c r="P112" s="234">
        <v>60</v>
      </c>
      <c r="AA112" s="330"/>
      <c r="AB112" s="330"/>
      <c r="AC112" s="359"/>
      <c r="AD112" s="330"/>
      <c r="AE112" s="330"/>
    </row>
    <row r="113" spans="2:31" x14ac:dyDescent="0.2">
      <c r="B113" s="234"/>
      <c r="C113" s="234" t="s">
        <v>131</v>
      </c>
      <c r="D113" s="234"/>
      <c r="E113" s="234"/>
      <c r="F113" s="234"/>
      <c r="G113" s="234"/>
      <c r="H113" s="234"/>
      <c r="I113" s="234"/>
      <c r="J113" s="234"/>
      <c r="K113" s="234"/>
      <c r="L113" s="234"/>
      <c r="M113" s="234"/>
      <c r="N113" s="234">
        <v>1860</v>
      </c>
      <c r="O113" s="234">
        <v>1860</v>
      </c>
      <c r="P113" s="234">
        <v>1860</v>
      </c>
      <c r="AA113" s="330"/>
      <c r="AB113" s="330"/>
      <c r="AC113" s="359"/>
      <c r="AD113" s="330"/>
      <c r="AE113" s="330"/>
    </row>
    <row r="114" spans="2:31" x14ac:dyDescent="0.2">
      <c r="B114" s="234"/>
      <c r="C114" s="234" t="s">
        <v>23</v>
      </c>
      <c r="D114" s="234"/>
      <c r="E114" s="234"/>
      <c r="F114" s="234"/>
      <c r="G114" s="234"/>
      <c r="H114" s="234"/>
      <c r="I114" s="234"/>
      <c r="J114" s="234"/>
      <c r="K114" s="234"/>
      <c r="L114" s="234"/>
      <c r="M114" s="234"/>
      <c r="N114" s="234">
        <v>1140</v>
      </c>
      <c r="O114" s="234">
        <v>1140</v>
      </c>
      <c r="P114" s="234">
        <v>1140</v>
      </c>
      <c r="AA114" s="330"/>
      <c r="AB114" s="330"/>
      <c r="AC114" s="359"/>
      <c r="AD114" s="330"/>
      <c r="AE114" s="330"/>
    </row>
    <row r="115" spans="2:31" x14ac:dyDescent="0.2">
      <c r="B115" s="234"/>
      <c r="C115" s="234" t="s">
        <v>24</v>
      </c>
      <c r="D115" s="234"/>
      <c r="E115" s="234"/>
      <c r="F115" s="234"/>
      <c r="G115" s="234"/>
      <c r="H115" s="234"/>
      <c r="I115" s="234"/>
      <c r="J115" s="234"/>
      <c r="K115" s="234"/>
      <c r="L115" s="234"/>
      <c r="M115" s="234"/>
      <c r="N115" s="234">
        <v>660</v>
      </c>
      <c r="O115" s="234">
        <v>660</v>
      </c>
      <c r="P115" s="234">
        <v>660</v>
      </c>
      <c r="AA115" s="330"/>
      <c r="AB115" s="330"/>
      <c r="AC115" s="359"/>
      <c r="AD115" s="330"/>
      <c r="AE115" s="330"/>
    </row>
    <row r="116" spans="2:31" x14ac:dyDescent="0.2">
      <c r="B116" s="234"/>
      <c r="C116" s="234" t="s">
        <v>56</v>
      </c>
      <c r="D116" s="234"/>
      <c r="E116" s="234"/>
      <c r="F116" s="234"/>
      <c r="G116" s="234"/>
      <c r="H116" s="234"/>
      <c r="I116" s="234"/>
      <c r="J116" s="234"/>
      <c r="K116" s="234"/>
      <c r="L116" s="234"/>
      <c r="M116" s="234"/>
      <c r="N116" s="234">
        <v>660</v>
      </c>
      <c r="O116" s="234">
        <v>660</v>
      </c>
      <c r="P116" s="234">
        <v>660</v>
      </c>
      <c r="AA116" s="330"/>
      <c r="AB116" s="330"/>
      <c r="AC116" s="359"/>
      <c r="AD116" s="330"/>
      <c r="AE116" s="330"/>
    </row>
    <row r="117" spans="2:31" x14ac:dyDescent="0.2">
      <c r="AA117" s="330"/>
      <c r="AB117" s="330"/>
      <c r="AC117" s="359"/>
      <c r="AD117" s="330"/>
    </row>
    <row r="118" spans="2:31" x14ac:dyDescent="0.2">
      <c r="AA118" s="330"/>
      <c r="AB118" s="330"/>
      <c r="AC118" s="359"/>
      <c r="AD118" s="330"/>
    </row>
    <row r="119" spans="2:31" x14ac:dyDescent="0.2">
      <c r="AA119" s="330"/>
      <c r="AB119" s="330"/>
      <c r="AC119" s="359"/>
      <c r="AD119" s="330"/>
    </row>
    <row r="120" spans="2:31" x14ac:dyDescent="0.2">
      <c r="AA120" s="330"/>
      <c r="AB120" s="330"/>
      <c r="AC120" s="359"/>
      <c r="AD120" s="330"/>
    </row>
    <row r="121" spans="2:31" x14ac:dyDescent="0.2">
      <c r="AA121" s="330"/>
      <c r="AB121" s="330"/>
      <c r="AC121" s="359"/>
      <c r="AD121" s="330"/>
    </row>
    <row r="122" spans="2:31" x14ac:dyDescent="0.2">
      <c r="AA122" s="330"/>
      <c r="AB122" s="330"/>
      <c r="AC122" s="359"/>
      <c r="AD122" s="330"/>
    </row>
    <row r="123" spans="2:31" x14ac:dyDescent="0.2">
      <c r="AA123" s="330"/>
      <c r="AB123" s="330"/>
      <c r="AC123" s="359"/>
      <c r="AD123" s="330"/>
    </row>
    <row r="124" spans="2:31" x14ac:dyDescent="0.2">
      <c r="AA124" s="330"/>
      <c r="AB124" s="330"/>
      <c r="AC124" s="359"/>
      <c r="AD124" s="330"/>
    </row>
    <row r="125" spans="2:31" x14ac:dyDescent="0.2">
      <c r="AA125" s="330"/>
      <c r="AB125" s="330"/>
      <c r="AC125" s="359"/>
      <c r="AD125" s="330"/>
    </row>
    <row r="126" spans="2:31" x14ac:dyDescent="0.2">
      <c r="AA126" s="330"/>
      <c r="AB126" s="330"/>
      <c r="AC126" s="359"/>
      <c r="AD126" s="330"/>
    </row>
  </sheetData>
  <mergeCells count="4">
    <mergeCell ref="E72:P72"/>
    <mergeCell ref="B80:C80"/>
    <mergeCell ref="E80:P80"/>
    <mergeCell ref="AA29:AE29"/>
  </mergeCells>
  <pageMargins left="0.7" right="0.7" top="0.75" bottom="0.75" header="0.3" footer="0.3"/>
  <pageSetup scale="67" orientation="landscape"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D114"/>
  <sheetViews>
    <sheetView topLeftCell="A14" zoomScale="83" zoomScaleNormal="80" workbookViewId="0">
      <selection activeCell="D33" sqref="D33"/>
    </sheetView>
  </sheetViews>
  <sheetFormatPr defaultColWidth="9.28515625" defaultRowHeight="15" x14ac:dyDescent="0.2"/>
  <cols>
    <col min="1" max="1" width="10.28515625" style="220" bestFit="1" customWidth="1"/>
    <col min="2" max="2" width="9.28515625" style="220"/>
    <col min="3" max="3" width="23.7109375" style="220" customWidth="1"/>
    <col min="4" max="4" width="11.28515625" style="297" customWidth="1"/>
    <col min="5" max="5" width="13.28515625" style="220" customWidth="1"/>
    <col min="6" max="17" width="7.7109375" style="220" customWidth="1"/>
    <col min="18" max="18" width="11.7109375" style="220" customWidth="1"/>
    <col min="19" max="19" width="10.28515625" style="220" customWidth="1"/>
    <col min="20" max="20" width="10" style="220" customWidth="1"/>
    <col min="21" max="21" width="12.7109375" style="221" customWidth="1"/>
    <col min="22" max="22" width="9.28515625" style="221"/>
    <col min="23" max="23" width="15.7109375" style="220" customWidth="1"/>
    <col min="24" max="25" width="9.28515625" style="220"/>
    <col min="26" max="26" width="22.7109375" style="220" customWidth="1"/>
    <col min="27" max="27" width="10.28515625" style="220" customWidth="1"/>
    <col min="28" max="28" width="64.7109375" style="221" customWidth="1"/>
    <col min="29" max="30" width="19.42578125" style="220" customWidth="1"/>
    <col min="31" max="16384" width="9.28515625" style="220"/>
  </cols>
  <sheetData>
    <row r="1" spans="1:29" x14ac:dyDescent="0.2">
      <c r="E1" s="221"/>
      <c r="F1" s="329"/>
      <c r="G1" s="221"/>
      <c r="H1" s="221"/>
      <c r="I1" s="221"/>
      <c r="J1" s="221"/>
      <c r="K1" s="221"/>
      <c r="L1" s="221"/>
      <c r="M1" s="221"/>
      <c r="N1" s="221"/>
      <c r="O1" s="221"/>
      <c r="P1" s="221"/>
      <c r="Q1" s="221"/>
      <c r="R1" s="221"/>
    </row>
    <row r="2" spans="1:29" x14ac:dyDescent="0.2">
      <c r="C2" s="329">
        <v>44196</v>
      </c>
      <c r="E2" s="221"/>
      <c r="F2" s="221"/>
      <c r="G2" s="221"/>
      <c r="H2" s="221"/>
      <c r="I2" s="221"/>
      <c r="J2" s="221"/>
      <c r="K2" s="221"/>
      <c r="L2" s="221"/>
      <c r="M2" s="221"/>
      <c r="N2" s="221"/>
      <c r="O2" s="221"/>
      <c r="P2" s="221"/>
      <c r="Q2" s="221"/>
      <c r="R2" s="221"/>
    </row>
    <row r="3" spans="1:29" x14ac:dyDescent="0.2">
      <c r="C3" s="221"/>
      <c r="E3" s="221"/>
      <c r="F3" s="221"/>
      <c r="G3" s="221"/>
      <c r="H3" s="221"/>
      <c r="I3" s="221"/>
      <c r="J3" s="221"/>
      <c r="K3" s="221"/>
      <c r="L3" s="221"/>
      <c r="M3" s="221"/>
      <c r="N3" s="221"/>
      <c r="O3" s="221"/>
      <c r="P3" s="221"/>
      <c r="Q3" s="221"/>
      <c r="R3" s="221"/>
    </row>
    <row r="4" spans="1:29" x14ac:dyDescent="0.2">
      <c r="C4" s="339"/>
      <c r="E4" s="339"/>
      <c r="F4" s="339"/>
      <c r="G4" s="339"/>
      <c r="H4" s="339"/>
      <c r="I4" s="339"/>
      <c r="J4" s="339"/>
      <c r="K4" s="339"/>
      <c r="L4" s="339"/>
      <c r="M4" s="339"/>
      <c r="N4" s="339"/>
      <c r="O4" s="339"/>
      <c r="P4" s="339"/>
      <c r="Q4" s="339"/>
      <c r="R4" s="339"/>
    </row>
    <row r="5" spans="1:29" x14ac:dyDescent="0.2">
      <c r="D5" s="220"/>
      <c r="E5" s="221"/>
      <c r="F5" s="221"/>
      <c r="G5" s="221"/>
      <c r="H5" s="221"/>
      <c r="I5" s="221"/>
      <c r="J5" s="221"/>
      <c r="K5" s="221"/>
      <c r="L5" s="221"/>
      <c r="M5" s="221"/>
      <c r="N5" s="221"/>
      <c r="O5" s="221"/>
      <c r="P5" s="221"/>
      <c r="Q5" s="221"/>
      <c r="R5" s="221"/>
    </row>
    <row r="6" spans="1:29" ht="15.75" thickBot="1" x14ac:dyDescent="0.25">
      <c r="D6" s="220"/>
      <c r="E6" s="221"/>
      <c r="F6" s="221"/>
      <c r="G6" s="221"/>
      <c r="H6" s="221"/>
      <c r="I6" s="221"/>
      <c r="J6" s="221"/>
      <c r="K6" s="221"/>
      <c r="L6" s="221"/>
      <c r="M6" s="221" t="s">
        <v>219</v>
      </c>
      <c r="N6" s="221"/>
      <c r="O6" s="221"/>
      <c r="P6" s="221"/>
      <c r="Q6" s="221"/>
      <c r="R6" s="221"/>
    </row>
    <row r="7" spans="1:29" ht="16.5" thickBot="1" x14ac:dyDescent="0.3">
      <c r="A7" s="222"/>
      <c r="B7" s="223" t="s">
        <v>0</v>
      </c>
      <c r="C7" s="224"/>
      <c r="D7" s="224"/>
      <c r="E7" s="377"/>
      <c r="F7" s="377"/>
      <c r="G7" s="377"/>
      <c r="H7" s="377"/>
      <c r="I7" s="377"/>
      <c r="J7" s="377"/>
      <c r="K7" s="377"/>
      <c r="L7" s="377"/>
      <c r="M7" s="377"/>
      <c r="N7" s="377"/>
      <c r="O7" s="377"/>
      <c r="P7" s="377"/>
      <c r="Q7" s="377"/>
      <c r="R7" s="224"/>
      <c r="S7" s="224"/>
      <c r="T7" s="224"/>
      <c r="U7" s="300"/>
      <c r="V7" s="320" t="s">
        <v>0</v>
      </c>
      <c r="W7" s="224"/>
      <c r="AB7" s="1" t="s">
        <v>222</v>
      </c>
    </row>
    <row r="8" spans="1:29" ht="48" thickBot="1" x14ac:dyDescent="0.3">
      <c r="A8" s="160" t="s">
        <v>79</v>
      </c>
      <c r="B8" s="156" t="s">
        <v>3</v>
      </c>
      <c r="C8" s="107" t="s">
        <v>2</v>
      </c>
      <c r="D8" s="108" t="s">
        <v>176</v>
      </c>
      <c r="E8" s="109" t="s">
        <v>226</v>
      </c>
      <c r="F8" s="219" t="s">
        <v>4</v>
      </c>
      <c r="G8" s="110" t="s">
        <v>5</v>
      </c>
      <c r="H8" s="110" t="s">
        <v>6</v>
      </c>
      <c r="I8" s="110" t="s">
        <v>7</v>
      </c>
      <c r="J8" s="110" t="s">
        <v>8</v>
      </c>
      <c r="K8" s="110" t="s">
        <v>9</v>
      </c>
      <c r="L8" s="110" t="s">
        <v>10</v>
      </c>
      <c r="M8" s="110" t="s">
        <v>11</v>
      </c>
      <c r="N8" s="110" t="s">
        <v>12</v>
      </c>
      <c r="O8" s="110" t="s">
        <v>13</v>
      </c>
      <c r="P8" s="110" t="s">
        <v>14</v>
      </c>
      <c r="Q8" s="110" t="s">
        <v>15</v>
      </c>
      <c r="R8" s="111" t="s">
        <v>16</v>
      </c>
      <c r="S8" s="112" t="s">
        <v>176</v>
      </c>
      <c r="T8" s="109" t="s">
        <v>19</v>
      </c>
      <c r="U8" s="113" t="s">
        <v>41</v>
      </c>
      <c r="V8" s="156" t="s">
        <v>3</v>
      </c>
      <c r="W8" s="107" t="s">
        <v>2</v>
      </c>
      <c r="Z8" s="301" t="s">
        <v>142</v>
      </c>
      <c r="AA8" s="301" t="s">
        <v>143</v>
      </c>
      <c r="AB8" s="301" t="s">
        <v>154</v>
      </c>
      <c r="AC8" s="301" t="s">
        <v>102</v>
      </c>
    </row>
    <row r="9" spans="1:29" x14ac:dyDescent="0.2">
      <c r="A9" s="226"/>
      <c r="B9" s="227"/>
      <c r="C9" s="228"/>
      <c r="D9" s="228"/>
      <c r="E9" s="229"/>
      <c r="F9" s="229">
        <v>1</v>
      </c>
      <c r="G9" s="229"/>
      <c r="H9" s="229"/>
      <c r="I9" s="229"/>
      <c r="J9" s="229"/>
      <c r="K9" s="229"/>
      <c r="L9" s="229"/>
      <c r="M9" s="229"/>
      <c r="N9" s="229"/>
      <c r="O9" s="229"/>
      <c r="P9" s="229"/>
      <c r="Q9" s="229"/>
      <c r="R9" s="228"/>
      <c r="S9" s="230"/>
      <c r="T9" s="231"/>
      <c r="U9" s="302"/>
      <c r="V9" s="321"/>
      <c r="W9" s="228"/>
      <c r="Z9" s="388">
        <v>43845</v>
      </c>
      <c r="AA9" s="389">
        <v>2018</v>
      </c>
      <c r="AB9" s="389" t="s">
        <v>136</v>
      </c>
      <c r="AC9" s="389">
        <v>745</v>
      </c>
    </row>
    <row r="10" spans="1:29" x14ac:dyDescent="0.2">
      <c r="A10" s="234">
        <v>116509</v>
      </c>
      <c r="B10" s="255">
        <v>2015</v>
      </c>
      <c r="C10" s="234" t="s">
        <v>150</v>
      </c>
      <c r="D10" s="256" t="s">
        <v>35</v>
      </c>
      <c r="E10" s="236">
        <v>12</v>
      </c>
      <c r="F10" s="236">
        <v>0</v>
      </c>
      <c r="G10" s="236"/>
      <c r="H10" s="236"/>
      <c r="I10" s="236"/>
      <c r="J10" s="236"/>
      <c r="K10" s="236"/>
      <c r="L10" s="236"/>
      <c r="M10" s="236"/>
      <c r="N10" s="236"/>
      <c r="O10" s="236"/>
      <c r="P10" s="236"/>
      <c r="Q10" s="236"/>
      <c r="R10" s="372">
        <f t="shared" ref="R10" si="0">SUM(F10:Q10)</f>
        <v>0</v>
      </c>
      <c r="S10" s="263">
        <f t="shared" ref="S10" si="1">IFERROR((AVERAGE(F10:Q10)),0)</f>
        <v>0</v>
      </c>
      <c r="T10" s="336">
        <f t="shared" ref="T10" si="2">IFERROR((U10/S10),0)</f>
        <v>0</v>
      </c>
      <c r="U10" s="306">
        <f t="shared" ref="U10" si="3">SUM(E10-R10)</f>
        <v>12</v>
      </c>
      <c r="V10" s="339">
        <f>+B10</f>
        <v>2015</v>
      </c>
      <c r="W10" s="234" t="str">
        <f>+C10</f>
        <v>Snort</v>
      </c>
      <c r="Z10" s="388">
        <v>43845</v>
      </c>
      <c r="AA10" s="389">
        <v>2018</v>
      </c>
      <c r="AB10" s="389" t="s">
        <v>135</v>
      </c>
      <c r="AC10" s="389">
        <v>551</v>
      </c>
    </row>
    <row r="11" spans="1:29" x14ac:dyDescent="0.2">
      <c r="A11" s="226"/>
      <c r="B11" s="269"/>
      <c r="C11" s="269"/>
      <c r="D11" s="226"/>
      <c r="E11" s="272"/>
      <c r="F11" s="272"/>
      <c r="G11" s="272"/>
      <c r="H11" s="272"/>
      <c r="I11" s="272"/>
      <c r="J11" s="272"/>
      <c r="K11" s="272"/>
      <c r="L11" s="272"/>
      <c r="M11" s="272"/>
      <c r="N11" s="272"/>
      <c r="O11" s="272"/>
      <c r="P11" s="272"/>
      <c r="Q11" s="272"/>
      <c r="R11" s="375"/>
      <c r="S11" s="340"/>
      <c r="T11" s="341"/>
      <c r="U11" s="305"/>
      <c r="V11" s="272"/>
      <c r="W11" s="269"/>
      <c r="Z11" s="388">
        <v>43845</v>
      </c>
      <c r="AA11" s="389">
        <v>2018</v>
      </c>
      <c r="AB11" s="389" t="s">
        <v>131</v>
      </c>
      <c r="AC11" s="389">
        <v>443</v>
      </c>
    </row>
    <row r="12" spans="1:29" x14ac:dyDescent="0.2">
      <c r="A12" s="234">
        <v>97511</v>
      </c>
      <c r="B12" s="308">
        <v>2016</v>
      </c>
      <c r="C12" s="308" t="s">
        <v>25</v>
      </c>
      <c r="D12" s="256">
        <v>22</v>
      </c>
      <c r="E12" s="309">
        <v>76</v>
      </c>
      <c r="F12" s="236">
        <v>19</v>
      </c>
      <c r="G12" s="236">
        <v>13</v>
      </c>
      <c r="H12" s="236">
        <v>13</v>
      </c>
      <c r="I12" s="236">
        <v>13</v>
      </c>
      <c r="J12" s="236">
        <v>14</v>
      </c>
      <c r="K12" s="236">
        <v>4</v>
      </c>
      <c r="L12" s="242"/>
      <c r="M12" s="242"/>
      <c r="N12" s="242"/>
      <c r="O12" s="242"/>
      <c r="P12" s="242"/>
      <c r="Q12" s="242"/>
      <c r="R12" s="372">
        <f t="shared" ref="R12:R14" si="4">SUM(F12:Q12)</f>
        <v>76</v>
      </c>
      <c r="S12" s="263">
        <f t="shared" ref="S12:S14" si="5">IFERROR((AVERAGE(F12:Q12)),0)</f>
        <v>12.666666666666666</v>
      </c>
      <c r="T12" s="336">
        <f t="shared" ref="T12:T14" si="6">IFERROR((U12/S12),0)</f>
        <v>0</v>
      </c>
      <c r="U12" s="306">
        <f t="shared" ref="U12:U14" si="7">SUM(E12-R12)</f>
        <v>0</v>
      </c>
      <c r="V12" s="309">
        <v>2016</v>
      </c>
      <c r="W12" s="308" t="s">
        <v>25</v>
      </c>
      <c r="Z12" s="388">
        <v>44174</v>
      </c>
      <c r="AA12" s="389">
        <v>2019</v>
      </c>
      <c r="AB12" s="389" t="s">
        <v>26</v>
      </c>
      <c r="AC12" s="389">
        <v>335</v>
      </c>
    </row>
    <row r="13" spans="1:29" x14ac:dyDescent="0.2">
      <c r="A13" s="234">
        <v>101638</v>
      </c>
      <c r="B13" s="308">
        <v>2016</v>
      </c>
      <c r="C13" s="308" t="s">
        <v>26</v>
      </c>
      <c r="D13" s="256">
        <v>23</v>
      </c>
      <c r="E13" s="309">
        <v>82</v>
      </c>
      <c r="F13" s="342">
        <v>23</v>
      </c>
      <c r="G13" s="342">
        <v>27</v>
      </c>
      <c r="H13" s="342">
        <v>8</v>
      </c>
      <c r="I13" s="252">
        <v>13</v>
      </c>
      <c r="J13" s="252">
        <v>10</v>
      </c>
      <c r="K13" s="338"/>
      <c r="L13" s="338"/>
      <c r="M13" s="338"/>
      <c r="N13" s="338"/>
      <c r="O13" s="338"/>
      <c r="P13" s="338"/>
      <c r="Q13" s="338"/>
      <c r="R13" s="374">
        <f t="shared" si="4"/>
        <v>81</v>
      </c>
      <c r="S13" s="263">
        <f t="shared" si="5"/>
        <v>16.2</v>
      </c>
      <c r="T13" s="343">
        <f t="shared" si="6"/>
        <v>6.1728395061728399E-2</v>
      </c>
      <c r="U13" s="306">
        <f t="shared" si="7"/>
        <v>1</v>
      </c>
      <c r="V13" s="309">
        <v>2016</v>
      </c>
      <c r="W13" s="308" t="s">
        <v>26</v>
      </c>
      <c r="Z13" s="388">
        <v>44174</v>
      </c>
      <c r="AA13" s="389">
        <v>2019</v>
      </c>
      <c r="AB13" s="389" t="s">
        <v>24</v>
      </c>
      <c r="AC13" s="389">
        <v>126</v>
      </c>
    </row>
    <row r="14" spans="1:29" x14ac:dyDescent="0.2">
      <c r="A14" s="234">
        <v>101639</v>
      </c>
      <c r="B14" s="308">
        <v>2016</v>
      </c>
      <c r="C14" s="308" t="s">
        <v>120</v>
      </c>
      <c r="D14" s="256">
        <v>17</v>
      </c>
      <c r="E14" s="221">
        <v>173</v>
      </c>
      <c r="F14" s="337">
        <v>31</v>
      </c>
      <c r="G14" s="337">
        <v>6</v>
      </c>
      <c r="H14" s="337">
        <v>9</v>
      </c>
      <c r="I14" s="236">
        <v>10</v>
      </c>
      <c r="J14" s="236">
        <v>4</v>
      </c>
      <c r="K14" s="236">
        <v>3</v>
      </c>
      <c r="L14" s="236">
        <v>5</v>
      </c>
      <c r="M14" s="236">
        <v>15</v>
      </c>
      <c r="N14" s="337">
        <v>23</v>
      </c>
      <c r="O14" s="236">
        <v>25</v>
      </c>
      <c r="P14" s="236">
        <v>21</v>
      </c>
      <c r="Q14" s="236">
        <v>21</v>
      </c>
      <c r="R14" s="372">
        <f t="shared" si="4"/>
        <v>173</v>
      </c>
      <c r="S14" s="267">
        <f t="shared" si="5"/>
        <v>14.416666666666666</v>
      </c>
      <c r="T14" s="344">
        <f t="shared" si="6"/>
        <v>0</v>
      </c>
      <c r="U14" s="279">
        <f t="shared" si="7"/>
        <v>0</v>
      </c>
      <c r="V14" s="221">
        <v>2016</v>
      </c>
      <c r="W14" s="220" t="s">
        <v>120</v>
      </c>
      <c r="Z14" s="388">
        <v>44174</v>
      </c>
      <c r="AA14" s="389">
        <v>2019</v>
      </c>
      <c r="AB14" s="389" t="s">
        <v>131</v>
      </c>
      <c r="AC14" s="389">
        <v>429</v>
      </c>
    </row>
    <row r="15" spans="1:29" x14ac:dyDescent="0.2">
      <c r="A15" s="226"/>
      <c r="B15" s="269"/>
      <c r="C15" s="269"/>
      <c r="D15" s="226" t="s">
        <v>35</v>
      </c>
      <c r="E15" s="271"/>
      <c r="F15" s="271"/>
      <c r="G15" s="271"/>
      <c r="H15" s="271"/>
      <c r="I15" s="271"/>
      <c r="J15" s="271"/>
      <c r="K15" s="271"/>
      <c r="L15" s="271"/>
      <c r="M15" s="271"/>
      <c r="N15" s="271"/>
      <c r="O15" s="271"/>
      <c r="P15" s="271"/>
      <c r="Q15" s="271"/>
      <c r="R15" s="281"/>
      <c r="S15" s="283"/>
      <c r="T15" s="284"/>
      <c r="U15" s="271"/>
      <c r="V15" s="271"/>
      <c r="W15" s="282"/>
      <c r="Z15" s="388">
        <v>44174</v>
      </c>
      <c r="AA15" s="389">
        <v>2019</v>
      </c>
      <c r="AB15" s="389" t="s">
        <v>135</v>
      </c>
      <c r="AC15" s="389">
        <v>608</v>
      </c>
    </row>
    <row r="16" spans="1:29" x14ac:dyDescent="0.2">
      <c r="A16" s="234">
        <v>97509</v>
      </c>
      <c r="B16" s="234">
        <v>2017</v>
      </c>
      <c r="C16" s="234" t="s">
        <v>107</v>
      </c>
      <c r="D16" s="235">
        <v>17</v>
      </c>
      <c r="E16" s="236">
        <v>172</v>
      </c>
      <c r="F16" s="337">
        <v>25</v>
      </c>
      <c r="G16" s="337">
        <v>19</v>
      </c>
      <c r="H16" s="337">
        <v>13</v>
      </c>
      <c r="I16" s="236">
        <v>15</v>
      </c>
      <c r="J16" s="236">
        <v>6</v>
      </c>
      <c r="K16" s="236">
        <v>18</v>
      </c>
      <c r="L16" s="236">
        <v>24</v>
      </c>
      <c r="M16" s="236">
        <v>22</v>
      </c>
      <c r="N16" s="337">
        <v>25</v>
      </c>
      <c r="O16" s="236">
        <v>5</v>
      </c>
      <c r="P16" s="242"/>
      <c r="Q16" s="242"/>
      <c r="R16" s="372">
        <f t="shared" ref="R16:R22" si="8">SUM(F16:Q16)</f>
        <v>172</v>
      </c>
      <c r="S16" s="345">
        <f t="shared" ref="S16:S22" si="9">IFERROR((AVERAGE(F16:Q16)),0)</f>
        <v>17.2</v>
      </c>
      <c r="T16" s="279">
        <f t="shared" ref="T16:T22" si="10">IFERROR((U16/S16),0)</f>
        <v>0</v>
      </c>
      <c r="U16" s="236">
        <f t="shared" ref="U16:U22" si="11">SUM(E16-R16)</f>
        <v>0</v>
      </c>
      <c r="V16" s="236">
        <v>2017</v>
      </c>
      <c r="W16" s="234" t="s">
        <v>107</v>
      </c>
      <c r="Z16" s="390"/>
      <c r="AA16" s="390"/>
      <c r="AB16" s="389"/>
      <c r="AC16" s="390"/>
    </row>
    <row r="17" spans="1:30" x14ac:dyDescent="0.2">
      <c r="A17" s="234">
        <v>97511</v>
      </c>
      <c r="B17" s="234">
        <v>2017</v>
      </c>
      <c r="C17" s="234" t="s">
        <v>25</v>
      </c>
      <c r="D17" s="256">
        <v>22</v>
      </c>
      <c r="E17" s="236">
        <v>324</v>
      </c>
      <c r="F17" s="246">
        <v>0</v>
      </c>
      <c r="G17" s="246">
        <v>0</v>
      </c>
      <c r="H17" s="246">
        <v>0</v>
      </c>
      <c r="I17" s="246">
        <v>0</v>
      </c>
      <c r="J17" s="246">
        <v>10</v>
      </c>
      <c r="K17" s="337">
        <v>20</v>
      </c>
      <c r="L17" s="337">
        <v>20</v>
      </c>
      <c r="M17" s="337">
        <v>17</v>
      </c>
      <c r="N17" s="337">
        <v>20</v>
      </c>
      <c r="O17" s="337">
        <v>22</v>
      </c>
      <c r="P17" s="337">
        <v>9</v>
      </c>
      <c r="Q17" s="337">
        <v>4</v>
      </c>
      <c r="R17" s="372">
        <f t="shared" si="8"/>
        <v>122</v>
      </c>
      <c r="S17" s="345">
        <f t="shared" si="9"/>
        <v>10.166666666666666</v>
      </c>
      <c r="T17" s="279">
        <f t="shared" si="10"/>
        <v>19.868852459016395</v>
      </c>
      <c r="U17" s="236">
        <f>SUM(E17-R17)</f>
        <v>202</v>
      </c>
      <c r="V17" s="236">
        <v>2017</v>
      </c>
      <c r="W17" s="234" t="s">
        <v>25</v>
      </c>
      <c r="Z17" s="390"/>
      <c r="AA17" s="390"/>
      <c r="AB17" s="389"/>
      <c r="AC17" s="390"/>
    </row>
    <row r="18" spans="1:30" ht="15.75" x14ac:dyDescent="0.25">
      <c r="A18" s="234">
        <v>101638</v>
      </c>
      <c r="B18" s="234">
        <v>2017</v>
      </c>
      <c r="C18" s="234" t="s">
        <v>26</v>
      </c>
      <c r="D18" s="380">
        <v>23</v>
      </c>
      <c r="E18" s="236">
        <v>251</v>
      </c>
      <c r="F18" s="246">
        <v>0</v>
      </c>
      <c r="G18" s="246">
        <v>0</v>
      </c>
      <c r="H18" s="246">
        <v>0</v>
      </c>
      <c r="I18" s="246">
        <v>13</v>
      </c>
      <c r="J18" s="246">
        <v>0</v>
      </c>
      <c r="K18" s="337">
        <v>0</v>
      </c>
      <c r="L18" s="337">
        <v>0</v>
      </c>
      <c r="M18" s="337">
        <v>0</v>
      </c>
      <c r="N18" s="337">
        <v>5</v>
      </c>
      <c r="O18" s="337">
        <v>36</v>
      </c>
      <c r="P18" s="337">
        <v>20</v>
      </c>
      <c r="Q18" s="337">
        <v>10</v>
      </c>
      <c r="R18" s="372">
        <f t="shared" si="8"/>
        <v>84</v>
      </c>
      <c r="S18" s="345">
        <f t="shared" si="9"/>
        <v>7</v>
      </c>
      <c r="T18" s="279">
        <f t="shared" si="10"/>
        <v>23.857142857142858</v>
      </c>
      <c r="U18" s="236">
        <f t="shared" si="11"/>
        <v>167</v>
      </c>
      <c r="V18" s="236">
        <v>2017</v>
      </c>
      <c r="W18" s="234" t="s">
        <v>26</v>
      </c>
      <c r="Z18" s="455" t="s">
        <v>173</v>
      </c>
      <c r="AA18" s="455"/>
      <c r="AB18" s="455"/>
      <c r="AC18" s="455"/>
      <c r="AD18" s="455"/>
    </row>
    <row r="19" spans="1:30" ht="15.75" x14ac:dyDescent="0.25">
      <c r="A19" s="234">
        <v>100465</v>
      </c>
      <c r="B19" s="234">
        <v>2017</v>
      </c>
      <c r="C19" s="234" t="s">
        <v>135</v>
      </c>
      <c r="D19" s="256">
        <v>21</v>
      </c>
      <c r="E19" s="236">
        <v>311</v>
      </c>
      <c r="F19" s="337">
        <v>31</v>
      </c>
      <c r="G19" s="337">
        <v>20</v>
      </c>
      <c r="H19" s="337">
        <v>44</v>
      </c>
      <c r="I19" s="337">
        <v>21</v>
      </c>
      <c r="J19" s="337">
        <v>9</v>
      </c>
      <c r="K19" s="337">
        <v>13</v>
      </c>
      <c r="L19" s="337">
        <v>15</v>
      </c>
      <c r="M19" s="337">
        <v>18</v>
      </c>
      <c r="N19" s="337">
        <v>29</v>
      </c>
      <c r="O19" s="337">
        <v>30</v>
      </c>
      <c r="P19" s="337">
        <v>17</v>
      </c>
      <c r="Q19" s="337">
        <v>41</v>
      </c>
      <c r="R19" s="372">
        <f t="shared" si="8"/>
        <v>288</v>
      </c>
      <c r="S19" s="345">
        <f t="shared" si="9"/>
        <v>24</v>
      </c>
      <c r="T19" s="279">
        <f t="shared" si="10"/>
        <v>0.95833333333333337</v>
      </c>
      <c r="U19" s="236">
        <f t="shared" si="11"/>
        <v>23</v>
      </c>
      <c r="V19" s="236">
        <v>2017</v>
      </c>
      <c r="W19" s="234" t="s">
        <v>135</v>
      </c>
      <c r="Z19" s="399" t="s">
        <v>142</v>
      </c>
      <c r="AA19" s="391" t="s">
        <v>143</v>
      </c>
      <c r="AB19" s="392" t="s">
        <v>223</v>
      </c>
      <c r="AC19" s="392" t="s">
        <v>224</v>
      </c>
      <c r="AD19" s="392" t="s">
        <v>225</v>
      </c>
    </row>
    <row r="20" spans="1:30" x14ac:dyDescent="0.2">
      <c r="A20" s="234">
        <v>102768</v>
      </c>
      <c r="B20" s="234">
        <v>2017</v>
      </c>
      <c r="C20" s="234" t="s">
        <v>131</v>
      </c>
      <c r="D20" s="256">
        <v>14</v>
      </c>
      <c r="E20" s="236">
        <v>80</v>
      </c>
      <c r="F20" s="337">
        <v>12</v>
      </c>
      <c r="G20" s="337">
        <v>9</v>
      </c>
      <c r="H20" s="337">
        <v>8</v>
      </c>
      <c r="I20" s="337">
        <v>7</v>
      </c>
      <c r="J20" s="337">
        <v>9</v>
      </c>
      <c r="K20" s="337">
        <v>1</v>
      </c>
      <c r="L20" s="337">
        <v>3</v>
      </c>
      <c r="M20" s="337">
        <v>5</v>
      </c>
      <c r="N20" s="337">
        <v>3</v>
      </c>
      <c r="O20" s="337">
        <v>1</v>
      </c>
      <c r="P20" s="337">
        <v>2</v>
      </c>
      <c r="Q20" s="337">
        <v>2</v>
      </c>
      <c r="R20" s="372">
        <f t="shared" si="8"/>
        <v>62</v>
      </c>
      <c r="S20" s="345">
        <f t="shared" si="9"/>
        <v>5.166666666666667</v>
      </c>
      <c r="T20" s="279">
        <f t="shared" si="10"/>
        <v>3.4838709677419355</v>
      </c>
      <c r="U20" s="236">
        <f t="shared" si="11"/>
        <v>18</v>
      </c>
      <c r="V20" s="236">
        <v>2017</v>
      </c>
      <c r="W20" s="234" t="s">
        <v>131</v>
      </c>
      <c r="Z20" s="393">
        <v>43832</v>
      </c>
      <c r="AA20" s="394">
        <v>2018</v>
      </c>
      <c r="AB20" s="395" t="s">
        <v>227</v>
      </c>
      <c r="AC20" s="396">
        <v>195</v>
      </c>
      <c r="AD20" s="397" t="s">
        <v>104</v>
      </c>
    </row>
    <row r="21" spans="1:30" x14ac:dyDescent="0.2">
      <c r="A21" s="234">
        <v>100463</v>
      </c>
      <c r="B21" s="234">
        <v>2017</v>
      </c>
      <c r="C21" s="234" t="s">
        <v>136</v>
      </c>
      <c r="D21" s="256">
        <v>45</v>
      </c>
      <c r="E21" s="236">
        <v>220</v>
      </c>
      <c r="F21" s="337">
        <v>46</v>
      </c>
      <c r="G21" s="337">
        <v>31</v>
      </c>
      <c r="H21" s="337">
        <v>32</v>
      </c>
      <c r="I21" s="337">
        <v>26</v>
      </c>
      <c r="J21" s="337">
        <v>13</v>
      </c>
      <c r="K21" s="337">
        <v>21</v>
      </c>
      <c r="L21" s="337">
        <v>35</v>
      </c>
      <c r="M21" s="337">
        <v>16</v>
      </c>
      <c r="N21" s="242"/>
      <c r="O21" s="242"/>
      <c r="P21" s="242"/>
      <c r="Q21" s="242"/>
      <c r="R21" s="372">
        <f t="shared" si="8"/>
        <v>220</v>
      </c>
      <c r="S21" s="345">
        <f t="shared" si="9"/>
        <v>27.5</v>
      </c>
      <c r="T21" s="279">
        <f t="shared" si="10"/>
        <v>0</v>
      </c>
      <c r="U21" s="236">
        <f t="shared" si="11"/>
        <v>0</v>
      </c>
      <c r="V21" s="236">
        <v>2017</v>
      </c>
      <c r="W21" s="234" t="s">
        <v>136</v>
      </c>
      <c r="Z21" s="393">
        <v>43846</v>
      </c>
      <c r="AA21" s="394">
        <v>2018</v>
      </c>
      <c r="AB21" s="395" t="s">
        <v>235</v>
      </c>
      <c r="AC21" s="396">
        <v>75</v>
      </c>
      <c r="AD21" s="397" t="s">
        <v>104</v>
      </c>
    </row>
    <row r="22" spans="1:30" x14ac:dyDescent="0.2">
      <c r="A22" s="234">
        <v>101639</v>
      </c>
      <c r="B22" s="234">
        <v>2017</v>
      </c>
      <c r="C22" s="234" t="s">
        <v>120</v>
      </c>
      <c r="D22" s="256">
        <v>17</v>
      </c>
      <c r="E22" s="236">
        <v>348</v>
      </c>
      <c r="F22" s="246">
        <v>0</v>
      </c>
      <c r="G22" s="246">
        <v>31</v>
      </c>
      <c r="H22" s="246">
        <v>0</v>
      </c>
      <c r="I22" s="246">
        <v>0</v>
      </c>
      <c r="J22" s="246">
        <v>0</v>
      </c>
      <c r="K22" s="246">
        <v>0</v>
      </c>
      <c r="L22" s="246">
        <v>0</v>
      </c>
      <c r="M22" s="246">
        <v>0</v>
      </c>
      <c r="N22" s="246">
        <v>0</v>
      </c>
      <c r="O22" s="246">
        <v>0</v>
      </c>
      <c r="P22" s="246">
        <v>3</v>
      </c>
      <c r="Q22" s="246">
        <v>10</v>
      </c>
      <c r="R22" s="372">
        <f t="shared" si="8"/>
        <v>44</v>
      </c>
      <c r="S22" s="345">
        <f t="shared" si="9"/>
        <v>3.6666666666666665</v>
      </c>
      <c r="T22" s="279">
        <f t="shared" si="10"/>
        <v>82.909090909090907</v>
      </c>
      <c r="U22" s="236">
        <f t="shared" si="11"/>
        <v>304</v>
      </c>
      <c r="V22" s="236">
        <v>2017</v>
      </c>
      <c r="W22" s="234" t="str">
        <f>+C22</f>
        <v>Norton</v>
      </c>
      <c r="Z22" s="393">
        <v>43893</v>
      </c>
      <c r="AA22" s="394">
        <v>2019</v>
      </c>
      <c r="AB22" s="395" t="s">
        <v>228</v>
      </c>
      <c r="AC22" s="396">
        <v>240</v>
      </c>
      <c r="AD22" s="397" t="s">
        <v>104</v>
      </c>
    </row>
    <row r="23" spans="1:30" x14ac:dyDescent="0.2">
      <c r="A23" s="226"/>
      <c r="B23" s="269" t="s">
        <v>35</v>
      </c>
      <c r="C23" s="269"/>
      <c r="D23" s="226" t="s">
        <v>35</v>
      </c>
      <c r="E23" s="272"/>
      <c r="F23" s="272"/>
      <c r="G23" s="272"/>
      <c r="H23" s="272"/>
      <c r="I23" s="272"/>
      <c r="J23" s="272"/>
      <c r="K23" s="272"/>
      <c r="L23" s="272"/>
      <c r="M23" s="272"/>
      <c r="N23" s="272"/>
      <c r="O23" s="272"/>
      <c r="P23" s="272"/>
      <c r="Q23" s="272"/>
      <c r="R23" s="376"/>
      <c r="S23" s="283"/>
      <c r="T23" s="284">
        <v>0</v>
      </c>
      <c r="U23" s="271"/>
      <c r="V23" s="272"/>
      <c r="W23" s="269"/>
      <c r="Z23" s="393"/>
      <c r="AA23" s="394"/>
      <c r="AB23" s="395"/>
      <c r="AC23" s="396"/>
      <c r="AD23" s="397"/>
    </row>
    <row r="24" spans="1:30" x14ac:dyDescent="0.2">
      <c r="A24" s="234">
        <v>101638</v>
      </c>
      <c r="B24" s="237" t="s">
        <v>133</v>
      </c>
      <c r="C24" s="234" t="s">
        <v>217</v>
      </c>
      <c r="D24" s="256" t="s">
        <v>35</v>
      </c>
      <c r="E24" s="236">
        <v>87</v>
      </c>
      <c r="F24" s="236">
        <v>10</v>
      </c>
      <c r="G24" s="236">
        <v>7</v>
      </c>
      <c r="H24" s="236">
        <v>3</v>
      </c>
      <c r="I24" s="236">
        <v>11</v>
      </c>
      <c r="J24" s="236">
        <v>5</v>
      </c>
      <c r="K24" s="236">
        <v>6</v>
      </c>
      <c r="L24" s="236">
        <v>10</v>
      </c>
      <c r="M24" s="236">
        <v>10</v>
      </c>
      <c r="N24" s="236">
        <v>15</v>
      </c>
      <c r="O24" s="236">
        <v>10</v>
      </c>
      <c r="P24" s="242"/>
      <c r="Q24" s="242"/>
      <c r="R24" s="372">
        <f t="shared" ref="R24" si="12">SUM(F24:Q24)</f>
        <v>87</v>
      </c>
      <c r="S24" s="345">
        <f t="shared" ref="S24:S34" si="13">IFERROR((AVERAGE(F24:Q24)),0)</f>
        <v>8.6999999999999993</v>
      </c>
      <c r="T24" s="279">
        <f t="shared" ref="T24:T32" si="14">IFERROR((U24/S24),0)</f>
        <v>0</v>
      </c>
      <c r="U24" s="236">
        <f t="shared" ref="U24:U28" si="15">SUM(E24-R24)</f>
        <v>0</v>
      </c>
      <c r="V24" s="236" t="s">
        <v>133</v>
      </c>
      <c r="W24" s="234" t="s">
        <v>134</v>
      </c>
      <c r="Z24" s="393">
        <v>43934</v>
      </c>
      <c r="AA24" s="394">
        <v>2019</v>
      </c>
      <c r="AB24" s="395" t="s">
        <v>230</v>
      </c>
      <c r="AC24" s="396">
        <v>75</v>
      </c>
      <c r="AD24" s="397" t="s">
        <v>229</v>
      </c>
    </row>
    <row r="25" spans="1:30" x14ac:dyDescent="0.2">
      <c r="A25" s="234">
        <v>100464</v>
      </c>
      <c r="B25" s="237">
        <v>2018</v>
      </c>
      <c r="C25" s="234" t="s">
        <v>110</v>
      </c>
      <c r="D25" s="256">
        <v>39</v>
      </c>
      <c r="E25" s="236">
        <v>273</v>
      </c>
      <c r="F25" s="337">
        <v>31</v>
      </c>
      <c r="G25" s="337">
        <v>39</v>
      </c>
      <c r="H25" s="337">
        <v>36</v>
      </c>
      <c r="I25" s="337">
        <v>32</v>
      </c>
      <c r="J25" s="337">
        <v>29</v>
      </c>
      <c r="K25" s="337">
        <v>45</v>
      </c>
      <c r="L25" s="337">
        <v>61</v>
      </c>
      <c r="M25" s="242"/>
      <c r="N25" s="242"/>
      <c r="O25" s="242"/>
      <c r="P25" s="242"/>
      <c r="Q25" s="242"/>
      <c r="R25" s="372">
        <f t="shared" ref="R25:R33" si="16">SUM(F25:Q25)</f>
        <v>273</v>
      </c>
      <c r="S25" s="345">
        <f t="shared" si="13"/>
        <v>39</v>
      </c>
      <c r="T25" s="279">
        <f t="shared" si="14"/>
        <v>0</v>
      </c>
      <c r="U25" s="236">
        <f t="shared" si="15"/>
        <v>0</v>
      </c>
      <c r="V25" s="236">
        <f t="shared" ref="V25:V34" si="17">+B25</f>
        <v>2018</v>
      </c>
      <c r="W25" s="234" t="str">
        <f t="shared" ref="W25:W34" si="18">+C25</f>
        <v>Rose</v>
      </c>
      <c r="Z25" s="393">
        <v>43934</v>
      </c>
      <c r="AA25" s="394">
        <v>2019</v>
      </c>
      <c r="AB25" s="395" t="s">
        <v>231</v>
      </c>
      <c r="AC25" s="396">
        <v>383</v>
      </c>
      <c r="AD25" s="397" t="s">
        <v>229</v>
      </c>
    </row>
    <row r="26" spans="1:30" x14ac:dyDescent="0.2">
      <c r="A26" s="234">
        <v>97509</v>
      </c>
      <c r="B26" s="237">
        <v>2018</v>
      </c>
      <c r="C26" s="234" t="s">
        <v>107</v>
      </c>
      <c r="D26" s="380">
        <v>17</v>
      </c>
      <c r="E26" s="236">
        <v>266</v>
      </c>
      <c r="F26" s="246">
        <v>0</v>
      </c>
      <c r="G26" s="246">
        <v>1</v>
      </c>
      <c r="H26" s="246">
        <v>0</v>
      </c>
      <c r="I26" s="246">
        <v>0</v>
      </c>
      <c r="J26" s="246">
        <v>1</v>
      </c>
      <c r="K26" s="246">
        <v>1</v>
      </c>
      <c r="L26" s="246">
        <v>0</v>
      </c>
      <c r="M26" s="246">
        <v>0</v>
      </c>
      <c r="N26" s="246">
        <v>0</v>
      </c>
      <c r="O26" s="237">
        <v>19</v>
      </c>
      <c r="P26" s="237">
        <v>12</v>
      </c>
      <c r="Q26" s="237">
        <v>4</v>
      </c>
      <c r="R26" s="372">
        <f t="shared" si="16"/>
        <v>38</v>
      </c>
      <c r="S26" s="345">
        <f t="shared" si="13"/>
        <v>3.1666666666666665</v>
      </c>
      <c r="T26" s="279">
        <f t="shared" si="14"/>
        <v>72</v>
      </c>
      <c r="U26" s="236">
        <f t="shared" si="15"/>
        <v>228</v>
      </c>
      <c r="V26" s="236">
        <f t="shared" si="17"/>
        <v>2018</v>
      </c>
      <c r="W26" s="367" t="str">
        <f t="shared" si="18"/>
        <v>Traminette</v>
      </c>
      <c r="Z26" s="393">
        <v>43992</v>
      </c>
      <c r="AA26" s="394">
        <v>2019</v>
      </c>
      <c r="AB26" s="395" t="s">
        <v>233</v>
      </c>
      <c r="AC26" s="396">
        <v>297</v>
      </c>
      <c r="AD26" s="397" t="s">
        <v>229</v>
      </c>
    </row>
    <row r="27" spans="1:30" x14ac:dyDescent="0.2">
      <c r="A27" s="386">
        <v>101636</v>
      </c>
      <c r="B27" s="237">
        <v>2018</v>
      </c>
      <c r="C27" s="234" t="s">
        <v>31</v>
      </c>
      <c r="D27" s="381">
        <v>22</v>
      </c>
      <c r="E27" s="236">
        <v>264</v>
      </c>
      <c r="F27" s="337">
        <v>25</v>
      </c>
      <c r="G27" s="337">
        <v>12</v>
      </c>
      <c r="H27" s="337">
        <v>38</v>
      </c>
      <c r="I27" s="337">
        <v>14</v>
      </c>
      <c r="J27" s="337">
        <v>12</v>
      </c>
      <c r="K27" s="337">
        <v>21</v>
      </c>
      <c r="L27" s="337">
        <v>27</v>
      </c>
      <c r="M27" s="337">
        <v>18</v>
      </c>
      <c r="N27" s="337">
        <v>25</v>
      </c>
      <c r="O27" s="337">
        <v>22</v>
      </c>
      <c r="P27" s="337">
        <v>16</v>
      </c>
      <c r="Q27" s="337">
        <v>5</v>
      </c>
      <c r="R27" s="372">
        <f t="shared" si="16"/>
        <v>235</v>
      </c>
      <c r="S27" s="345">
        <f t="shared" si="13"/>
        <v>19.583333333333332</v>
      </c>
      <c r="T27" s="279">
        <f t="shared" si="14"/>
        <v>1.4808510638297874</v>
      </c>
      <c r="U27" s="236">
        <f t="shared" si="15"/>
        <v>29</v>
      </c>
      <c r="V27" s="236">
        <f t="shared" si="17"/>
        <v>2018</v>
      </c>
      <c r="W27" s="367" t="str">
        <f t="shared" si="18"/>
        <v>Viognier</v>
      </c>
      <c r="Z27" s="393">
        <v>43992</v>
      </c>
      <c r="AA27" s="394">
        <v>2019</v>
      </c>
      <c r="AB27" s="395" t="s">
        <v>234</v>
      </c>
      <c r="AC27" s="396">
        <v>412</v>
      </c>
      <c r="AD27" s="397" t="s">
        <v>229</v>
      </c>
    </row>
    <row r="28" spans="1:30" x14ac:dyDescent="0.2">
      <c r="A28" s="234">
        <v>97511</v>
      </c>
      <c r="B28" s="237">
        <v>2018</v>
      </c>
      <c r="C28" s="234" t="s">
        <v>25</v>
      </c>
      <c r="D28" s="381">
        <v>22</v>
      </c>
      <c r="E28" s="236">
        <v>336</v>
      </c>
      <c r="F28" s="246">
        <v>10</v>
      </c>
      <c r="G28" s="246">
        <v>5</v>
      </c>
      <c r="H28" s="246">
        <v>0</v>
      </c>
      <c r="I28" s="246">
        <v>3</v>
      </c>
      <c r="J28" s="246">
        <v>1</v>
      </c>
      <c r="K28" s="246">
        <v>5</v>
      </c>
      <c r="L28" s="246">
        <v>4</v>
      </c>
      <c r="M28" s="246">
        <v>0</v>
      </c>
      <c r="N28" s="246">
        <v>2</v>
      </c>
      <c r="O28" s="246">
        <v>2</v>
      </c>
      <c r="P28" s="246">
        <v>0</v>
      </c>
      <c r="Q28" s="246">
        <v>2</v>
      </c>
      <c r="R28" s="372">
        <f t="shared" si="16"/>
        <v>34</v>
      </c>
      <c r="S28" s="345">
        <f t="shared" si="13"/>
        <v>2.8333333333333335</v>
      </c>
      <c r="T28" s="279">
        <f t="shared" si="14"/>
        <v>106.58823529411764</v>
      </c>
      <c r="U28" s="236">
        <f t="shared" si="15"/>
        <v>302</v>
      </c>
      <c r="V28" s="236">
        <f t="shared" si="17"/>
        <v>2018</v>
      </c>
      <c r="W28" s="367" t="str">
        <f t="shared" si="18"/>
        <v>Chardonnay</v>
      </c>
      <c r="Z28" s="393">
        <v>44068</v>
      </c>
      <c r="AA28" s="394">
        <v>2019</v>
      </c>
      <c r="AB28" s="395" t="s">
        <v>237</v>
      </c>
      <c r="AC28" s="396">
        <v>112</v>
      </c>
      <c r="AD28" s="397" t="s">
        <v>229</v>
      </c>
    </row>
    <row r="29" spans="1:30" x14ac:dyDescent="0.2">
      <c r="A29" s="234">
        <v>137525</v>
      </c>
      <c r="B29" s="237">
        <v>2018</v>
      </c>
      <c r="C29" s="234" t="s">
        <v>192</v>
      </c>
      <c r="D29" s="256">
        <v>24</v>
      </c>
      <c r="E29" s="236">
        <v>232</v>
      </c>
      <c r="F29" s="337">
        <v>21</v>
      </c>
      <c r="G29" s="337">
        <v>9</v>
      </c>
      <c r="H29" s="337">
        <v>13</v>
      </c>
      <c r="I29" s="337">
        <v>18</v>
      </c>
      <c r="J29" s="337">
        <v>17</v>
      </c>
      <c r="K29" s="337">
        <v>12</v>
      </c>
      <c r="L29" s="337">
        <v>30</v>
      </c>
      <c r="M29" s="337">
        <v>30</v>
      </c>
      <c r="N29" s="337">
        <v>45</v>
      </c>
      <c r="O29" s="337">
        <v>37</v>
      </c>
      <c r="P29" s="242"/>
      <c r="Q29" s="242"/>
      <c r="R29" s="372">
        <f t="shared" si="16"/>
        <v>232</v>
      </c>
      <c r="S29" s="345">
        <f t="shared" si="13"/>
        <v>23.2</v>
      </c>
      <c r="T29" s="279">
        <f t="shared" si="14"/>
        <v>0</v>
      </c>
      <c r="U29" s="236">
        <f>SUM(E29-R29)</f>
        <v>0</v>
      </c>
      <c r="V29" s="236">
        <f t="shared" si="17"/>
        <v>2018</v>
      </c>
      <c r="W29" s="367" t="str">
        <f t="shared" si="18"/>
        <v>Celebration</v>
      </c>
      <c r="Z29" s="393">
        <v>44134</v>
      </c>
      <c r="AA29" s="394">
        <v>2019</v>
      </c>
      <c r="AB29" s="395" t="s">
        <v>248</v>
      </c>
      <c r="AC29" s="396">
        <v>275</v>
      </c>
      <c r="AD29" s="397" t="s">
        <v>229</v>
      </c>
    </row>
    <row r="30" spans="1:30" x14ac:dyDescent="0.2">
      <c r="A30" s="234">
        <v>101638</v>
      </c>
      <c r="B30" s="237">
        <v>2018</v>
      </c>
      <c r="C30" s="234" t="s">
        <v>26</v>
      </c>
      <c r="D30" s="380">
        <v>23</v>
      </c>
      <c r="E30" s="337">
        <v>390</v>
      </c>
      <c r="F30" s="246">
        <v>3</v>
      </c>
      <c r="G30" s="246">
        <v>2</v>
      </c>
      <c r="H30" s="246">
        <v>0</v>
      </c>
      <c r="I30" s="246">
        <v>0</v>
      </c>
      <c r="J30" s="246">
        <v>1</v>
      </c>
      <c r="K30" s="246">
        <v>0</v>
      </c>
      <c r="L30" s="246">
        <v>4</v>
      </c>
      <c r="M30" s="246">
        <v>0</v>
      </c>
      <c r="N30" s="246">
        <v>0</v>
      </c>
      <c r="O30" s="246">
        <v>1</v>
      </c>
      <c r="P30" s="246">
        <v>1</v>
      </c>
      <c r="Q30" s="246">
        <v>7</v>
      </c>
      <c r="R30" s="372">
        <f>SUM(F30:Q30)</f>
        <v>19</v>
      </c>
      <c r="S30" s="345">
        <f t="shared" si="13"/>
        <v>1.5833333333333333</v>
      </c>
      <c r="T30" s="279">
        <f t="shared" si="14"/>
        <v>234.31578947368422</v>
      </c>
      <c r="U30" s="236">
        <f t="shared" ref="U30:U34" si="19">SUM(E30-R30)</f>
        <v>371</v>
      </c>
      <c r="V30" s="236">
        <f t="shared" si="17"/>
        <v>2018</v>
      </c>
      <c r="W30" s="367" t="str">
        <f t="shared" si="18"/>
        <v>Merlot</v>
      </c>
      <c r="Z30" s="393">
        <v>44138</v>
      </c>
      <c r="AA30" s="394">
        <v>2020</v>
      </c>
      <c r="AB30" s="395" t="s">
        <v>249</v>
      </c>
      <c r="AC30" s="396">
        <v>330</v>
      </c>
      <c r="AD30" s="397" t="s">
        <v>104</v>
      </c>
    </row>
    <row r="31" spans="1:30" x14ac:dyDescent="0.2">
      <c r="A31" s="234">
        <v>100465</v>
      </c>
      <c r="B31" s="237">
        <v>2018</v>
      </c>
      <c r="C31" s="234" t="s">
        <v>135</v>
      </c>
      <c r="D31" s="256">
        <v>21</v>
      </c>
      <c r="E31" s="337">
        <v>539</v>
      </c>
      <c r="F31" s="246">
        <v>0</v>
      </c>
      <c r="G31" s="246">
        <v>0</v>
      </c>
      <c r="H31" s="246">
        <v>7</v>
      </c>
      <c r="I31" s="246">
        <v>0</v>
      </c>
      <c r="J31" s="246">
        <v>0</v>
      </c>
      <c r="K31" s="246">
        <v>0</v>
      </c>
      <c r="L31" s="246">
        <v>5</v>
      </c>
      <c r="M31" s="246">
        <v>1</v>
      </c>
      <c r="N31" s="246">
        <v>3</v>
      </c>
      <c r="O31" s="246">
        <v>19</v>
      </c>
      <c r="P31" s="246">
        <v>0</v>
      </c>
      <c r="Q31" s="246">
        <v>2</v>
      </c>
      <c r="R31" s="372">
        <f t="shared" si="16"/>
        <v>37</v>
      </c>
      <c r="S31" s="345">
        <f t="shared" si="13"/>
        <v>3.0833333333333335</v>
      </c>
      <c r="T31" s="279">
        <f t="shared" si="14"/>
        <v>162.81081081081081</v>
      </c>
      <c r="U31" s="236">
        <f t="shared" si="19"/>
        <v>502</v>
      </c>
      <c r="V31" s="236">
        <f t="shared" si="17"/>
        <v>2018</v>
      </c>
      <c r="W31" s="367" t="str">
        <f t="shared" si="18"/>
        <v>Meritage</v>
      </c>
      <c r="Z31" s="393">
        <v>44138</v>
      </c>
      <c r="AA31" s="394">
        <v>2020</v>
      </c>
      <c r="AB31" s="395" t="s">
        <v>250</v>
      </c>
      <c r="AC31" s="396">
        <v>330</v>
      </c>
      <c r="AD31" s="397" t="s">
        <v>104</v>
      </c>
    </row>
    <row r="32" spans="1:30" x14ac:dyDescent="0.2">
      <c r="A32" s="234">
        <v>102768</v>
      </c>
      <c r="B32" s="237">
        <v>2018</v>
      </c>
      <c r="C32" s="234" t="s">
        <v>131</v>
      </c>
      <c r="D32" s="384">
        <v>14</v>
      </c>
      <c r="E32" s="337">
        <v>439</v>
      </c>
      <c r="F32" s="246">
        <v>0</v>
      </c>
      <c r="G32" s="246">
        <v>3</v>
      </c>
      <c r="H32" s="246">
        <v>48</v>
      </c>
      <c r="I32" s="246">
        <v>6</v>
      </c>
      <c r="J32" s="246">
        <v>0</v>
      </c>
      <c r="K32" s="337">
        <v>33</v>
      </c>
      <c r="L32" s="337">
        <v>10</v>
      </c>
      <c r="M32" s="337">
        <v>10</v>
      </c>
      <c r="N32" s="337">
        <v>26</v>
      </c>
      <c r="O32" s="337">
        <v>33</v>
      </c>
      <c r="P32" s="337">
        <v>27</v>
      </c>
      <c r="Q32" s="337">
        <v>5</v>
      </c>
      <c r="R32" s="372">
        <f t="shared" si="16"/>
        <v>201</v>
      </c>
      <c r="S32" s="345">
        <f t="shared" si="13"/>
        <v>16.75</v>
      </c>
      <c r="T32" s="279">
        <f t="shared" si="14"/>
        <v>14.208955223880597</v>
      </c>
      <c r="U32" s="236">
        <f t="shared" si="19"/>
        <v>238</v>
      </c>
      <c r="V32" s="236">
        <f t="shared" si="17"/>
        <v>2018</v>
      </c>
      <c r="W32" s="367" t="str">
        <f t="shared" si="18"/>
        <v>Tannat</v>
      </c>
      <c r="Z32" s="393">
        <v>44155</v>
      </c>
      <c r="AA32" s="394">
        <v>2020</v>
      </c>
      <c r="AB32" s="395" t="s">
        <v>250</v>
      </c>
      <c r="AC32" s="396">
        <v>660</v>
      </c>
      <c r="AD32" s="397" t="s">
        <v>104</v>
      </c>
    </row>
    <row r="33" spans="1:30" x14ac:dyDescent="0.2">
      <c r="A33" s="234">
        <v>100643</v>
      </c>
      <c r="B33" s="237">
        <v>2018</v>
      </c>
      <c r="C33" s="234" t="s">
        <v>136</v>
      </c>
      <c r="D33" s="383">
        <v>45</v>
      </c>
      <c r="E33" s="337">
        <v>744</v>
      </c>
      <c r="F33" s="246">
        <v>0</v>
      </c>
      <c r="G33" s="246">
        <v>2</v>
      </c>
      <c r="H33" s="246">
        <v>1</v>
      </c>
      <c r="I33" s="246">
        <v>0</v>
      </c>
      <c r="J33" s="246">
        <v>11</v>
      </c>
      <c r="K33" s="246">
        <v>14</v>
      </c>
      <c r="L33" s="246">
        <v>9</v>
      </c>
      <c r="M33" s="246">
        <v>0</v>
      </c>
      <c r="N33" s="237">
        <v>65</v>
      </c>
      <c r="O33" s="237">
        <v>50</v>
      </c>
      <c r="P33" s="237">
        <v>33</v>
      </c>
      <c r="Q33" s="237">
        <v>37</v>
      </c>
      <c r="R33" s="372">
        <f t="shared" si="16"/>
        <v>222</v>
      </c>
      <c r="S33" s="345">
        <f t="shared" si="13"/>
        <v>18.5</v>
      </c>
      <c r="T33" s="279">
        <f t="shared" ref="T33:T34" si="20">IFERROR((U33/S33),0)</f>
        <v>28.216216216216218</v>
      </c>
      <c r="U33" s="236">
        <f t="shared" si="19"/>
        <v>522</v>
      </c>
      <c r="V33" s="236">
        <f t="shared" si="17"/>
        <v>2018</v>
      </c>
      <c r="W33" s="367" t="str">
        <f t="shared" si="18"/>
        <v>Kings Ransom</v>
      </c>
      <c r="Z33" s="393">
        <v>44155</v>
      </c>
      <c r="AA33" s="394">
        <v>2020</v>
      </c>
      <c r="AB33" s="395" t="s">
        <v>251</v>
      </c>
      <c r="AC33" s="396">
        <v>330</v>
      </c>
      <c r="AD33" s="397" t="s">
        <v>104</v>
      </c>
    </row>
    <row r="34" spans="1:30" ht="16.149999999999999" customHeight="1" x14ac:dyDescent="0.2">
      <c r="A34" s="234">
        <v>116509</v>
      </c>
      <c r="B34" s="236">
        <v>2018</v>
      </c>
      <c r="C34" s="234" t="s">
        <v>150</v>
      </c>
      <c r="D34" s="382">
        <v>0</v>
      </c>
      <c r="E34" s="236">
        <v>145</v>
      </c>
      <c r="F34" s="337">
        <v>1</v>
      </c>
      <c r="G34" s="337">
        <v>4</v>
      </c>
      <c r="H34" s="337">
        <v>5</v>
      </c>
      <c r="I34" s="337">
        <v>2</v>
      </c>
      <c r="J34" s="337">
        <v>0</v>
      </c>
      <c r="K34" s="337">
        <v>0</v>
      </c>
      <c r="L34" s="337">
        <v>13</v>
      </c>
      <c r="M34" s="337">
        <v>1</v>
      </c>
      <c r="N34" s="337">
        <v>5</v>
      </c>
      <c r="O34" s="337">
        <v>7</v>
      </c>
      <c r="P34" s="337">
        <v>8</v>
      </c>
      <c r="Q34" s="337">
        <v>11</v>
      </c>
      <c r="R34" s="372">
        <f t="shared" ref="R34" si="21">SUM(F34:Q34)</f>
        <v>57</v>
      </c>
      <c r="S34" s="244">
        <f t="shared" si="13"/>
        <v>4.75</v>
      </c>
      <c r="T34" s="236">
        <f t="shared" si="20"/>
        <v>18.526315789473685</v>
      </c>
      <c r="U34" s="236">
        <f t="shared" si="19"/>
        <v>88</v>
      </c>
      <c r="V34" s="236">
        <f t="shared" si="17"/>
        <v>2018</v>
      </c>
      <c r="W34" s="234" t="str">
        <f t="shared" si="18"/>
        <v>Snort</v>
      </c>
      <c r="Z34" s="393">
        <v>44155</v>
      </c>
      <c r="AA34" s="394">
        <v>2020</v>
      </c>
      <c r="AB34" s="395" t="s">
        <v>252</v>
      </c>
      <c r="AC34" s="396">
        <v>80</v>
      </c>
      <c r="AD34" s="397" t="s">
        <v>104</v>
      </c>
    </row>
    <row r="35" spans="1:30" x14ac:dyDescent="0.2">
      <c r="A35" s="226"/>
      <c r="B35" s="269"/>
      <c r="C35" s="269"/>
      <c r="D35" s="379"/>
      <c r="E35" s="271"/>
      <c r="F35" s="271"/>
      <c r="G35" s="271"/>
      <c r="H35" s="271"/>
      <c r="I35" s="271"/>
      <c r="J35" s="271"/>
      <c r="K35" s="271"/>
      <c r="L35" s="271"/>
      <c r="M35" s="271"/>
      <c r="N35" s="271"/>
      <c r="O35" s="271"/>
      <c r="P35" s="271"/>
      <c r="Q35" s="271"/>
      <c r="R35" s="281"/>
      <c r="S35" s="283"/>
      <c r="T35" s="284"/>
      <c r="U35" s="271"/>
      <c r="V35" s="271"/>
      <c r="W35" s="282"/>
      <c r="Z35" s="393">
        <v>44180</v>
      </c>
      <c r="AA35" s="394">
        <v>2020</v>
      </c>
      <c r="AB35" s="395" t="s">
        <v>250</v>
      </c>
      <c r="AC35" s="396">
        <v>330</v>
      </c>
      <c r="AD35" s="397" t="s">
        <v>104</v>
      </c>
    </row>
    <row r="36" spans="1:30" x14ac:dyDescent="0.2">
      <c r="A36" s="234">
        <v>101638</v>
      </c>
      <c r="B36" s="237" t="s">
        <v>133</v>
      </c>
      <c r="C36" s="234" t="s">
        <v>217</v>
      </c>
      <c r="D36" s="262"/>
      <c r="E36" s="236">
        <v>132</v>
      </c>
      <c r="F36" s="236"/>
      <c r="G36" s="236"/>
      <c r="H36" s="236"/>
      <c r="I36" s="236"/>
      <c r="J36" s="236"/>
      <c r="K36" s="236"/>
      <c r="L36" s="236"/>
      <c r="M36" s="236"/>
      <c r="N36" s="236"/>
      <c r="O36" s="236" t="s">
        <v>35</v>
      </c>
      <c r="P36" s="236">
        <v>11</v>
      </c>
      <c r="Q36" s="236">
        <v>35</v>
      </c>
      <c r="R36" s="372">
        <f t="shared" ref="R36:R46" si="22">SUM(F36:Q36)</f>
        <v>46</v>
      </c>
      <c r="S36" s="345">
        <f t="shared" ref="S36:S46" si="23">IFERROR((AVERAGE(F36:Q36)),0)</f>
        <v>23</v>
      </c>
      <c r="T36" s="279">
        <f t="shared" ref="T36:T46" si="24">IFERROR((U36/S36),0)</f>
        <v>3.7391304347826089</v>
      </c>
      <c r="U36" s="236">
        <f t="shared" ref="U36:U39" si="25">SUM(E36-R36)</f>
        <v>86</v>
      </c>
      <c r="V36" s="236" t="s">
        <v>133</v>
      </c>
      <c r="W36" s="234" t="s">
        <v>134</v>
      </c>
      <c r="Z36" s="393">
        <v>44180</v>
      </c>
      <c r="AA36" s="394">
        <v>2020</v>
      </c>
      <c r="AB36" s="395" t="s">
        <v>251</v>
      </c>
      <c r="AC36" s="396">
        <v>660</v>
      </c>
      <c r="AD36" s="397" t="s">
        <v>104</v>
      </c>
    </row>
    <row r="37" spans="1:30" x14ac:dyDescent="0.2">
      <c r="A37" s="234">
        <v>152192</v>
      </c>
      <c r="B37" s="237">
        <v>2019</v>
      </c>
      <c r="C37" s="234" t="s">
        <v>247</v>
      </c>
      <c r="D37" s="381">
        <v>22</v>
      </c>
      <c r="E37" s="236">
        <v>243</v>
      </c>
      <c r="F37" s="337" t="s">
        <v>35</v>
      </c>
      <c r="G37" s="337" t="s">
        <v>35</v>
      </c>
      <c r="H37" s="337">
        <v>30</v>
      </c>
      <c r="I37" s="337">
        <v>7</v>
      </c>
      <c r="J37" s="337">
        <v>8</v>
      </c>
      <c r="K37" s="337">
        <v>15</v>
      </c>
      <c r="L37" s="337">
        <v>29</v>
      </c>
      <c r="M37" s="337">
        <v>26</v>
      </c>
      <c r="N37" s="337">
        <v>35</v>
      </c>
      <c r="O37" s="337">
        <v>32</v>
      </c>
      <c r="P37" s="337">
        <v>18</v>
      </c>
      <c r="Q37" s="337">
        <v>28</v>
      </c>
      <c r="R37" s="372">
        <f>SUM(F37:Q37)</f>
        <v>228</v>
      </c>
      <c r="S37" s="345">
        <f t="shared" si="23"/>
        <v>22.8</v>
      </c>
      <c r="T37" s="279">
        <f t="shared" si="24"/>
        <v>0.6578947368421052</v>
      </c>
      <c r="U37" s="236">
        <f t="shared" si="25"/>
        <v>15</v>
      </c>
      <c r="V37" s="236">
        <f t="shared" ref="V37:V47" si="26">+B37</f>
        <v>2019</v>
      </c>
      <c r="W37" s="234" t="str">
        <f t="shared" ref="W37:W47" si="27">+C37</f>
        <v>Cameo Rose (No Tax)</v>
      </c>
      <c r="Z37" s="393">
        <v>44180</v>
      </c>
      <c r="AA37" s="394">
        <v>2020</v>
      </c>
      <c r="AB37" s="395" t="s">
        <v>253</v>
      </c>
      <c r="AC37" s="396">
        <v>330</v>
      </c>
      <c r="AD37" s="397" t="s">
        <v>104</v>
      </c>
    </row>
    <row r="38" spans="1:30" x14ac:dyDescent="0.2">
      <c r="A38" s="234">
        <v>101636</v>
      </c>
      <c r="B38" s="237">
        <v>2019</v>
      </c>
      <c r="C38" s="234" t="s">
        <v>31</v>
      </c>
      <c r="D38" s="256">
        <v>22</v>
      </c>
      <c r="E38" s="236">
        <v>297</v>
      </c>
      <c r="F38" s="246"/>
      <c r="G38" s="246"/>
      <c r="H38" s="246" t="s">
        <v>35</v>
      </c>
      <c r="I38" s="246" t="s">
        <v>35</v>
      </c>
      <c r="J38" s="246"/>
      <c r="K38" s="246">
        <v>0</v>
      </c>
      <c r="L38" s="246">
        <v>7</v>
      </c>
      <c r="M38" s="246">
        <v>1</v>
      </c>
      <c r="N38" s="246">
        <v>1</v>
      </c>
      <c r="O38" s="246">
        <v>1</v>
      </c>
      <c r="P38" s="246">
        <v>1</v>
      </c>
      <c r="Q38" s="246">
        <v>3</v>
      </c>
      <c r="R38" s="372">
        <f t="shared" si="22"/>
        <v>14</v>
      </c>
      <c r="S38" s="345">
        <f t="shared" si="23"/>
        <v>2</v>
      </c>
      <c r="T38" s="279">
        <f t="shared" si="24"/>
        <v>141.5</v>
      </c>
      <c r="U38" s="236">
        <f t="shared" si="25"/>
        <v>283</v>
      </c>
      <c r="V38" s="236">
        <f t="shared" si="26"/>
        <v>2019</v>
      </c>
      <c r="W38" s="367" t="str">
        <f t="shared" si="27"/>
        <v>Viognier</v>
      </c>
      <c r="Z38" s="393">
        <v>44186</v>
      </c>
      <c r="AA38" s="394">
        <v>2020</v>
      </c>
      <c r="AB38" s="395" t="s">
        <v>252</v>
      </c>
      <c r="AC38" s="396">
        <v>660</v>
      </c>
      <c r="AD38" s="397" t="s">
        <v>104</v>
      </c>
    </row>
    <row r="39" spans="1:30" x14ac:dyDescent="0.2">
      <c r="A39" s="234">
        <v>97511</v>
      </c>
      <c r="B39" s="237">
        <v>2019</v>
      </c>
      <c r="C39" s="234" t="s">
        <v>25</v>
      </c>
      <c r="D39" s="385">
        <v>22</v>
      </c>
      <c r="E39" s="236">
        <v>412</v>
      </c>
      <c r="F39" s="246"/>
      <c r="G39" s="246"/>
      <c r="H39" s="246"/>
      <c r="I39" s="246"/>
      <c r="J39" s="246"/>
      <c r="K39" s="246">
        <v>0</v>
      </c>
      <c r="L39" s="246">
        <v>8</v>
      </c>
      <c r="M39" s="246">
        <v>0</v>
      </c>
      <c r="N39" s="246">
        <v>1</v>
      </c>
      <c r="O39" s="246">
        <v>2</v>
      </c>
      <c r="P39" s="246">
        <v>0</v>
      </c>
      <c r="Q39" s="246">
        <v>0</v>
      </c>
      <c r="R39" s="372">
        <f t="shared" si="22"/>
        <v>11</v>
      </c>
      <c r="S39" s="345">
        <f t="shared" si="23"/>
        <v>1.5714285714285714</v>
      </c>
      <c r="T39" s="279">
        <f t="shared" si="24"/>
        <v>255.18181818181819</v>
      </c>
      <c r="U39" s="236">
        <f t="shared" si="25"/>
        <v>401</v>
      </c>
      <c r="V39" s="236">
        <f t="shared" si="26"/>
        <v>2019</v>
      </c>
      <c r="W39" s="367" t="str">
        <f t="shared" si="27"/>
        <v>Chardonnay</v>
      </c>
      <c r="Z39" s="393">
        <v>44186</v>
      </c>
      <c r="AA39" s="394">
        <v>2020</v>
      </c>
      <c r="AB39" s="395" t="s">
        <v>252</v>
      </c>
      <c r="AC39" s="396">
        <v>330</v>
      </c>
      <c r="AD39" s="397" t="s">
        <v>104</v>
      </c>
    </row>
    <row r="40" spans="1:30" x14ac:dyDescent="0.2">
      <c r="A40" s="234">
        <v>137525</v>
      </c>
      <c r="B40" s="237">
        <v>2019</v>
      </c>
      <c r="C40" s="234" t="s">
        <v>192</v>
      </c>
      <c r="D40" s="385">
        <v>24</v>
      </c>
      <c r="E40" s="236">
        <f>383</f>
        <v>383</v>
      </c>
      <c r="F40" s="246"/>
      <c r="G40" s="246"/>
      <c r="H40" s="246" t="s">
        <v>35</v>
      </c>
      <c r="I40" s="246">
        <v>0</v>
      </c>
      <c r="J40" s="246">
        <v>1</v>
      </c>
      <c r="K40" s="246">
        <v>0</v>
      </c>
      <c r="L40" s="246">
        <v>1</v>
      </c>
      <c r="M40" s="246">
        <v>15</v>
      </c>
      <c r="N40" s="246">
        <v>45</v>
      </c>
      <c r="O40" s="246">
        <v>0</v>
      </c>
      <c r="P40" s="246">
        <v>0</v>
      </c>
      <c r="Q40" s="246">
        <v>10</v>
      </c>
      <c r="R40" s="372">
        <f t="shared" si="22"/>
        <v>72</v>
      </c>
      <c r="S40" s="345">
        <f t="shared" si="23"/>
        <v>8</v>
      </c>
      <c r="T40" s="279">
        <f t="shared" si="24"/>
        <v>38.875</v>
      </c>
      <c r="U40" s="236">
        <f>SUM(E40-R40)</f>
        <v>311</v>
      </c>
      <c r="V40" s="236">
        <f t="shared" si="26"/>
        <v>2019</v>
      </c>
      <c r="W40" s="367" t="str">
        <f t="shared" si="27"/>
        <v>Celebration</v>
      </c>
      <c r="Z40" s="393">
        <v>44186</v>
      </c>
      <c r="AA40" s="394">
        <v>2020</v>
      </c>
      <c r="AB40" s="395" t="s">
        <v>252</v>
      </c>
      <c r="AC40" s="396">
        <v>330</v>
      </c>
      <c r="AD40" s="397" t="s">
        <v>104</v>
      </c>
    </row>
    <row r="41" spans="1:30" x14ac:dyDescent="0.2">
      <c r="A41" s="234">
        <v>137525</v>
      </c>
      <c r="B41" s="237">
        <v>2019</v>
      </c>
      <c r="C41" s="234" t="s">
        <v>232</v>
      </c>
      <c r="D41" s="385"/>
      <c r="E41" s="236">
        <v>53</v>
      </c>
      <c r="F41" s="337"/>
      <c r="G41" s="337"/>
      <c r="H41" s="337" t="s">
        <v>35</v>
      </c>
      <c r="I41" s="337">
        <v>29</v>
      </c>
      <c r="J41" s="337">
        <v>19</v>
      </c>
      <c r="K41" s="337">
        <v>5</v>
      </c>
      <c r="L41" s="242" t="s">
        <v>35</v>
      </c>
      <c r="M41" s="242" t="s">
        <v>35</v>
      </c>
      <c r="N41" s="242" t="s">
        <v>35</v>
      </c>
      <c r="O41" s="242" t="s">
        <v>35</v>
      </c>
      <c r="P41" s="242" t="s">
        <v>35</v>
      </c>
      <c r="Q41" s="242"/>
      <c r="R41" s="372">
        <f>SUM(F41:Q41)</f>
        <v>53</v>
      </c>
      <c r="S41" s="345">
        <f t="shared" ref="S41" si="28">IFERROR((AVERAGE(F41:Q41)),0)</f>
        <v>17.666666666666668</v>
      </c>
      <c r="T41" s="279">
        <f t="shared" ref="T41" si="29">IFERROR((U41/S41),0)</f>
        <v>0</v>
      </c>
      <c r="U41" s="236">
        <f>+SUM(E41-R41)</f>
        <v>0</v>
      </c>
      <c r="V41" s="236">
        <f t="shared" ref="V41" si="30">+B41</f>
        <v>2019</v>
      </c>
      <c r="W41" s="367" t="str">
        <f t="shared" ref="W41" si="31">+C41</f>
        <v>Celebration 3L Bag</v>
      </c>
      <c r="Z41" s="393">
        <v>44193</v>
      </c>
      <c r="AA41" s="394">
        <v>2019</v>
      </c>
      <c r="AB41" s="395" t="s">
        <v>254</v>
      </c>
      <c r="AC41" s="396">
        <v>180</v>
      </c>
      <c r="AD41" s="397" t="s">
        <v>104</v>
      </c>
    </row>
    <row r="42" spans="1:30" x14ac:dyDescent="0.2">
      <c r="A42" s="234">
        <v>101638</v>
      </c>
      <c r="B42" s="237">
        <v>2019</v>
      </c>
      <c r="C42" s="234" t="s">
        <v>26</v>
      </c>
      <c r="D42" s="256">
        <v>23</v>
      </c>
      <c r="E42" s="236">
        <v>335</v>
      </c>
      <c r="F42" s="246"/>
      <c r="G42" s="246"/>
      <c r="H42" s="246"/>
      <c r="I42" s="246"/>
      <c r="J42" s="246"/>
      <c r="K42" s="246"/>
      <c r="L42" s="246"/>
      <c r="M42" s="246" t="s">
        <v>35</v>
      </c>
      <c r="N42" s="246" t="s">
        <v>35</v>
      </c>
      <c r="O42" s="246" t="s">
        <v>35</v>
      </c>
      <c r="P42" s="246" t="s">
        <v>35</v>
      </c>
      <c r="Q42" s="246">
        <v>9</v>
      </c>
      <c r="R42" s="372">
        <f t="shared" si="22"/>
        <v>9</v>
      </c>
      <c r="S42" s="345">
        <f t="shared" si="23"/>
        <v>9</v>
      </c>
      <c r="T42" s="279">
        <f t="shared" si="24"/>
        <v>36.222222222222221</v>
      </c>
      <c r="U42" s="236">
        <f t="shared" ref="U42:U46" si="32">SUM(E42-R42)</f>
        <v>326</v>
      </c>
      <c r="V42" s="236">
        <f t="shared" si="26"/>
        <v>2019</v>
      </c>
      <c r="W42" s="367" t="str">
        <f t="shared" si="27"/>
        <v>Merlot</v>
      </c>
      <c r="Z42" s="393">
        <v>44193</v>
      </c>
      <c r="AA42" s="394">
        <v>2020</v>
      </c>
      <c r="AB42" s="395" t="s">
        <v>251</v>
      </c>
      <c r="AC42" s="396">
        <v>660</v>
      </c>
      <c r="AD42" s="397" t="s">
        <v>104</v>
      </c>
    </row>
    <row r="43" spans="1:30" x14ac:dyDescent="0.2">
      <c r="A43" s="234">
        <v>100465</v>
      </c>
      <c r="B43" s="237">
        <v>2019</v>
      </c>
      <c r="C43" s="234" t="s">
        <v>135</v>
      </c>
      <c r="D43" s="256">
        <v>21</v>
      </c>
      <c r="E43" s="236">
        <v>608</v>
      </c>
      <c r="F43" s="246"/>
      <c r="G43" s="246"/>
      <c r="H43" s="246"/>
      <c r="I43" s="246"/>
      <c r="J43" s="246"/>
      <c r="K43" s="246"/>
      <c r="L43" s="246"/>
      <c r="M43" s="246"/>
      <c r="N43" s="246"/>
      <c r="O43" s="246"/>
      <c r="P43" s="246"/>
      <c r="Q43" s="246">
        <v>6</v>
      </c>
      <c r="R43" s="372">
        <f t="shared" si="22"/>
        <v>6</v>
      </c>
      <c r="S43" s="345">
        <f t="shared" si="23"/>
        <v>6</v>
      </c>
      <c r="T43" s="279">
        <f t="shared" si="24"/>
        <v>100.33333333333333</v>
      </c>
      <c r="U43" s="236">
        <f t="shared" si="32"/>
        <v>602</v>
      </c>
      <c r="V43" s="236">
        <f t="shared" si="26"/>
        <v>2019</v>
      </c>
      <c r="W43" s="367" t="str">
        <f t="shared" si="27"/>
        <v>Meritage</v>
      </c>
      <c r="Z43" s="393">
        <v>44193</v>
      </c>
      <c r="AA43" s="394">
        <v>2020</v>
      </c>
      <c r="AB43" s="395" t="s">
        <v>250</v>
      </c>
      <c r="AC43" s="396">
        <v>330</v>
      </c>
      <c r="AD43" s="397" t="s">
        <v>104</v>
      </c>
    </row>
    <row r="44" spans="1:30" x14ac:dyDescent="0.2">
      <c r="A44" s="234">
        <v>102768</v>
      </c>
      <c r="B44" s="237">
        <v>2019</v>
      </c>
      <c r="C44" s="234" t="s">
        <v>131</v>
      </c>
      <c r="D44" s="256">
        <v>14</v>
      </c>
      <c r="E44" s="236">
        <v>429</v>
      </c>
      <c r="F44" s="246"/>
      <c r="G44" s="246"/>
      <c r="H44" s="246"/>
      <c r="I44" s="246"/>
      <c r="J44" s="246"/>
      <c r="K44" s="246"/>
      <c r="L44" s="246"/>
      <c r="M44" s="246"/>
      <c r="N44" s="246"/>
      <c r="O44" s="246"/>
      <c r="P44" s="246"/>
      <c r="Q44" s="246">
        <v>7</v>
      </c>
      <c r="R44" s="372">
        <f t="shared" si="22"/>
        <v>7</v>
      </c>
      <c r="S44" s="345">
        <f t="shared" si="23"/>
        <v>7</v>
      </c>
      <c r="T44" s="279">
        <f t="shared" si="24"/>
        <v>60.285714285714285</v>
      </c>
      <c r="U44" s="236">
        <f t="shared" si="32"/>
        <v>422</v>
      </c>
      <c r="V44" s="236">
        <f t="shared" si="26"/>
        <v>2019</v>
      </c>
      <c r="W44" s="367" t="str">
        <f t="shared" si="27"/>
        <v>Tannat</v>
      </c>
      <c r="Z44" s="393">
        <v>44193</v>
      </c>
      <c r="AA44" s="394">
        <v>2020</v>
      </c>
      <c r="AB44" s="395" t="s">
        <v>253</v>
      </c>
      <c r="AC44" s="396">
        <v>275</v>
      </c>
      <c r="AD44" s="397" t="s">
        <v>104</v>
      </c>
    </row>
    <row r="45" spans="1:30" x14ac:dyDescent="0.2">
      <c r="A45" s="234">
        <v>163411</v>
      </c>
      <c r="B45" s="237">
        <v>2019</v>
      </c>
      <c r="C45" s="234" t="s">
        <v>24</v>
      </c>
      <c r="D45" s="256">
        <v>14</v>
      </c>
      <c r="E45" s="236">
        <v>126</v>
      </c>
      <c r="F45" s="246"/>
      <c r="G45" s="246"/>
      <c r="H45" s="246"/>
      <c r="I45" s="246"/>
      <c r="J45" s="246"/>
      <c r="K45" s="246"/>
      <c r="L45" s="246"/>
      <c r="M45" s="246"/>
      <c r="N45" s="246"/>
      <c r="O45" s="246"/>
      <c r="P45" s="246"/>
      <c r="Q45" s="246">
        <v>4</v>
      </c>
      <c r="R45" s="372">
        <f t="shared" ref="R45" si="33">SUM(F45:Q45)</f>
        <v>4</v>
      </c>
      <c r="S45" s="345">
        <f t="shared" ref="S45" si="34">IFERROR((AVERAGE(F45:Q45)),0)</f>
        <v>4</v>
      </c>
      <c r="T45" s="279">
        <f t="shared" ref="T45" si="35">IFERROR((U45/S45),0)</f>
        <v>30.5</v>
      </c>
      <c r="U45" s="236">
        <f t="shared" ref="U45" si="36">SUM(E45-R45)</f>
        <v>122</v>
      </c>
      <c r="V45" s="236">
        <v>2019</v>
      </c>
      <c r="W45" s="367" t="str">
        <f t="shared" ref="W45" si="37">+C45</f>
        <v>Cab Sauv</v>
      </c>
      <c r="X45" s="220" t="s">
        <v>255</v>
      </c>
      <c r="Z45" s="393"/>
      <c r="AA45" s="394"/>
      <c r="AB45" s="395"/>
      <c r="AC45" s="396"/>
      <c r="AD45" s="397"/>
    </row>
    <row r="46" spans="1:30" x14ac:dyDescent="0.2">
      <c r="A46" s="234">
        <v>100643</v>
      </c>
      <c r="B46" s="237">
        <v>2019</v>
      </c>
      <c r="C46" s="234" t="s">
        <v>136</v>
      </c>
      <c r="D46" s="256">
        <v>32</v>
      </c>
      <c r="E46" s="236"/>
      <c r="F46" s="246"/>
      <c r="G46" s="246"/>
      <c r="H46" s="246"/>
      <c r="I46" s="246"/>
      <c r="J46" s="246"/>
      <c r="K46" s="246"/>
      <c r="L46" s="246"/>
      <c r="M46" s="246"/>
      <c r="N46" s="246"/>
      <c r="O46" s="246"/>
      <c r="P46" s="246"/>
      <c r="Q46" s="246"/>
      <c r="R46" s="372">
        <f t="shared" si="22"/>
        <v>0</v>
      </c>
      <c r="S46" s="345">
        <f t="shared" si="23"/>
        <v>0</v>
      </c>
      <c r="T46" s="279">
        <f t="shared" si="24"/>
        <v>0</v>
      </c>
      <c r="U46" s="236">
        <f t="shared" si="32"/>
        <v>0</v>
      </c>
      <c r="V46" s="236">
        <f t="shared" si="26"/>
        <v>2019</v>
      </c>
      <c r="W46" s="367" t="str">
        <f t="shared" si="27"/>
        <v>Kings Ransom</v>
      </c>
      <c r="Z46" s="393"/>
      <c r="AA46" s="394"/>
      <c r="AB46" s="395"/>
      <c r="AC46" s="396"/>
      <c r="AD46" s="397"/>
    </row>
    <row r="47" spans="1:30" ht="16.149999999999999" customHeight="1" x14ac:dyDescent="0.25">
      <c r="A47" s="234">
        <v>154310</v>
      </c>
      <c r="B47" s="237">
        <v>2019</v>
      </c>
      <c r="C47" s="234" t="s">
        <v>46</v>
      </c>
      <c r="D47" s="382" t="s">
        <v>35</v>
      </c>
      <c r="E47" s="236">
        <f>75</f>
        <v>75</v>
      </c>
      <c r="F47" s="348"/>
      <c r="G47" s="337"/>
      <c r="H47" s="337"/>
      <c r="I47" s="337">
        <v>0</v>
      </c>
      <c r="J47" s="337">
        <v>19</v>
      </c>
      <c r="K47" s="337">
        <v>18</v>
      </c>
      <c r="L47" s="337">
        <v>26</v>
      </c>
      <c r="M47" s="337">
        <v>12</v>
      </c>
      <c r="N47" s="242"/>
      <c r="O47" s="242"/>
      <c r="P47" s="242"/>
      <c r="Q47" s="242"/>
      <c r="R47" s="372">
        <f t="shared" ref="R47" si="38">SUM(F47:Q47)</f>
        <v>75</v>
      </c>
      <c r="S47" s="345">
        <f t="shared" ref="S47" si="39">IFERROR((AVERAGE(F47:Q47)),0)</f>
        <v>15</v>
      </c>
      <c r="T47" s="279">
        <f t="shared" ref="T47" si="40">IFERROR((U47/S47),0)</f>
        <v>0</v>
      </c>
      <c r="U47" s="236">
        <f t="shared" ref="U47" si="41">SUM(E47-R47)</f>
        <v>0</v>
      </c>
      <c r="V47" s="236">
        <f t="shared" si="26"/>
        <v>2019</v>
      </c>
      <c r="W47" s="234" t="str">
        <f t="shared" si="27"/>
        <v>Petit Manseng</v>
      </c>
      <c r="Z47" s="353"/>
      <c r="AA47" s="353"/>
      <c r="AB47" s="400" t="s">
        <v>182</v>
      </c>
      <c r="AC47" s="353"/>
    </row>
    <row r="48" spans="1:30" x14ac:dyDescent="0.2">
      <c r="A48" s="226"/>
      <c r="B48" s="269"/>
      <c r="C48" s="269"/>
      <c r="D48" s="226"/>
      <c r="E48" s="271"/>
      <c r="F48" s="271"/>
      <c r="G48" s="271"/>
      <c r="H48" s="271"/>
      <c r="I48" s="271"/>
      <c r="J48" s="271"/>
      <c r="K48" s="271"/>
      <c r="L48" s="271"/>
      <c r="M48" s="271"/>
      <c r="N48" s="271"/>
      <c r="O48" s="271"/>
      <c r="P48" s="271"/>
      <c r="Q48" s="271"/>
      <c r="R48" s="281"/>
      <c r="S48" s="283"/>
      <c r="T48" s="284"/>
      <c r="U48" s="271"/>
      <c r="V48" s="271"/>
      <c r="W48" s="282"/>
      <c r="Z48" s="393"/>
      <c r="AA48" s="394"/>
      <c r="AB48" s="395"/>
      <c r="AC48" s="396"/>
      <c r="AD48" s="397"/>
    </row>
    <row r="49" spans="1:30" x14ac:dyDescent="0.2">
      <c r="A49" s="234"/>
      <c r="B49" s="234">
        <v>2015</v>
      </c>
      <c r="C49" s="234"/>
      <c r="D49" s="256"/>
      <c r="E49" s="267">
        <f t="shared" ref="E49:R49" si="42">SUM(E10:E10)</f>
        <v>12</v>
      </c>
      <c r="F49" s="267">
        <f t="shared" si="42"/>
        <v>0</v>
      </c>
      <c r="G49" s="267">
        <f t="shared" si="42"/>
        <v>0</v>
      </c>
      <c r="H49" s="267">
        <f t="shared" si="42"/>
        <v>0</v>
      </c>
      <c r="I49" s="267">
        <f t="shared" si="42"/>
        <v>0</v>
      </c>
      <c r="J49" s="267">
        <f t="shared" si="42"/>
        <v>0</v>
      </c>
      <c r="K49" s="267">
        <f t="shared" si="42"/>
        <v>0</v>
      </c>
      <c r="L49" s="267">
        <f t="shared" si="42"/>
        <v>0</v>
      </c>
      <c r="M49" s="267">
        <f t="shared" si="42"/>
        <v>0</v>
      </c>
      <c r="N49" s="267">
        <f t="shared" si="42"/>
        <v>0</v>
      </c>
      <c r="O49" s="267">
        <f t="shared" si="42"/>
        <v>0</v>
      </c>
      <c r="P49" s="267">
        <f t="shared" si="42"/>
        <v>0</v>
      </c>
      <c r="Q49" s="267">
        <f t="shared" si="42"/>
        <v>0</v>
      </c>
      <c r="R49" s="372">
        <f t="shared" si="42"/>
        <v>0</v>
      </c>
      <c r="S49" s="268">
        <f>IFERROR((AVERAGE(F49:Q49)),0)</f>
        <v>0</v>
      </c>
      <c r="T49" s="349">
        <f>IFERROR((U49/S49),0)</f>
        <v>0</v>
      </c>
      <c r="U49" s="279">
        <f>SUM(E49-R49)</f>
        <v>12</v>
      </c>
      <c r="V49" s="236">
        <v>2015</v>
      </c>
      <c r="W49" s="234"/>
      <c r="Z49" s="393"/>
      <c r="AA49" s="394"/>
      <c r="AB49" s="395"/>
      <c r="AC49" s="396"/>
      <c r="AD49" s="397"/>
    </row>
    <row r="50" spans="1:30" x14ac:dyDescent="0.2">
      <c r="A50" s="234"/>
      <c r="B50" s="234">
        <v>2016</v>
      </c>
      <c r="C50" s="234"/>
      <c r="D50" s="256"/>
      <c r="E50" s="267">
        <f t="shared" ref="E50:R50" si="43">SUM(E12:E14)</f>
        <v>331</v>
      </c>
      <c r="F50" s="267">
        <f t="shared" si="43"/>
        <v>73</v>
      </c>
      <c r="G50" s="267">
        <f t="shared" si="43"/>
        <v>46</v>
      </c>
      <c r="H50" s="267">
        <f t="shared" si="43"/>
        <v>30</v>
      </c>
      <c r="I50" s="267">
        <f t="shared" si="43"/>
        <v>36</v>
      </c>
      <c r="J50" s="267">
        <f t="shared" si="43"/>
        <v>28</v>
      </c>
      <c r="K50" s="267">
        <f t="shared" si="43"/>
        <v>7</v>
      </c>
      <c r="L50" s="267">
        <f t="shared" si="43"/>
        <v>5</v>
      </c>
      <c r="M50" s="267">
        <f t="shared" si="43"/>
        <v>15</v>
      </c>
      <c r="N50" s="267">
        <f t="shared" si="43"/>
        <v>23</v>
      </c>
      <c r="O50" s="267">
        <f t="shared" si="43"/>
        <v>25</v>
      </c>
      <c r="P50" s="267">
        <f t="shared" si="43"/>
        <v>21</v>
      </c>
      <c r="Q50" s="267">
        <f t="shared" si="43"/>
        <v>21</v>
      </c>
      <c r="R50" s="373">
        <f t="shared" si="43"/>
        <v>330</v>
      </c>
      <c r="S50" s="268">
        <f t="shared" ref="S50:S53" si="44">IFERROR((AVERAGE(F50:Q50)),0)</f>
        <v>27.5</v>
      </c>
      <c r="T50" s="349">
        <f t="shared" ref="T50:T54" si="45">IFERROR((U50/S50),0)</f>
        <v>3.6363636363636362E-2</v>
      </c>
      <c r="U50" s="279">
        <f t="shared" ref="U50:U53" si="46">SUM(E50-R50)</f>
        <v>1</v>
      </c>
      <c r="V50" s="236">
        <v>2016</v>
      </c>
      <c r="W50" s="234"/>
      <c r="Z50" s="393"/>
      <c r="AA50" s="394"/>
      <c r="AB50" s="395"/>
      <c r="AC50" s="396"/>
      <c r="AD50" s="397"/>
    </row>
    <row r="51" spans="1:30" x14ac:dyDescent="0.2">
      <c r="A51" s="234"/>
      <c r="B51" s="234">
        <v>2017</v>
      </c>
      <c r="C51" s="234"/>
      <c r="D51" s="256"/>
      <c r="E51" s="267">
        <f t="shared" ref="E51:R51" si="47">SUM(E16:E22)</f>
        <v>1706</v>
      </c>
      <c r="F51" s="267">
        <f t="shared" si="47"/>
        <v>114</v>
      </c>
      <c r="G51" s="267">
        <f t="shared" si="47"/>
        <v>110</v>
      </c>
      <c r="H51" s="267">
        <f t="shared" si="47"/>
        <v>97</v>
      </c>
      <c r="I51" s="267">
        <f t="shared" si="47"/>
        <v>82</v>
      </c>
      <c r="J51" s="267">
        <f t="shared" si="47"/>
        <v>47</v>
      </c>
      <c r="K51" s="267">
        <f t="shared" si="47"/>
        <v>73</v>
      </c>
      <c r="L51" s="267">
        <f t="shared" si="47"/>
        <v>97</v>
      </c>
      <c r="M51" s="267">
        <f t="shared" si="47"/>
        <v>78</v>
      </c>
      <c r="N51" s="267">
        <f t="shared" si="47"/>
        <v>82</v>
      </c>
      <c r="O51" s="267">
        <f t="shared" si="47"/>
        <v>94</v>
      </c>
      <c r="P51" s="267">
        <f t="shared" si="47"/>
        <v>51</v>
      </c>
      <c r="Q51" s="267">
        <f t="shared" si="47"/>
        <v>67</v>
      </c>
      <c r="R51" s="373">
        <f t="shared" si="47"/>
        <v>992</v>
      </c>
      <c r="S51" s="268">
        <f t="shared" si="44"/>
        <v>82.666666666666671</v>
      </c>
      <c r="T51" s="349">
        <f t="shared" si="45"/>
        <v>8.637096774193548</v>
      </c>
      <c r="U51" s="279">
        <f t="shared" si="46"/>
        <v>714</v>
      </c>
      <c r="V51" s="236">
        <v>2017</v>
      </c>
      <c r="W51" s="234"/>
      <c r="Z51" s="397"/>
      <c r="AA51" s="397"/>
      <c r="AB51" s="395"/>
      <c r="AC51" s="397"/>
      <c r="AD51" s="397"/>
    </row>
    <row r="52" spans="1:30" x14ac:dyDescent="0.2">
      <c r="A52" s="234"/>
      <c r="B52" s="234">
        <v>2018</v>
      </c>
      <c r="C52" s="234"/>
      <c r="D52" s="256"/>
      <c r="E52" s="267">
        <f t="shared" ref="E52:R52" si="48">SUM(E24:E34)</f>
        <v>3715</v>
      </c>
      <c r="F52" s="267">
        <f t="shared" si="48"/>
        <v>101</v>
      </c>
      <c r="G52" s="267">
        <f t="shared" si="48"/>
        <v>84</v>
      </c>
      <c r="H52" s="267">
        <f t="shared" si="48"/>
        <v>151</v>
      </c>
      <c r="I52" s="267">
        <f t="shared" si="48"/>
        <v>86</v>
      </c>
      <c r="J52" s="267">
        <f t="shared" si="48"/>
        <v>77</v>
      </c>
      <c r="K52" s="267">
        <f t="shared" si="48"/>
        <v>137</v>
      </c>
      <c r="L52" s="267">
        <f t="shared" si="48"/>
        <v>173</v>
      </c>
      <c r="M52" s="267">
        <f t="shared" si="48"/>
        <v>70</v>
      </c>
      <c r="N52" s="267">
        <f t="shared" si="48"/>
        <v>186</v>
      </c>
      <c r="O52" s="267">
        <f t="shared" si="48"/>
        <v>200</v>
      </c>
      <c r="P52" s="267">
        <f t="shared" si="48"/>
        <v>97</v>
      </c>
      <c r="Q52" s="267">
        <f t="shared" si="48"/>
        <v>73</v>
      </c>
      <c r="R52" s="373">
        <f t="shared" si="48"/>
        <v>1435</v>
      </c>
      <c r="S52" s="268">
        <f t="shared" si="44"/>
        <v>119.58333333333333</v>
      </c>
      <c r="T52" s="349">
        <f t="shared" si="45"/>
        <v>19.066202090592334</v>
      </c>
      <c r="U52" s="279">
        <f t="shared" si="46"/>
        <v>2280</v>
      </c>
      <c r="V52" s="236">
        <v>2018</v>
      </c>
      <c r="W52" s="234"/>
      <c r="Z52" s="398"/>
      <c r="AA52" s="395"/>
      <c r="AB52" s="395"/>
      <c r="AC52" s="395"/>
      <c r="AD52" s="397"/>
    </row>
    <row r="53" spans="1:30" x14ac:dyDescent="0.2">
      <c r="A53" s="234"/>
      <c r="B53" s="369">
        <v>2019</v>
      </c>
      <c r="C53" s="289"/>
      <c r="D53" s="382"/>
      <c r="E53" s="267">
        <f t="shared" ref="E53:R53" si="49">SUM(E36:E47)</f>
        <v>3093</v>
      </c>
      <c r="F53" s="267">
        <f t="shared" si="49"/>
        <v>0</v>
      </c>
      <c r="G53" s="267">
        <f t="shared" si="49"/>
        <v>0</v>
      </c>
      <c r="H53" s="267">
        <f t="shared" si="49"/>
        <v>30</v>
      </c>
      <c r="I53" s="267">
        <f t="shared" si="49"/>
        <v>36</v>
      </c>
      <c r="J53" s="267">
        <f t="shared" si="49"/>
        <v>47</v>
      </c>
      <c r="K53" s="267">
        <f t="shared" si="49"/>
        <v>38</v>
      </c>
      <c r="L53" s="267">
        <f t="shared" si="49"/>
        <v>71</v>
      </c>
      <c r="M53" s="267">
        <f t="shared" si="49"/>
        <v>54</v>
      </c>
      <c r="N53" s="267">
        <f t="shared" si="49"/>
        <v>82</v>
      </c>
      <c r="O53" s="267">
        <f t="shared" si="49"/>
        <v>35</v>
      </c>
      <c r="P53" s="267">
        <f t="shared" si="49"/>
        <v>30</v>
      </c>
      <c r="Q53" s="267">
        <f t="shared" si="49"/>
        <v>102</v>
      </c>
      <c r="R53" s="373">
        <f t="shared" si="49"/>
        <v>525</v>
      </c>
      <c r="S53" s="268">
        <f t="shared" si="44"/>
        <v>43.75</v>
      </c>
      <c r="T53" s="349">
        <f t="shared" si="45"/>
        <v>58.697142857142858</v>
      </c>
      <c r="U53" s="279">
        <f t="shared" si="46"/>
        <v>2568</v>
      </c>
      <c r="V53" s="351">
        <v>2019</v>
      </c>
      <c r="W53" s="289"/>
      <c r="Z53" s="398"/>
      <c r="AA53" s="395"/>
      <c r="AB53" s="395"/>
      <c r="AC53" s="395"/>
      <c r="AD53" s="397"/>
    </row>
    <row r="54" spans="1:30" x14ac:dyDescent="0.2">
      <c r="A54" s="234"/>
      <c r="B54" s="351" t="s">
        <v>59</v>
      </c>
      <c r="C54" s="289"/>
      <c r="D54" s="386"/>
      <c r="E54" s="352">
        <f>SUM(E49:E53)</f>
        <v>8857</v>
      </c>
      <c r="F54" s="352">
        <f>SUM(F49:F53)</f>
        <v>288</v>
      </c>
      <c r="G54" s="352">
        <f>SUM(G49:G53)</f>
        <v>240</v>
      </c>
      <c r="H54" s="352">
        <f>SUM(H49:H53)</f>
        <v>308</v>
      </c>
      <c r="I54" s="352">
        <f t="shared" ref="I54:Q54" si="50">SUM(I49:I53)</f>
        <v>240</v>
      </c>
      <c r="J54" s="352">
        <f t="shared" si="50"/>
        <v>199</v>
      </c>
      <c r="K54" s="352">
        <f t="shared" si="50"/>
        <v>255</v>
      </c>
      <c r="L54" s="352">
        <f t="shared" si="50"/>
        <v>346</v>
      </c>
      <c r="M54" s="352">
        <f t="shared" si="50"/>
        <v>217</v>
      </c>
      <c r="N54" s="352">
        <f t="shared" si="50"/>
        <v>373</v>
      </c>
      <c r="O54" s="352">
        <f t="shared" si="50"/>
        <v>354</v>
      </c>
      <c r="P54" s="352">
        <f t="shared" si="50"/>
        <v>199</v>
      </c>
      <c r="Q54" s="352">
        <f t="shared" si="50"/>
        <v>263</v>
      </c>
      <c r="R54" s="370">
        <f>SUM(R49:R53)</f>
        <v>3282</v>
      </c>
      <c r="S54" s="371">
        <f>SUM(S49:S53)</f>
        <v>273.5</v>
      </c>
      <c r="T54" s="349">
        <f t="shared" si="45"/>
        <v>20.383912248628885</v>
      </c>
      <c r="U54" s="352">
        <f>SUM(U49:U53)</f>
        <v>5575</v>
      </c>
      <c r="V54" s="351" t="s">
        <v>59</v>
      </c>
      <c r="W54" s="289"/>
      <c r="Z54" s="398"/>
      <c r="AA54" s="395"/>
      <c r="AB54" s="395"/>
      <c r="AC54" s="395"/>
      <c r="AD54" s="397"/>
    </row>
    <row r="55" spans="1:30" x14ac:dyDescent="0.2">
      <c r="A55" s="226"/>
      <c r="B55" s="269"/>
      <c r="C55" s="269"/>
      <c r="D55" s="281"/>
      <c r="E55" s="272"/>
      <c r="F55" s="272"/>
      <c r="G55" s="272"/>
      <c r="H55" s="272"/>
      <c r="I55" s="272"/>
      <c r="J55" s="272"/>
      <c r="K55" s="272"/>
      <c r="L55" s="272"/>
      <c r="M55" s="272"/>
      <c r="N55" s="272"/>
      <c r="O55" s="272"/>
      <c r="P55" s="272"/>
      <c r="Q55" s="272"/>
      <c r="R55" s="269"/>
      <c r="S55" s="270"/>
      <c r="T55" s="273"/>
      <c r="U55" s="305"/>
      <c r="V55" s="272"/>
      <c r="W55" s="269"/>
      <c r="Z55" s="397"/>
      <c r="AA55" s="397"/>
      <c r="AB55" s="395"/>
      <c r="AC55" s="397"/>
      <c r="AD55" s="397"/>
    </row>
    <row r="56" spans="1:30" x14ac:dyDescent="0.2">
      <c r="D56" s="220"/>
      <c r="E56" s="221"/>
      <c r="F56" s="221"/>
      <c r="G56" s="221"/>
      <c r="H56" s="221"/>
      <c r="I56" s="221"/>
      <c r="J56" s="221"/>
      <c r="K56" s="221"/>
      <c r="L56" s="221"/>
      <c r="M56" s="221"/>
      <c r="N56" s="221"/>
      <c r="O56" s="221"/>
      <c r="P56" s="221"/>
      <c r="Q56" s="221"/>
      <c r="S56" s="275"/>
      <c r="T56" s="277"/>
      <c r="U56" s="276"/>
      <c r="Z56" s="397"/>
      <c r="AA56" s="397"/>
      <c r="AB56" s="395"/>
      <c r="AC56" s="397"/>
      <c r="AD56" s="397"/>
    </row>
    <row r="57" spans="1:30" x14ac:dyDescent="0.2">
      <c r="D57" s="220"/>
      <c r="T57" s="221"/>
      <c r="V57" s="220"/>
      <c r="Z57" s="397"/>
      <c r="AA57" s="397"/>
      <c r="AB57" s="395"/>
      <c r="AC57" s="397"/>
      <c r="AD57" s="397"/>
    </row>
    <row r="58" spans="1:30" ht="14.25" customHeight="1" x14ac:dyDescent="0.2">
      <c r="D58" s="220"/>
      <c r="T58" s="221"/>
      <c r="V58" s="220"/>
      <c r="Z58" s="397"/>
      <c r="AA58" s="397"/>
      <c r="AB58" s="395"/>
      <c r="AC58" s="397"/>
      <c r="AD58" s="397"/>
    </row>
    <row r="59" spans="1:30" ht="15.75" x14ac:dyDescent="0.25">
      <c r="B59" s="278" t="s">
        <v>183</v>
      </c>
      <c r="C59" s="1" t="s">
        <v>184</v>
      </c>
      <c r="D59" s="1" t="s">
        <v>221</v>
      </c>
      <c r="E59" s="362" t="s">
        <v>4</v>
      </c>
      <c r="F59" s="363" t="s">
        <v>5</v>
      </c>
      <c r="G59" s="363" t="s">
        <v>6</v>
      </c>
      <c r="H59" s="363" t="s">
        <v>7</v>
      </c>
      <c r="I59" s="363" t="s">
        <v>8</v>
      </c>
      <c r="J59" s="363" t="s">
        <v>9</v>
      </c>
      <c r="K59" s="363" t="s">
        <v>10</v>
      </c>
      <c r="L59" s="363" t="s">
        <v>11</v>
      </c>
      <c r="M59" s="363" t="s">
        <v>12</v>
      </c>
      <c r="N59" s="363" t="s">
        <v>13</v>
      </c>
      <c r="O59" s="363" t="s">
        <v>14</v>
      </c>
      <c r="P59" s="363" t="s">
        <v>15</v>
      </c>
      <c r="Q59" s="221"/>
      <c r="T59" s="221"/>
      <c r="V59" s="220"/>
      <c r="Z59" s="353"/>
      <c r="AA59" s="353"/>
      <c r="AB59" s="378"/>
      <c r="AC59" s="353"/>
    </row>
    <row r="60" spans="1:30" x14ac:dyDescent="0.2">
      <c r="B60" s="365"/>
      <c r="C60" s="365"/>
      <c r="D60" s="366" t="s">
        <v>35</v>
      </c>
      <c r="E60" s="366"/>
      <c r="F60" s="366"/>
      <c r="G60" s="366"/>
      <c r="H60" s="366"/>
      <c r="I60" s="366"/>
      <c r="J60" s="366"/>
      <c r="K60" s="366"/>
      <c r="L60" s="366"/>
      <c r="M60" s="366"/>
      <c r="N60" s="366"/>
      <c r="O60" s="366"/>
      <c r="P60" s="366"/>
      <c r="Q60" s="221"/>
      <c r="T60" s="221"/>
      <c r="V60" s="220"/>
      <c r="Z60" s="330"/>
      <c r="AA60" s="330"/>
      <c r="AB60" s="359"/>
      <c r="AC60" s="330"/>
    </row>
    <row r="61" spans="1:30" x14ac:dyDescent="0.2">
      <c r="B61" s="234">
        <v>2018</v>
      </c>
      <c r="C61" s="234" t="s">
        <v>26</v>
      </c>
      <c r="D61" s="236">
        <v>15</v>
      </c>
      <c r="E61" s="236">
        <v>0</v>
      </c>
      <c r="F61" s="236"/>
      <c r="G61" s="236"/>
      <c r="H61" s="236"/>
      <c r="I61" s="234"/>
      <c r="J61" s="236"/>
      <c r="K61" s="236"/>
      <c r="L61" s="236"/>
      <c r="M61" s="234"/>
      <c r="N61" s="236"/>
      <c r="O61" s="236"/>
      <c r="P61" s="236"/>
      <c r="Q61" s="221"/>
      <c r="T61" s="221"/>
      <c r="V61" s="220"/>
      <c r="Z61" s="330"/>
      <c r="AA61" s="330"/>
      <c r="AB61" s="359"/>
      <c r="AC61" s="330"/>
    </row>
    <row r="62" spans="1:30" x14ac:dyDescent="0.2">
      <c r="B62" s="234"/>
      <c r="C62" s="234" t="s">
        <v>23</v>
      </c>
      <c r="D62" s="236">
        <v>0</v>
      </c>
      <c r="E62" s="236">
        <v>0</v>
      </c>
      <c r="F62" s="236"/>
      <c r="G62" s="236"/>
      <c r="H62" s="236"/>
      <c r="I62" s="234"/>
      <c r="J62" s="236"/>
      <c r="K62" s="236"/>
      <c r="L62" s="236"/>
      <c r="M62" s="234"/>
      <c r="N62" s="236"/>
      <c r="O62" s="236"/>
      <c r="P62" s="236"/>
      <c r="Q62" s="221"/>
      <c r="T62" s="221"/>
      <c r="V62" s="220"/>
      <c r="Z62" s="330"/>
      <c r="AA62" s="330"/>
      <c r="AB62" s="359"/>
      <c r="AC62" s="330"/>
    </row>
    <row r="63" spans="1:30" x14ac:dyDescent="0.2">
      <c r="B63" s="234"/>
      <c r="C63" s="234" t="s">
        <v>56</v>
      </c>
      <c r="D63" s="236">
        <v>0</v>
      </c>
      <c r="E63" s="236">
        <v>0</v>
      </c>
      <c r="F63" s="236"/>
      <c r="G63" s="236"/>
      <c r="H63" s="236"/>
      <c r="I63" s="234"/>
      <c r="J63" s="236"/>
      <c r="K63" s="236"/>
      <c r="L63" s="236"/>
      <c r="M63" s="234"/>
      <c r="N63" s="236"/>
      <c r="O63" s="236"/>
      <c r="P63" s="236"/>
      <c r="Q63" s="221"/>
      <c r="T63" s="221"/>
      <c r="V63" s="220"/>
      <c r="Z63" s="330"/>
      <c r="AA63" s="330"/>
      <c r="AB63" s="359"/>
      <c r="AC63" s="330"/>
    </row>
    <row r="64" spans="1:30" x14ac:dyDescent="0.2">
      <c r="B64" s="234"/>
      <c r="C64" s="234" t="s">
        <v>29</v>
      </c>
      <c r="D64" s="236">
        <v>0</v>
      </c>
      <c r="E64" s="236">
        <v>0</v>
      </c>
      <c r="F64" s="236"/>
      <c r="G64" s="236"/>
      <c r="H64" s="236"/>
      <c r="I64" s="234"/>
      <c r="J64" s="236"/>
      <c r="K64" s="236"/>
      <c r="L64" s="236"/>
      <c r="M64" s="234"/>
      <c r="N64" s="236"/>
      <c r="O64" s="236"/>
      <c r="P64" s="236"/>
      <c r="Q64" s="221"/>
      <c r="T64" s="221"/>
      <c r="V64" s="220"/>
      <c r="Z64" s="401"/>
      <c r="AA64" s="359"/>
      <c r="AB64" s="359"/>
      <c r="AC64" s="359"/>
    </row>
    <row r="65" spans="2:29" x14ac:dyDescent="0.2">
      <c r="B65" s="234"/>
      <c r="C65" s="234" t="s">
        <v>24</v>
      </c>
      <c r="D65" s="236">
        <v>120</v>
      </c>
      <c r="E65" s="236">
        <v>0</v>
      </c>
      <c r="F65" s="236"/>
      <c r="G65" s="236"/>
      <c r="H65" s="236"/>
      <c r="I65" s="234"/>
      <c r="J65" s="236"/>
      <c r="K65" s="236"/>
      <c r="L65" s="236"/>
      <c r="M65" s="234"/>
      <c r="N65" s="236"/>
      <c r="O65" s="236"/>
      <c r="P65" s="236"/>
      <c r="Q65" s="221"/>
      <c r="T65" s="221"/>
      <c r="V65" s="220"/>
      <c r="Z65" s="401"/>
      <c r="AA65" s="359"/>
      <c r="AB65" s="359"/>
      <c r="AC65" s="359"/>
    </row>
    <row r="66" spans="2:29" x14ac:dyDescent="0.2">
      <c r="B66" s="234"/>
      <c r="C66" s="234" t="s">
        <v>131</v>
      </c>
      <c r="D66" s="236">
        <v>935</v>
      </c>
      <c r="E66" s="236">
        <v>0</v>
      </c>
      <c r="F66" s="236"/>
      <c r="G66" s="236"/>
      <c r="H66" s="236"/>
      <c r="I66" s="234"/>
      <c r="J66" s="236"/>
      <c r="K66" s="236"/>
      <c r="L66" s="236"/>
      <c r="M66" s="234"/>
      <c r="N66" s="236"/>
      <c r="O66" s="236"/>
      <c r="P66" s="236"/>
      <c r="Q66" s="221"/>
      <c r="T66" s="221"/>
      <c r="V66" s="220"/>
      <c r="Z66" s="401"/>
      <c r="AA66" s="359"/>
      <c r="AB66" s="359"/>
      <c r="AC66" s="359"/>
    </row>
    <row r="67" spans="2:29" x14ac:dyDescent="0.2">
      <c r="B67" s="234"/>
      <c r="C67" s="234" t="s">
        <v>136</v>
      </c>
      <c r="D67" s="236">
        <v>1750</v>
      </c>
      <c r="E67" s="236">
        <v>0</v>
      </c>
      <c r="F67" s="236"/>
      <c r="G67" s="236"/>
      <c r="H67" s="236"/>
      <c r="I67" s="234"/>
      <c r="J67" s="236"/>
      <c r="K67" s="236"/>
      <c r="L67" s="236"/>
      <c r="M67" s="234"/>
      <c r="N67" s="236"/>
      <c r="O67" s="236"/>
      <c r="P67" s="236"/>
      <c r="Q67" s="221"/>
      <c r="T67" s="221"/>
      <c r="V67" s="220"/>
      <c r="Z67" s="401"/>
      <c r="AA67" s="359"/>
      <c r="AB67" s="359"/>
      <c r="AC67" s="359"/>
    </row>
    <row r="68" spans="2:29" x14ac:dyDescent="0.2">
      <c r="B68" s="234"/>
      <c r="C68" s="234" t="s">
        <v>135</v>
      </c>
      <c r="D68" s="236">
        <v>1360</v>
      </c>
      <c r="E68" s="236">
        <v>0</v>
      </c>
      <c r="F68" s="236"/>
      <c r="G68" s="236"/>
      <c r="H68" s="236"/>
      <c r="I68" s="234"/>
      <c r="J68" s="236"/>
      <c r="K68" s="236"/>
      <c r="L68" s="236"/>
      <c r="M68" s="234"/>
      <c r="N68" s="236"/>
      <c r="O68" s="236"/>
      <c r="P68" s="236"/>
      <c r="Q68" s="221"/>
      <c r="T68" s="221"/>
      <c r="V68" s="220"/>
      <c r="Z68" s="401"/>
      <c r="AA68" s="359"/>
      <c r="AB68" s="359"/>
      <c r="AC68" s="359"/>
    </row>
    <row r="69" spans="2:29" x14ac:dyDescent="0.2">
      <c r="B69" s="234"/>
      <c r="C69" s="234" t="s">
        <v>131</v>
      </c>
      <c r="D69" s="236">
        <v>900</v>
      </c>
      <c r="E69" s="236">
        <v>0</v>
      </c>
      <c r="F69" s="236"/>
      <c r="G69" s="236"/>
      <c r="H69" s="236"/>
      <c r="I69" s="234"/>
      <c r="J69" s="236"/>
      <c r="K69" s="236"/>
      <c r="L69" s="236"/>
      <c r="M69" s="234"/>
      <c r="N69" s="236"/>
      <c r="O69" s="236"/>
      <c r="P69" s="236"/>
      <c r="Q69" s="221"/>
      <c r="T69" s="221"/>
      <c r="V69" s="220"/>
      <c r="Z69" s="330"/>
      <c r="AA69" s="359"/>
      <c r="AB69" s="330"/>
      <c r="AC69" s="330"/>
    </row>
    <row r="70" spans="2:29" x14ac:dyDescent="0.2">
      <c r="B70" s="365" t="s">
        <v>35</v>
      </c>
      <c r="C70" s="365" t="s">
        <v>35</v>
      </c>
      <c r="D70" s="366"/>
      <c r="E70" s="366"/>
      <c r="F70" s="366"/>
      <c r="G70" s="366"/>
      <c r="H70" s="366"/>
      <c r="I70" s="365"/>
      <c r="J70" s="366"/>
      <c r="K70" s="366"/>
      <c r="L70" s="366"/>
      <c r="M70" s="366"/>
      <c r="N70" s="366"/>
      <c r="O70" s="366"/>
      <c r="P70" s="366"/>
      <c r="Q70" s="221"/>
      <c r="T70" s="221"/>
      <c r="V70" s="220"/>
      <c r="Z70" s="330"/>
      <c r="AA70" s="359"/>
      <c r="AB70" s="330"/>
      <c r="AC70" s="330"/>
    </row>
    <row r="71" spans="2:29" x14ac:dyDescent="0.2">
      <c r="B71" s="234">
        <v>2019</v>
      </c>
      <c r="C71" s="234" t="s">
        <v>26</v>
      </c>
      <c r="D71" s="234">
        <v>1860</v>
      </c>
      <c r="E71" s="234">
        <v>1860</v>
      </c>
      <c r="F71" s="234">
        <v>1860</v>
      </c>
      <c r="G71" s="234">
        <v>1860</v>
      </c>
      <c r="H71" s="234">
        <v>1860</v>
      </c>
      <c r="I71" s="234">
        <v>1860</v>
      </c>
      <c r="J71" s="234">
        <v>1860</v>
      </c>
      <c r="K71" s="234">
        <v>1200</v>
      </c>
      <c r="L71" s="234">
        <v>1200</v>
      </c>
      <c r="M71" s="234">
        <v>1200</v>
      </c>
      <c r="N71" s="234">
        <v>1200</v>
      </c>
      <c r="O71" s="234">
        <v>855</v>
      </c>
      <c r="P71" s="234">
        <v>0</v>
      </c>
      <c r="Q71" s="220">
        <v>20</v>
      </c>
      <c r="T71" s="221"/>
      <c r="V71" s="220"/>
      <c r="Z71" s="330"/>
      <c r="AA71" s="359"/>
      <c r="AB71" s="330"/>
      <c r="AC71" s="330"/>
    </row>
    <row r="72" spans="2:29" x14ac:dyDescent="0.2">
      <c r="B72" s="234"/>
      <c r="C72" s="234" t="s">
        <v>216</v>
      </c>
      <c r="D72" s="234">
        <v>60</v>
      </c>
      <c r="E72" s="234">
        <v>60</v>
      </c>
      <c r="F72" s="234">
        <v>0</v>
      </c>
      <c r="G72" s="234">
        <v>0</v>
      </c>
      <c r="H72" s="234">
        <v>0</v>
      </c>
      <c r="I72" s="234">
        <v>0</v>
      </c>
      <c r="J72" s="234">
        <v>0</v>
      </c>
      <c r="K72" s="234">
        <v>0</v>
      </c>
      <c r="L72" s="234">
        <v>0</v>
      </c>
      <c r="M72" s="234">
        <v>0</v>
      </c>
      <c r="N72" s="234">
        <v>0</v>
      </c>
      <c r="O72" s="234">
        <v>0</v>
      </c>
      <c r="P72" s="234">
        <v>0</v>
      </c>
      <c r="T72" s="221"/>
      <c r="V72" s="220"/>
      <c r="Z72" s="330"/>
      <c r="AA72" s="359"/>
      <c r="AB72" s="330"/>
      <c r="AC72" s="330"/>
    </row>
    <row r="73" spans="2:29" x14ac:dyDescent="0.2">
      <c r="B73" s="234"/>
      <c r="C73" s="234" t="s">
        <v>131</v>
      </c>
      <c r="D73" s="234">
        <v>1860</v>
      </c>
      <c r="E73" s="234">
        <v>1860</v>
      </c>
      <c r="F73" s="234">
        <v>1800</v>
      </c>
      <c r="G73" s="234">
        <v>1560</v>
      </c>
      <c r="H73" s="234">
        <v>1560</v>
      </c>
      <c r="I73" s="234">
        <v>1560</v>
      </c>
      <c r="J73" s="234">
        <v>1560</v>
      </c>
      <c r="K73" s="234">
        <v>1200</v>
      </c>
      <c r="L73" s="234">
        <v>1200</v>
      </c>
      <c r="M73" s="234">
        <v>1200</v>
      </c>
      <c r="N73" s="234">
        <v>1080</v>
      </c>
      <c r="O73" s="234">
        <v>1024</v>
      </c>
      <c r="P73" s="234">
        <v>0</v>
      </c>
      <c r="Q73" s="220">
        <v>20</v>
      </c>
      <c r="T73" s="221"/>
      <c r="V73" s="220"/>
      <c r="Z73" s="330"/>
      <c r="AA73" s="359"/>
      <c r="AB73" s="330"/>
      <c r="AC73" s="330"/>
    </row>
    <row r="74" spans="2:29" x14ac:dyDescent="0.2">
      <c r="B74" s="234"/>
      <c r="C74" s="234" t="s">
        <v>23</v>
      </c>
      <c r="D74" s="234">
        <v>1140</v>
      </c>
      <c r="E74" s="234">
        <v>1140</v>
      </c>
      <c r="F74" s="234">
        <v>1140</v>
      </c>
      <c r="G74" s="234">
        <v>1140</v>
      </c>
      <c r="H74" s="234">
        <v>1140</v>
      </c>
      <c r="I74" s="234">
        <v>1140</v>
      </c>
      <c r="J74" s="234">
        <v>1140</v>
      </c>
      <c r="K74" s="234">
        <v>1020</v>
      </c>
      <c r="L74" s="234">
        <v>1020</v>
      </c>
      <c r="M74" s="234">
        <v>1020</v>
      </c>
      <c r="N74" s="234">
        <v>1020</v>
      </c>
      <c r="O74" s="234">
        <v>420</v>
      </c>
      <c r="P74" s="234">
        <v>0</v>
      </c>
      <c r="Q74" s="220">
        <v>17</v>
      </c>
      <c r="T74" s="221"/>
      <c r="V74" s="220"/>
      <c r="Z74" s="330"/>
      <c r="AA74" s="359"/>
      <c r="AB74" s="330"/>
      <c r="AC74" s="330"/>
    </row>
    <row r="75" spans="2:29" x14ac:dyDescent="0.2">
      <c r="B75" s="234"/>
      <c r="C75" s="234" t="s">
        <v>24</v>
      </c>
      <c r="D75" s="234">
        <v>660</v>
      </c>
      <c r="E75" s="234">
        <v>660</v>
      </c>
      <c r="F75" s="234">
        <v>780</v>
      </c>
      <c r="G75" s="234">
        <v>780</v>
      </c>
      <c r="H75" s="234">
        <v>780</v>
      </c>
      <c r="I75" s="234">
        <v>780</v>
      </c>
      <c r="J75" s="234">
        <v>780</v>
      </c>
      <c r="K75" s="234">
        <v>360</v>
      </c>
      <c r="L75" s="234">
        <v>360</v>
      </c>
      <c r="M75" s="234">
        <v>360</v>
      </c>
      <c r="N75" s="234">
        <v>360</v>
      </c>
      <c r="O75" s="234">
        <v>330</v>
      </c>
      <c r="P75" s="234">
        <v>0</v>
      </c>
      <c r="Q75" s="220">
        <v>6</v>
      </c>
      <c r="T75" s="221"/>
      <c r="V75" s="220"/>
      <c r="Z75" s="330"/>
      <c r="AA75" s="359"/>
      <c r="AB75" s="330"/>
      <c r="AC75" s="330"/>
    </row>
    <row r="76" spans="2:29" x14ac:dyDescent="0.2">
      <c r="B76" s="234"/>
      <c r="C76" s="234" t="s">
        <v>56</v>
      </c>
      <c r="D76" s="234">
        <v>660</v>
      </c>
      <c r="E76" s="234">
        <v>660</v>
      </c>
      <c r="F76" s="234">
        <v>660</v>
      </c>
      <c r="G76" s="234">
        <v>660</v>
      </c>
      <c r="H76" s="234">
        <v>660</v>
      </c>
      <c r="I76" s="234">
        <v>660</v>
      </c>
      <c r="J76" s="234">
        <v>660</v>
      </c>
      <c r="K76" s="234">
        <v>300</v>
      </c>
      <c r="L76" s="234">
        <v>300</v>
      </c>
      <c r="M76" s="234">
        <v>300</v>
      </c>
      <c r="N76" s="234">
        <v>300</v>
      </c>
      <c r="O76" s="234">
        <v>0</v>
      </c>
      <c r="P76" s="234">
        <v>0</v>
      </c>
      <c r="Q76" s="220">
        <v>5</v>
      </c>
      <c r="T76" s="221"/>
      <c r="V76" s="220"/>
      <c r="Z76" s="330"/>
      <c r="AA76" s="359"/>
      <c r="AB76" s="330"/>
      <c r="AC76" s="330"/>
    </row>
    <row r="77" spans="2:29" x14ac:dyDescent="0.2">
      <c r="B77" s="234"/>
      <c r="C77" s="234" t="s">
        <v>135</v>
      </c>
      <c r="D77" s="234"/>
      <c r="E77" s="234"/>
      <c r="F77" s="234"/>
      <c r="G77" s="234"/>
      <c r="H77" s="234"/>
      <c r="I77" s="234"/>
      <c r="J77" s="234"/>
      <c r="K77" s="234">
        <v>486</v>
      </c>
      <c r="L77" s="234">
        <v>480</v>
      </c>
      <c r="M77" s="234">
        <v>480</v>
      </c>
      <c r="N77" s="234">
        <v>480</v>
      </c>
      <c r="O77" s="234">
        <v>1425</v>
      </c>
      <c r="P77" s="234">
        <v>0</v>
      </c>
      <c r="Q77" s="220">
        <v>8</v>
      </c>
      <c r="T77" s="221"/>
      <c r="V77" s="220"/>
      <c r="Z77" s="330"/>
      <c r="AA77" s="359"/>
      <c r="AB77" s="330"/>
      <c r="AC77" s="330"/>
    </row>
    <row r="78" spans="2:29" x14ac:dyDescent="0.2">
      <c r="B78" s="234"/>
      <c r="C78" s="234" t="s">
        <v>136</v>
      </c>
      <c r="D78" s="234"/>
      <c r="E78" s="234"/>
      <c r="F78" s="234"/>
      <c r="G78" s="234"/>
      <c r="H78" s="234"/>
      <c r="I78" s="234"/>
      <c r="J78" s="234"/>
      <c r="K78" s="234">
        <v>1260</v>
      </c>
      <c r="L78" s="234">
        <v>1260</v>
      </c>
      <c r="M78" s="234">
        <v>1260</v>
      </c>
      <c r="N78" s="234">
        <v>900</v>
      </c>
      <c r="O78" s="234">
        <v>1172</v>
      </c>
      <c r="P78" s="234">
        <v>1200</v>
      </c>
      <c r="Q78" s="220">
        <v>21</v>
      </c>
      <c r="T78" s="221"/>
      <c r="V78" s="220"/>
      <c r="Z78" s="330"/>
      <c r="AA78" s="359"/>
      <c r="AB78" s="330"/>
      <c r="AC78" s="330"/>
    </row>
    <row r="79" spans="2:29" x14ac:dyDescent="0.2">
      <c r="B79" s="234"/>
      <c r="C79" s="234" t="s">
        <v>236</v>
      </c>
      <c r="D79" s="234"/>
      <c r="E79" s="234"/>
      <c r="F79" s="234"/>
      <c r="G79" s="234"/>
      <c r="H79" s="234"/>
      <c r="I79" s="234"/>
      <c r="J79" s="234"/>
      <c r="K79" s="234">
        <v>60</v>
      </c>
      <c r="L79" s="234">
        <v>60</v>
      </c>
      <c r="M79" s="234">
        <v>60</v>
      </c>
      <c r="N79" s="234">
        <v>1000</v>
      </c>
      <c r="O79" s="234">
        <v>960</v>
      </c>
      <c r="P79" s="234">
        <v>990</v>
      </c>
      <c r="Q79" s="220">
        <v>1</v>
      </c>
      <c r="T79" s="221"/>
      <c r="V79" s="220"/>
      <c r="Z79" s="330"/>
      <c r="AA79" s="359"/>
      <c r="AB79" s="330"/>
      <c r="AC79" s="330"/>
    </row>
    <row r="80" spans="2:29" x14ac:dyDescent="0.2">
      <c r="B80" s="365" t="s">
        <v>35</v>
      </c>
      <c r="C80" s="365" t="s">
        <v>35</v>
      </c>
      <c r="D80" s="366"/>
      <c r="E80" s="366"/>
      <c r="F80" s="366"/>
      <c r="G80" s="366"/>
      <c r="H80" s="366"/>
      <c r="I80" s="365"/>
      <c r="J80" s="366"/>
      <c r="K80" s="366"/>
      <c r="L80" s="366"/>
      <c r="M80" s="366"/>
      <c r="N80" s="366"/>
      <c r="O80" s="366"/>
      <c r="P80" s="366"/>
      <c r="T80" s="221"/>
      <c r="V80" s="220"/>
      <c r="Z80" s="330"/>
      <c r="AA80" s="359"/>
      <c r="AB80" s="330"/>
      <c r="AC80" s="330"/>
    </row>
    <row r="81" spans="2:30" x14ac:dyDescent="0.2">
      <c r="B81" s="234">
        <v>2020</v>
      </c>
      <c r="C81" s="234" t="s">
        <v>26</v>
      </c>
      <c r="D81" s="234"/>
      <c r="E81" s="234"/>
      <c r="F81" s="234"/>
      <c r="G81" s="234"/>
      <c r="H81" s="234"/>
      <c r="I81" s="234"/>
      <c r="J81" s="234"/>
      <c r="K81" s="234"/>
      <c r="L81" s="234"/>
      <c r="M81" s="234"/>
      <c r="N81" s="234">
        <v>300</v>
      </c>
      <c r="O81" s="234">
        <v>1020</v>
      </c>
      <c r="P81" s="234">
        <v>1680</v>
      </c>
      <c r="T81" s="221"/>
      <c r="V81" s="220"/>
      <c r="Z81" s="330"/>
      <c r="AA81" s="359"/>
      <c r="AB81" s="330"/>
      <c r="AC81" s="330"/>
    </row>
    <row r="82" spans="2:30" x14ac:dyDescent="0.2">
      <c r="B82" s="234"/>
      <c r="C82" s="234" t="s">
        <v>23</v>
      </c>
      <c r="D82" s="234"/>
      <c r="E82" s="234"/>
      <c r="F82" s="234"/>
      <c r="G82" s="234"/>
      <c r="H82" s="234"/>
      <c r="I82" s="234"/>
      <c r="J82" s="234"/>
      <c r="K82" s="234"/>
      <c r="L82" s="234"/>
      <c r="M82" s="234"/>
      <c r="N82" s="234">
        <v>370</v>
      </c>
      <c r="O82" s="234">
        <v>300</v>
      </c>
      <c r="P82" s="234">
        <v>300</v>
      </c>
      <c r="T82" s="221"/>
      <c r="V82" s="220"/>
      <c r="Z82" s="330"/>
      <c r="AA82" s="359"/>
      <c r="AB82" s="330"/>
      <c r="AC82" s="330"/>
    </row>
    <row r="83" spans="2:30" x14ac:dyDescent="0.2">
      <c r="B83" s="234"/>
      <c r="C83" s="234" t="s">
        <v>24</v>
      </c>
      <c r="D83" s="234"/>
      <c r="E83" s="234"/>
      <c r="F83" s="234"/>
      <c r="G83" s="234"/>
      <c r="H83" s="234"/>
      <c r="I83" s="234"/>
      <c r="J83" s="234"/>
      <c r="K83" s="234"/>
      <c r="L83" s="234"/>
      <c r="M83" s="234"/>
      <c r="N83" s="234"/>
      <c r="O83" s="234">
        <v>300</v>
      </c>
      <c r="P83" s="234">
        <v>940</v>
      </c>
      <c r="T83" s="221"/>
      <c r="V83" s="220"/>
      <c r="Z83" s="330"/>
      <c r="AA83" s="359"/>
      <c r="AB83" s="330"/>
      <c r="AC83" s="330"/>
    </row>
    <row r="84" spans="2:30" x14ac:dyDescent="0.2">
      <c r="B84" s="234"/>
      <c r="C84" s="234" t="s">
        <v>131</v>
      </c>
      <c r="D84" s="234"/>
      <c r="E84" s="234"/>
      <c r="F84" s="234"/>
      <c r="G84" s="234"/>
      <c r="H84" s="234"/>
      <c r="I84" s="234"/>
      <c r="J84" s="234"/>
      <c r="K84" s="234"/>
      <c r="L84" s="234"/>
      <c r="M84" s="234"/>
      <c r="N84" s="234"/>
      <c r="O84" s="234">
        <v>60</v>
      </c>
      <c r="P84" s="234">
        <v>1380</v>
      </c>
      <c r="T84" s="221"/>
      <c r="V84" s="220"/>
      <c r="Z84" s="330"/>
      <c r="AA84" s="359"/>
      <c r="AB84" s="330"/>
      <c r="AC84" s="330"/>
    </row>
    <row r="85" spans="2:30" x14ac:dyDescent="0.2">
      <c r="B85" s="234"/>
      <c r="C85" s="234" t="s">
        <v>56</v>
      </c>
      <c r="D85" s="234"/>
      <c r="E85" s="234"/>
      <c r="F85" s="234"/>
      <c r="G85" s="234"/>
      <c r="H85" s="234"/>
      <c r="I85" s="234"/>
      <c r="J85" s="234"/>
      <c r="K85" s="234"/>
      <c r="L85" s="234"/>
      <c r="M85" s="234"/>
      <c r="N85" s="234"/>
      <c r="O85" s="234">
        <v>360</v>
      </c>
      <c r="P85" s="234">
        <v>1691</v>
      </c>
      <c r="T85" s="221"/>
      <c r="V85" s="220"/>
      <c r="Z85" s="330"/>
      <c r="AA85" s="359"/>
      <c r="AB85" s="330"/>
      <c r="AC85" s="330"/>
    </row>
    <row r="86" spans="2:30" x14ac:dyDescent="0.2">
      <c r="B86" s="368"/>
      <c r="C86" s="368"/>
      <c r="D86" s="368"/>
      <c r="E86" s="368"/>
      <c r="F86" s="368"/>
      <c r="G86" s="368"/>
      <c r="H86" s="368"/>
      <c r="I86" s="368"/>
      <c r="J86" s="368"/>
      <c r="K86" s="368"/>
      <c r="L86" s="368"/>
      <c r="M86" s="368"/>
      <c r="N86" s="368"/>
      <c r="O86" s="368"/>
      <c r="P86" s="368"/>
      <c r="T86" s="221"/>
      <c r="V86" s="220"/>
      <c r="Z86" s="330"/>
      <c r="AA86" s="359"/>
      <c r="AB86" s="330"/>
      <c r="AC86" s="330"/>
    </row>
    <row r="87" spans="2:30" x14ac:dyDescent="0.2">
      <c r="B87" s="368"/>
      <c r="C87" s="368"/>
      <c r="D87" s="368"/>
      <c r="E87" s="368"/>
      <c r="F87" s="368"/>
      <c r="G87" s="368"/>
      <c r="H87" s="368"/>
      <c r="I87" s="368"/>
      <c r="J87" s="368"/>
      <c r="K87" s="368"/>
      <c r="L87" s="368"/>
      <c r="M87" s="368"/>
      <c r="N87" s="368"/>
      <c r="O87" s="368"/>
      <c r="P87" s="368"/>
      <c r="T87" s="221"/>
      <c r="V87" s="220"/>
      <c r="Z87" s="330"/>
      <c r="AA87" s="359"/>
      <c r="AB87" s="330"/>
      <c r="AC87" s="330"/>
    </row>
    <row r="88" spans="2:30" x14ac:dyDescent="0.2">
      <c r="D88" s="220"/>
      <c r="T88" s="221"/>
      <c r="V88" s="220"/>
      <c r="Z88" s="330"/>
      <c r="AA88" s="359"/>
      <c r="AB88" s="330"/>
      <c r="AC88" s="330"/>
    </row>
    <row r="89" spans="2:30" s="278" customFormat="1" ht="15.75" x14ac:dyDescent="0.25">
      <c r="C89" s="278" t="s">
        <v>59</v>
      </c>
      <c r="D89" s="278">
        <f>SUM(D61:D88)</f>
        <v>11320</v>
      </c>
      <c r="E89" s="278">
        <f t="shared" ref="E89:P89" si="51">SUM(E61:E88)</f>
        <v>6240</v>
      </c>
      <c r="F89" s="278">
        <f t="shared" si="51"/>
        <v>6240</v>
      </c>
      <c r="G89" s="278">
        <f t="shared" si="51"/>
        <v>6000</v>
      </c>
      <c r="H89" s="278">
        <f t="shared" si="51"/>
        <v>6000</v>
      </c>
      <c r="I89" s="278">
        <f t="shared" si="51"/>
        <v>6000</v>
      </c>
      <c r="J89" s="278">
        <f t="shared" si="51"/>
        <v>6000</v>
      </c>
      <c r="K89" s="278">
        <f t="shared" si="51"/>
        <v>5886</v>
      </c>
      <c r="L89" s="278">
        <f t="shared" si="51"/>
        <v>5880</v>
      </c>
      <c r="M89" s="278">
        <f t="shared" si="51"/>
        <v>5880</v>
      </c>
      <c r="N89" s="278">
        <f t="shared" si="51"/>
        <v>7010</v>
      </c>
      <c r="O89" s="278">
        <f t="shared" si="51"/>
        <v>8226</v>
      </c>
      <c r="P89" s="278">
        <f t="shared" si="51"/>
        <v>8181</v>
      </c>
      <c r="U89" s="1"/>
      <c r="V89" s="1"/>
      <c r="Z89" s="330"/>
      <c r="AA89" s="359"/>
      <c r="AB89" s="330"/>
      <c r="AC89" s="330"/>
      <c r="AD89" s="220"/>
    </row>
    <row r="90" spans="2:30" x14ac:dyDescent="0.2">
      <c r="Z90" s="330"/>
      <c r="AA90" s="359"/>
      <c r="AB90" s="330"/>
      <c r="AC90" s="330"/>
    </row>
    <row r="91" spans="2:30" x14ac:dyDescent="0.2">
      <c r="Z91" s="330"/>
      <c r="AA91" s="359"/>
      <c r="AB91" s="330"/>
      <c r="AC91" s="330"/>
    </row>
    <row r="92" spans="2:30" x14ac:dyDescent="0.2">
      <c r="B92" s="365" t="s">
        <v>35</v>
      </c>
      <c r="C92" s="365" t="s">
        <v>35</v>
      </c>
      <c r="D92" s="366"/>
      <c r="E92" s="366" t="s">
        <v>244</v>
      </c>
      <c r="F92" s="366" t="s">
        <v>135</v>
      </c>
      <c r="G92" s="366" t="s">
        <v>117</v>
      </c>
      <c r="H92" s="366" t="s">
        <v>238</v>
      </c>
      <c r="I92" s="366" t="s">
        <v>239</v>
      </c>
      <c r="J92" s="365" t="s">
        <v>240</v>
      </c>
      <c r="K92" s="366"/>
      <c r="L92" s="366" t="s">
        <v>241</v>
      </c>
      <c r="M92" s="366" t="s">
        <v>242</v>
      </c>
      <c r="N92" s="366" t="s">
        <v>243</v>
      </c>
      <c r="R92" s="221"/>
      <c r="S92" s="221"/>
      <c r="U92" s="220"/>
      <c r="V92" s="220"/>
      <c r="W92" s="330"/>
      <c r="X92" s="330"/>
      <c r="Y92" s="359"/>
      <c r="Z92" s="330"/>
      <c r="AA92" s="359"/>
      <c r="AB92" s="330"/>
      <c r="AC92" s="330"/>
    </row>
    <row r="93" spans="2:30" x14ac:dyDescent="0.2">
      <c r="B93" s="234">
        <v>2019</v>
      </c>
      <c r="C93" s="234" t="s">
        <v>26</v>
      </c>
      <c r="D93" s="234">
        <v>20</v>
      </c>
      <c r="E93" s="234">
        <v>14</v>
      </c>
      <c r="F93" s="234">
        <v>5</v>
      </c>
      <c r="G93" s="234" t="s">
        <v>35</v>
      </c>
      <c r="H93" s="234" t="s">
        <v>35</v>
      </c>
      <c r="I93" s="234" t="s">
        <v>35</v>
      </c>
      <c r="J93" s="234">
        <v>1</v>
      </c>
      <c r="K93" s="234">
        <f t="shared" ref="K93:K100" si="52">SUM(E93:J93)</f>
        <v>20</v>
      </c>
      <c r="L93" s="234">
        <f>E103</f>
        <v>336</v>
      </c>
      <c r="M93" s="234">
        <f>L93</f>
        <v>336</v>
      </c>
      <c r="N93" s="234"/>
      <c r="R93" s="221"/>
      <c r="S93" s="221"/>
      <c r="U93" s="220"/>
      <c r="V93" s="220"/>
      <c r="W93" s="330"/>
      <c r="X93" s="330"/>
      <c r="Y93" s="359"/>
      <c r="Z93" s="330"/>
      <c r="AA93" s="359"/>
      <c r="AB93" s="330"/>
      <c r="AC93" s="330"/>
    </row>
    <row r="94" spans="2:30" x14ac:dyDescent="0.2">
      <c r="B94" s="234"/>
      <c r="C94" s="234" t="s">
        <v>131</v>
      </c>
      <c r="D94" s="234">
        <v>20</v>
      </c>
      <c r="E94" s="234"/>
      <c r="F94" s="234"/>
      <c r="G94" s="234"/>
      <c r="H94" s="234">
        <v>18</v>
      </c>
      <c r="I94" s="234"/>
      <c r="J94" s="234">
        <v>2</v>
      </c>
      <c r="K94" s="234">
        <f t="shared" si="52"/>
        <v>20</v>
      </c>
      <c r="L94" s="234">
        <f>H103</f>
        <v>432</v>
      </c>
      <c r="M94" s="234">
        <f t="shared" ref="M94:M98" si="53">L94</f>
        <v>432</v>
      </c>
      <c r="N94" s="234"/>
      <c r="R94" s="221"/>
      <c r="S94" s="221"/>
      <c r="U94" s="220"/>
      <c r="V94" s="220"/>
      <c r="W94" s="330"/>
      <c r="X94" s="330"/>
      <c r="Y94" s="359"/>
      <c r="Z94" s="330"/>
      <c r="AA94" s="359"/>
      <c r="AB94" s="330"/>
      <c r="AC94" s="330"/>
    </row>
    <row r="95" spans="2:30" ht="15.75" x14ac:dyDescent="0.25">
      <c r="B95" s="234"/>
      <c r="C95" s="234" t="s">
        <v>23</v>
      </c>
      <c r="D95" s="234">
        <v>17</v>
      </c>
      <c r="E95" s="234"/>
      <c r="F95" s="234">
        <v>10</v>
      </c>
      <c r="G95" s="234"/>
      <c r="H95" s="234"/>
      <c r="I95" s="234"/>
      <c r="J95" s="402">
        <v>7</v>
      </c>
      <c r="K95" s="234">
        <f t="shared" si="52"/>
        <v>17</v>
      </c>
      <c r="L95" s="234" t="s">
        <v>35</v>
      </c>
      <c r="M95" s="234" t="str">
        <f t="shared" si="53"/>
        <v xml:space="preserve"> </v>
      </c>
      <c r="N95" s="234"/>
      <c r="O95" s="220" t="s">
        <v>245</v>
      </c>
      <c r="R95" s="221"/>
      <c r="S95" s="221"/>
      <c r="U95" s="220"/>
      <c r="V95" s="220"/>
      <c r="W95" s="330"/>
      <c r="X95" s="330"/>
      <c r="Y95" s="359"/>
      <c r="Z95" s="330"/>
      <c r="AA95" s="359"/>
      <c r="AB95" s="330"/>
      <c r="AC95" s="330"/>
    </row>
    <row r="96" spans="2:30" x14ac:dyDescent="0.2">
      <c r="B96" s="234"/>
      <c r="C96" s="234" t="s">
        <v>24</v>
      </c>
      <c r="D96" s="234">
        <v>6</v>
      </c>
      <c r="E96" s="234"/>
      <c r="F96" s="234"/>
      <c r="G96" s="234">
        <v>6</v>
      </c>
      <c r="H96" s="234"/>
      <c r="I96" s="234"/>
      <c r="J96" s="234"/>
      <c r="K96" s="234">
        <f t="shared" si="52"/>
        <v>6</v>
      </c>
      <c r="L96" s="234">
        <f>G103</f>
        <v>144</v>
      </c>
      <c r="M96" s="234">
        <f t="shared" si="53"/>
        <v>144</v>
      </c>
      <c r="N96" s="234"/>
      <c r="R96" s="221"/>
      <c r="S96" s="221"/>
      <c r="U96" s="220"/>
      <c r="V96" s="220"/>
      <c r="W96" s="330"/>
      <c r="X96" s="330"/>
      <c r="Y96" s="359"/>
      <c r="Z96" s="330"/>
      <c r="AA96" s="359"/>
      <c r="AB96" s="330"/>
      <c r="AC96" s="330"/>
    </row>
    <row r="97" spans="2:30" x14ac:dyDescent="0.2">
      <c r="B97" s="234"/>
      <c r="C97" s="234" t="s">
        <v>56</v>
      </c>
      <c r="D97" s="234">
        <v>5</v>
      </c>
      <c r="E97" s="234"/>
      <c r="F97" s="234">
        <v>3</v>
      </c>
      <c r="G97" s="234"/>
      <c r="H97" s="234"/>
      <c r="I97" s="234"/>
      <c r="J97" s="234">
        <v>2</v>
      </c>
      <c r="K97" s="234">
        <f t="shared" si="52"/>
        <v>5</v>
      </c>
      <c r="L97" s="234" t="s">
        <v>35</v>
      </c>
      <c r="M97" s="234" t="str">
        <f t="shared" si="53"/>
        <v xml:space="preserve"> </v>
      </c>
      <c r="N97" s="234"/>
      <c r="R97" s="221"/>
      <c r="S97" s="221"/>
      <c r="U97" s="220"/>
      <c r="V97" s="220"/>
      <c r="Y97" s="221"/>
      <c r="Z97" s="330"/>
      <c r="AA97" s="359"/>
      <c r="AB97" s="330"/>
      <c r="AC97" s="330"/>
    </row>
    <row r="98" spans="2:30" x14ac:dyDescent="0.2">
      <c r="B98" s="234"/>
      <c r="C98" s="234" t="s">
        <v>135</v>
      </c>
      <c r="D98" s="234">
        <v>8</v>
      </c>
      <c r="E98" s="234" t="s">
        <v>35</v>
      </c>
      <c r="F98" s="234">
        <v>8</v>
      </c>
      <c r="G98" s="234"/>
      <c r="H98" s="234"/>
      <c r="I98" s="234"/>
      <c r="J98" s="234"/>
      <c r="K98" s="234">
        <f t="shared" si="52"/>
        <v>8</v>
      </c>
      <c r="L98" s="234">
        <f>F103</f>
        <v>624</v>
      </c>
      <c r="M98" s="234">
        <f t="shared" si="53"/>
        <v>624</v>
      </c>
      <c r="N98" s="234"/>
      <c r="R98" s="221"/>
      <c r="S98" s="221"/>
      <c r="U98" s="220"/>
      <c r="V98" s="220"/>
      <c r="Y98" s="221"/>
      <c r="Z98" s="330"/>
      <c r="AA98" s="359"/>
      <c r="AB98" s="330"/>
      <c r="AC98" s="330"/>
    </row>
    <row r="99" spans="2:30" x14ac:dyDescent="0.2">
      <c r="B99" s="234"/>
      <c r="C99" s="234" t="s">
        <v>136</v>
      </c>
      <c r="D99" s="234">
        <v>21</v>
      </c>
      <c r="E99" s="234"/>
      <c r="F99" s="234"/>
      <c r="G99" s="234"/>
      <c r="H99" s="234"/>
      <c r="I99" s="234">
        <v>21</v>
      </c>
      <c r="J99" s="234" t="s">
        <v>35</v>
      </c>
      <c r="K99" s="234">
        <f t="shared" si="52"/>
        <v>21</v>
      </c>
      <c r="L99" s="234">
        <f>I103</f>
        <v>504</v>
      </c>
      <c r="M99" s="234"/>
      <c r="N99" s="234">
        <f>L99</f>
        <v>504</v>
      </c>
      <c r="R99" s="221"/>
      <c r="S99" s="221"/>
      <c r="U99" s="220"/>
      <c r="V99" s="220"/>
      <c r="Y99" s="221"/>
      <c r="Z99" s="330"/>
      <c r="AA99" s="359"/>
      <c r="AB99" s="330"/>
      <c r="AC99" s="330"/>
    </row>
    <row r="100" spans="2:30" x14ac:dyDescent="0.2">
      <c r="B100" s="234"/>
      <c r="C100" s="234" t="s">
        <v>246</v>
      </c>
      <c r="D100" s="234">
        <v>1</v>
      </c>
      <c r="E100" s="234"/>
      <c r="F100" s="234"/>
      <c r="G100" s="234"/>
      <c r="H100" s="234"/>
      <c r="I100" s="234"/>
      <c r="J100" s="234">
        <v>1</v>
      </c>
      <c r="K100" s="234">
        <f t="shared" si="52"/>
        <v>1</v>
      </c>
      <c r="L100" s="234">
        <f>J103</f>
        <v>312</v>
      </c>
      <c r="M100" s="234"/>
      <c r="N100" s="234">
        <f>L100</f>
        <v>312</v>
      </c>
      <c r="R100" s="221"/>
      <c r="S100" s="221"/>
      <c r="U100" s="220"/>
      <c r="V100" s="220"/>
      <c r="Y100" s="221"/>
      <c r="Z100" s="330"/>
      <c r="AA100" s="359"/>
      <c r="AB100" s="330"/>
      <c r="AC100" s="330"/>
    </row>
    <row r="101" spans="2:30" ht="15.75" x14ac:dyDescent="0.25">
      <c r="D101" s="220"/>
      <c r="U101" s="220"/>
      <c r="W101" s="221"/>
      <c r="Z101" s="387"/>
      <c r="AA101" s="387"/>
      <c r="AB101" s="358"/>
      <c r="AC101" s="387"/>
      <c r="AD101" s="278"/>
    </row>
    <row r="102" spans="2:30" ht="15.75" x14ac:dyDescent="0.25">
      <c r="B102" s="278"/>
      <c r="C102" s="278" t="s">
        <v>59</v>
      </c>
      <c r="D102" s="278">
        <f>SUM(D93:D101)</f>
        <v>98</v>
      </c>
      <c r="E102" s="220">
        <f>SUM(E93:E101)</f>
        <v>14</v>
      </c>
      <c r="F102" s="220">
        <f t="shared" ref="F102:J102" si="54">SUM(F93:F101)</f>
        <v>26</v>
      </c>
      <c r="G102" s="220">
        <f t="shared" si="54"/>
        <v>6</v>
      </c>
      <c r="H102" s="220">
        <f t="shared" si="54"/>
        <v>18</v>
      </c>
      <c r="I102" s="220">
        <f t="shared" si="54"/>
        <v>21</v>
      </c>
      <c r="J102" s="220">
        <f t="shared" si="54"/>
        <v>13</v>
      </c>
      <c r="K102" s="278">
        <f t="shared" ref="K102:L102" si="55">SUM(K93:K101)</f>
        <v>98</v>
      </c>
      <c r="L102" s="278">
        <f t="shared" si="55"/>
        <v>2352</v>
      </c>
      <c r="M102" s="278">
        <f t="shared" ref="M102" si="56">SUM(M93:M101)</f>
        <v>1536</v>
      </c>
      <c r="N102" s="278">
        <f t="shared" ref="N102" si="57">SUM(N93:N101)</f>
        <v>816</v>
      </c>
      <c r="O102" s="278" t="s">
        <v>35</v>
      </c>
      <c r="P102" s="278" t="s">
        <v>35</v>
      </c>
      <c r="Q102" s="278" t="s">
        <v>35</v>
      </c>
      <c r="R102" s="278"/>
      <c r="U102" s="220"/>
      <c r="W102" s="221"/>
      <c r="Z102" s="330"/>
      <c r="AA102" s="330"/>
      <c r="AB102" s="359"/>
      <c r="AC102" s="330"/>
    </row>
    <row r="103" spans="2:30" x14ac:dyDescent="0.2">
      <c r="D103" s="220" t="s">
        <v>241</v>
      </c>
      <c r="E103" s="220">
        <f>E102*24</f>
        <v>336</v>
      </c>
      <c r="F103" s="220">
        <f t="shared" ref="F103:J103" si="58">F102*24</f>
        <v>624</v>
      </c>
      <c r="G103" s="220">
        <f t="shared" si="58"/>
        <v>144</v>
      </c>
      <c r="H103" s="220">
        <f t="shared" si="58"/>
        <v>432</v>
      </c>
      <c r="I103" s="220">
        <f t="shared" si="58"/>
        <v>504</v>
      </c>
      <c r="J103" s="220">
        <f t="shared" si="58"/>
        <v>312</v>
      </c>
      <c r="Z103" s="330"/>
      <c r="AA103" s="330"/>
      <c r="AB103" s="359"/>
      <c r="AC103" s="330"/>
    </row>
    <row r="104" spans="2:30" x14ac:dyDescent="0.2">
      <c r="Z104" s="330"/>
      <c r="AB104" s="220"/>
    </row>
    <row r="105" spans="2:30" x14ac:dyDescent="0.2">
      <c r="Z105" s="330"/>
      <c r="AB105" s="220"/>
    </row>
    <row r="106" spans="2:30" x14ac:dyDescent="0.2">
      <c r="Z106" s="330"/>
      <c r="AB106" s="220"/>
    </row>
    <row r="107" spans="2:30" x14ac:dyDescent="0.2">
      <c r="Z107" s="330"/>
      <c r="AB107" s="220"/>
    </row>
    <row r="108" spans="2:30" x14ac:dyDescent="0.2">
      <c r="Z108" s="330"/>
      <c r="AB108" s="220"/>
    </row>
    <row r="109" spans="2:30" x14ac:dyDescent="0.2">
      <c r="AB109" s="220"/>
    </row>
    <row r="110" spans="2:30" x14ac:dyDescent="0.2">
      <c r="AB110" s="220"/>
    </row>
    <row r="111" spans="2:30" x14ac:dyDescent="0.2">
      <c r="AB111" s="220"/>
    </row>
    <row r="112" spans="2:30" x14ac:dyDescent="0.2">
      <c r="AB112" s="220"/>
    </row>
    <row r="113" spans="28:29" x14ac:dyDescent="0.2">
      <c r="AB113" s="220"/>
      <c r="AC113" s="221"/>
    </row>
    <row r="114" spans="28:29" x14ac:dyDescent="0.2">
      <c r="AB114" s="220"/>
      <c r="AC114" s="221"/>
    </row>
  </sheetData>
  <mergeCells count="1">
    <mergeCell ref="Z18:AD18"/>
  </mergeCells>
  <pageMargins left="0.7" right="0.7" top="0.75" bottom="0.75" header="0.3" footer="0.3"/>
  <pageSetup scale="24"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E115"/>
  <sheetViews>
    <sheetView topLeftCell="A7" zoomScale="80" zoomScaleNormal="80" workbookViewId="0">
      <selection activeCell="D31" sqref="D31"/>
    </sheetView>
  </sheetViews>
  <sheetFormatPr defaultColWidth="9.28515625" defaultRowHeight="15" x14ac:dyDescent="0.2"/>
  <cols>
    <col min="1" max="1" width="10.28515625" style="220" bestFit="1" customWidth="1"/>
    <col min="2" max="2" width="9.28515625" style="220"/>
    <col min="3" max="3" width="23.7109375" style="220" customWidth="1"/>
    <col min="4" max="4" width="11.28515625" style="297" customWidth="1"/>
    <col min="5" max="5" width="13.28515625" style="220" customWidth="1"/>
    <col min="6" max="17" width="7.7109375" style="220" customWidth="1"/>
    <col min="18" max="18" width="11.7109375" style="220" customWidth="1"/>
    <col min="19" max="19" width="10.28515625" style="220" customWidth="1"/>
    <col min="20" max="20" width="10" style="220" customWidth="1"/>
    <col min="21" max="21" width="12.7109375" style="221" customWidth="1"/>
    <col min="22" max="22" width="9.28515625" style="221"/>
    <col min="23" max="23" width="15.7109375" style="220" customWidth="1"/>
    <col min="24" max="26" width="9.28515625" style="221"/>
    <col min="27" max="27" width="22.7109375" style="220" customWidth="1"/>
    <col min="28" max="28" width="10.28515625" style="220" customWidth="1"/>
    <col min="29" max="29" width="64.7109375" style="221" customWidth="1"/>
    <col min="30" max="31" width="19.42578125" style="220" customWidth="1"/>
    <col min="32" max="16384" width="9.28515625" style="220"/>
  </cols>
  <sheetData>
    <row r="1" spans="1:30" x14ac:dyDescent="0.2">
      <c r="E1" s="221"/>
      <c r="F1" s="329"/>
      <c r="G1" s="221"/>
      <c r="H1" s="221"/>
      <c r="I1" s="221"/>
      <c r="J1" s="221"/>
      <c r="K1" s="221"/>
      <c r="L1" s="221"/>
      <c r="M1" s="221"/>
      <c r="N1" s="221"/>
      <c r="O1" s="221"/>
      <c r="P1" s="221"/>
      <c r="Q1" s="221"/>
      <c r="R1" s="221"/>
    </row>
    <row r="2" spans="1:30" x14ac:dyDescent="0.2">
      <c r="C2" s="329">
        <v>44196</v>
      </c>
      <c r="E2" s="221"/>
      <c r="F2" s="221"/>
      <c r="G2" s="221"/>
      <c r="H2" s="221"/>
      <c r="I2" s="221"/>
      <c r="J2" s="221"/>
      <c r="K2" s="221"/>
      <c r="L2" s="221"/>
      <c r="M2" s="221"/>
      <c r="N2" s="221"/>
      <c r="O2" s="221"/>
      <c r="P2" s="221"/>
      <c r="Q2" s="221"/>
      <c r="R2" s="221"/>
    </row>
    <row r="3" spans="1:30" x14ac:dyDescent="0.2">
      <c r="C3" s="221"/>
      <c r="E3" s="221"/>
      <c r="F3" s="221"/>
      <c r="G3" s="221"/>
      <c r="H3" s="221"/>
      <c r="I3" s="221"/>
      <c r="J3" s="221"/>
      <c r="K3" s="221"/>
      <c r="L3" s="221"/>
      <c r="M3" s="221"/>
      <c r="N3" s="221"/>
      <c r="O3" s="221"/>
      <c r="P3" s="221"/>
      <c r="Q3" s="221"/>
      <c r="R3" s="221"/>
    </row>
    <row r="4" spans="1:30" x14ac:dyDescent="0.2">
      <c r="C4" s="339"/>
      <c r="E4" s="339"/>
      <c r="F4" s="339"/>
      <c r="G4" s="339"/>
      <c r="H4" s="339"/>
      <c r="I4" s="339"/>
      <c r="J4" s="339"/>
      <c r="K4" s="339"/>
      <c r="L4" s="339"/>
      <c r="M4" s="339"/>
      <c r="N4" s="339"/>
      <c r="O4" s="339"/>
      <c r="P4" s="339"/>
      <c r="Q4" s="339"/>
      <c r="R4" s="339"/>
    </row>
    <row r="5" spans="1:30" x14ac:dyDescent="0.2">
      <c r="D5" s="220"/>
      <c r="E5" s="221"/>
      <c r="F5" s="221"/>
      <c r="G5" s="221"/>
      <c r="H5" s="221"/>
      <c r="I5" s="221"/>
      <c r="J5" s="221"/>
      <c r="K5" s="221"/>
      <c r="L5" s="221"/>
      <c r="M5" s="221"/>
      <c r="N5" s="221"/>
      <c r="O5" s="221"/>
      <c r="P5" s="221"/>
      <c r="Q5" s="221"/>
      <c r="R5" s="221"/>
    </row>
    <row r="6" spans="1:30" ht="15.75" thickBot="1" x14ac:dyDescent="0.25">
      <c r="D6" s="220"/>
      <c r="E6" s="221"/>
      <c r="F6" s="221"/>
      <c r="G6" s="221"/>
      <c r="H6" s="221"/>
      <c r="I6" s="221"/>
      <c r="J6" s="221"/>
      <c r="K6" s="221"/>
      <c r="L6" s="221"/>
      <c r="M6" s="221" t="s">
        <v>219</v>
      </c>
      <c r="N6" s="221"/>
      <c r="O6" s="221"/>
      <c r="P6" s="221"/>
      <c r="Q6" s="221"/>
      <c r="R6" s="221"/>
    </row>
    <row r="7" spans="1:30" ht="16.5" thickBot="1" x14ac:dyDescent="0.3">
      <c r="A7" s="222"/>
      <c r="B7" s="223" t="s">
        <v>0</v>
      </c>
      <c r="C7" s="224"/>
      <c r="D7" s="224"/>
      <c r="E7" s="403"/>
      <c r="F7" s="403"/>
      <c r="G7" s="403"/>
      <c r="H7" s="403"/>
      <c r="I7" s="403"/>
      <c r="J7" s="403"/>
      <c r="K7" s="403"/>
      <c r="L7" s="403"/>
      <c r="M7" s="403"/>
      <c r="N7" s="403"/>
      <c r="O7" s="403"/>
      <c r="P7" s="403"/>
      <c r="Q7" s="403"/>
      <c r="R7" s="224"/>
      <c r="S7" s="224"/>
      <c r="T7" s="224"/>
      <c r="U7" s="300"/>
      <c r="V7" s="320" t="s">
        <v>0</v>
      </c>
      <c r="W7" s="224"/>
      <c r="AC7" s="1" t="s">
        <v>222</v>
      </c>
    </row>
    <row r="8" spans="1:30" ht="48" thickBot="1" x14ac:dyDescent="0.3">
      <c r="A8" s="160" t="s">
        <v>79</v>
      </c>
      <c r="B8" s="156" t="s">
        <v>3</v>
      </c>
      <c r="C8" s="107" t="s">
        <v>2</v>
      </c>
      <c r="D8" s="108" t="s">
        <v>176</v>
      </c>
      <c r="E8" s="109" t="s">
        <v>226</v>
      </c>
      <c r="F8" s="219" t="s">
        <v>4</v>
      </c>
      <c r="G8" s="110" t="s">
        <v>5</v>
      </c>
      <c r="H8" s="110" t="s">
        <v>6</v>
      </c>
      <c r="I8" s="110" t="s">
        <v>7</v>
      </c>
      <c r="J8" s="110" t="s">
        <v>8</v>
      </c>
      <c r="K8" s="110" t="s">
        <v>9</v>
      </c>
      <c r="L8" s="110" t="s">
        <v>10</v>
      </c>
      <c r="M8" s="110" t="s">
        <v>11</v>
      </c>
      <c r="N8" s="110" t="s">
        <v>12</v>
      </c>
      <c r="O8" s="110" t="s">
        <v>13</v>
      </c>
      <c r="P8" s="110" t="s">
        <v>14</v>
      </c>
      <c r="Q8" s="110" t="s">
        <v>15</v>
      </c>
      <c r="R8" s="111" t="s">
        <v>16</v>
      </c>
      <c r="S8" s="112" t="s">
        <v>176</v>
      </c>
      <c r="T8" s="109" t="s">
        <v>19</v>
      </c>
      <c r="U8" s="113" t="s">
        <v>41</v>
      </c>
      <c r="V8" s="156" t="s">
        <v>3</v>
      </c>
      <c r="W8" s="107" t="s">
        <v>2</v>
      </c>
      <c r="AA8" s="301" t="s">
        <v>142</v>
      </c>
      <c r="AB8" s="301" t="s">
        <v>143</v>
      </c>
      <c r="AC8" s="301" t="s">
        <v>154</v>
      </c>
      <c r="AD8" s="301" t="s">
        <v>102</v>
      </c>
    </row>
    <row r="9" spans="1:30" x14ac:dyDescent="0.2">
      <c r="A9" s="226"/>
      <c r="B9" s="227"/>
      <c r="C9" s="228"/>
      <c r="D9" s="228"/>
      <c r="E9" s="229"/>
      <c r="F9" s="229">
        <v>1</v>
      </c>
      <c r="G9" s="229"/>
      <c r="H9" s="229"/>
      <c r="I9" s="229"/>
      <c r="J9" s="229"/>
      <c r="K9" s="229"/>
      <c r="L9" s="229"/>
      <c r="M9" s="229"/>
      <c r="N9" s="229"/>
      <c r="O9" s="229"/>
      <c r="P9" s="229"/>
      <c r="Q9" s="229"/>
      <c r="R9" s="228"/>
      <c r="S9" s="230"/>
      <c r="T9" s="231"/>
      <c r="U9" s="302"/>
      <c r="V9" s="321"/>
      <c r="W9" s="228"/>
      <c r="AA9" s="388">
        <v>44208</v>
      </c>
      <c r="AB9" s="389">
        <v>2019</v>
      </c>
      <c r="AC9" s="389" t="s">
        <v>136</v>
      </c>
      <c r="AD9" s="389">
        <v>486</v>
      </c>
    </row>
    <row r="10" spans="1:30" x14ac:dyDescent="0.2">
      <c r="A10" s="234">
        <v>97511</v>
      </c>
      <c r="B10" s="234">
        <v>2017</v>
      </c>
      <c r="C10" s="234" t="s">
        <v>25</v>
      </c>
      <c r="D10" s="256">
        <v>22</v>
      </c>
      <c r="E10" s="236">
        <v>202</v>
      </c>
      <c r="F10" s="337">
        <v>20</v>
      </c>
      <c r="G10" s="337">
        <v>26</v>
      </c>
      <c r="H10" s="337">
        <v>26</v>
      </c>
      <c r="I10" s="337">
        <v>28</v>
      </c>
      <c r="J10" s="337">
        <v>15</v>
      </c>
      <c r="K10" s="337">
        <v>15</v>
      </c>
      <c r="L10" s="337">
        <v>22</v>
      </c>
      <c r="M10" s="337">
        <v>38</v>
      </c>
      <c r="N10" s="337">
        <v>12</v>
      </c>
      <c r="O10" s="242"/>
      <c r="P10" s="242"/>
      <c r="Q10" s="242"/>
      <c r="R10" s="372">
        <f>SUM(F10:Q10)</f>
        <v>202</v>
      </c>
      <c r="S10" s="345">
        <f t="shared" ref="S10:S12" si="0">IFERROR((AVERAGE(F10:Q10)),0)</f>
        <v>22.444444444444443</v>
      </c>
      <c r="T10" s="279">
        <f t="shared" ref="T10:T12" si="1">IFERROR((U10/S10),0)</f>
        <v>0</v>
      </c>
      <c r="U10" s="236">
        <f>SUM(E10-R10)</f>
        <v>0</v>
      </c>
      <c r="V10" s="236">
        <v>2017</v>
      </c>
      <c r="W10" s="234" t="s">
        <v>25</v>
      </c>
      <c r="AA10" s="388">
        <v>44208</v>
      </c>
      <c r="AB10" s="389">
        <v>2019</v>
      </c>
      <c r="AC10" s="389" t="s">
        <v>246</v>
      </c>
      <c r="AD10" s="389">
        <v>389</v>
      </c>
    </row>
    <row r="11" spans="1:30" x14ac:dyDescent="0.2">
      <c r="A11" s="234">
        <v>101638</v>
      </c>
      <c r="B11" s="234">
        <v>2017</v>
      </c>
      <c r="C11" s="234" t="s">
        <v>26</v>
      </c>
      <c r="D11" s="380">
        <v>23</v>
      </c>
      <c r="E11" s="236">
        <v>167</v>
      </c>
      <c r="F11" s="337">
        <v>18</v>
      </c>
      <c r="G11" s="337">
        <v>17</v>
      </c>
      <c r="H11" s="337">
        <v>20</v>
      </c>
      <c r="I11" s="337">
        <v>15</v>
      </c>
      <c r="J11" s="337">
        <v>12</v>
      </c>
      <c r="K11" s="337">
        <v>1</v>
      </c>
      <c r="L11" s="337">
        <v>16</v>
      </c>
      <c r="M11" s="337">
        <v>44</v>
      </c>
      <c r="N11" s="337">
        <v>24</v>
      </c>
      <c r="O11" s="242"/>
      <c r="P11" s="242"/>
      <c r="Q11" s="242"/>
      <c r="R11" s="372">
        <f t="shared" ref="R11:R12" si="2">SUM(F11:Q11)</f>
        <v>167</v>
      </c>
      <c r="S11" s="345">
        <f t="shared" si="0"/>
        <v>18.555555555555557</v>
      </c>
      <c r="T11" s="279">
        <f t="shared" si="1"/>
        <v>0</v>
      </c>
      <c r="U11" s="236">
        <f t="shared" ref="U11:U12" si="3">SUM(E11-R11)</f>
        <v>0</v>
      </c>
      <c r="V11" s="236">
        <v>2017</v>
      </c>
      <c r="W11" s="234" t="s">
        <v>26</v>
      </c>
      <c r="AA11" s="388">
        <v>44306</v>
      </c>
      <c r="AB11" s="389">
        <v>2020</v>
      </c>
      <c r="AC11" s="389" t="s">
        <v>46</v>
      </c>
      <c r="AD11" s="389">
        <v>112</v>
      </c>
    </row>
    <row r="12" spans="1:30" x14ac:dyDescent="0.2">
      <c r="A12" s="234">
        <v>101639</v>
      </c>
      <c r="B12" s="234">
        <v>2017</v>
      </c>
      <c r="C12" s="234" t="s">
        <v>120</v>
      </c>
      <c r="D12" s="256">
        <v>17</v>
      </c>
      <c r="E12" s="236">
        <v>304</v>
      </c>
      <c r="F12" s="337">
        <v>15</v>
      </c>
      <c r="G12" s="337">
        <v>13</v>
      </c>
      <c r="H12" s="337">
        <v>14</v>
      </c>
      <c r="I12" s="337">
        <v>9</v>
      </c>
      <c r="J12" s="337">
        <v>10</v>
      </c>
      <c r="K12" s="337">
        <v>19</v>
      </c>
      <c r="L12" s="337">
        <v>8</v>
      </c>
      <c r="M12" s="337">
        <v>14</v>
      </c>
      <c r="N12" s="337">
        <v>17</v>
      </c>
      <c r="O12" s="337">
        <v>17</v>
      </c>
      <c r="P12" s="337">
        <v>29</v>
      </c>
      <c r="Q12" s="337">
        <v>33</v>
      </c>
      <c r="R12" s="372">
        <f t="shared" si="2"/>
        <v>198</v>
      </c>
      <c r="S12" s="345">
        <f t="shared" si="0"/>
        <v>16.5</v>
      </c>
      <c r="T12" s="279">
        <f t="shared" si="1"/>
        <v>6.4242424242424239</v>
      </c>
      <c r="U12" s="236">
        <f t="shared" si="3"/>
        <v>106</v>
      </c>
      <c r="V12" s="236">
        <v>2017</v>
      </c>
      <c r="W12" s="234" t="str">
        <f>+C12</f>
        <v>Norton</v>
      </c>
      <c r="AA12" s="388">
        <v>44306</v>
      </c>
      <c r="AB12" s="389">
        <v>2020</v>
      </c>
      <c r="AC12" s="389" t="s">
        <v>110</v>
      </c>
      <c r="AD12" s="389">
        <v>431</v>
      </c>
    </row>
    <row r="13" spans="1:30" x14ac:dyDescent="0.2">
      <c r="A13" s="226"/>
      <c r="B13" s="269" t="s">
        <v>35</v>
      </c>
      <c r="C13" s="269"/>
      <c r="D13" s="226" t="s">
        <v>35</v>
      </c>
      <c r="E13" s="272"/>
      <c r="F13" s="272"/>
      <c r="G13" s="272"/>
      <c r="H13" s="272"/>
      <c r="I13" s="272"/>
      <c r="J13" s="272"/>
      <c r="K13" s="272"/>
      <c r="L13" s="272"/>
      <c r="M13" s="272"/>
      <c r="N13" s="272"/>
      <c r="O13" s="272"/>
      <c r="P13" s="272"/>
      <c r="Q13" s="272"/>
      <c r="R13" s="376"/>
      <c r="S13" s="283"/>
      <c r="T13" s="284">
        <v>0</v>
      </c>
      <c r="U13" s="271"/>
      <c r="V13" s="272"/>
      <c r="W13" s="269"/>
      <c r="AA13" s="388">
        <v>44363</v>
      </c>
      <c r="AB13" s="389">
        <v>2020</v>
      </c>
      <c r="AC13" s="389" t="s">
        <v>31</v>
      </c>
      <c r="AD13" s="389">
        <v>396</v>
      </c>
    </row>
    <row r="14" spans="1:30" x14ac:dyDescent="0.2">
      <c r="A14" s="234">
        <v>97509</v>
      </c>
      <c r="B14" s="237">
        <v>2018</v>
      </c>
      <c r="C14" s="234" t="s">
        <v>107</v>
      </c>
      <c r="D14" s="380">
        <v>17</v>
      </c>
      <c r="E14" s="236">
        <v>228</v>
      </c>
      <c r="F14" s="337">
        <v>12</v>
      </c>
      <c r="G14" s="337">
        <v>5</v>
      </c>
      <c r="H14" s="337">
        <v>14</v>
      </c>
      <c r="I14" s="337">
        <v>17</v>
      </c>
      <c r="J14" s="337">
        <v>27</v>
      </c>
      <c r="K14" s="337">
        <v>19</v>
      </c>
      <c r="L14" s="337">
        <v>30</v>
      </c>
      <c r="M14" s="337">
        <v>35</v>
      </c>
      <c r="N14" s="337">
        <v>28</v>
      </c>
      <c r="O14" s="237">
        <v>9</v>
      </c>
      <c r="P14" s="237">
        <v>27</v>
      </c>
      <c r="Q14" s="237">
        <v>5</v>
      </c>
      <c r="R14" s="372">
        <f t="shared" ref="R14:R19" si="4">SUM(F14:Q14)</f>
        <v>228</v>
      </c>
      <c r="S14" s="345">
        <f t="shared" ref="S14:S20" si="5">IFERROR((AVERAGE(F14:Q14)),0)</f>
        <v>19</v>
      </c>
      <c r="T14" s="279">
        <f t="shared" ref="T14:T20" si="6">IFERROR((U14/S14),0)</f>
        <v>0</v>
      </c>
      <c r="U14" s="236">
        <f t="shared" ref="U14:U15" si="7">SUM(E14-R14)</f>
        <v>0</v>
      </c>
      <c r="V14" s="236">
        <f t="shared" ref="V14:W20" si="8">+B14</f>
        <v>2018</v>
      </c>
      <c r="W14" s="367" t="str">
        <f t="shared" si="8"/>
        <v>Traminette</v>
      </c>
      <c r="AA14" s="388">
        <v>44363</v>
      </c>
      <c r="AB14" s="389">
        <v>2020</v>
      </c>
      <c r="AC14" s="389" t="s">
        <v>192</v>
      </c>
      <c r="AD14" s="389">
        <v>247</v>
      </c>
    </row>
    <row r="15" spans="1:30" x14ac:dyDescent="0.2">
      <c r="A15" s="234">
        <v>97511</v>
      </c>
      <c r="B15" s="237">
        <v>2018</v>
      </c>
      <c r="C15" s="234" t="s">
        <v>25</v>
      </c>
      <c r="D15" s="381">
        <v>22</v>
      </c>
      <c r="E15" s="236">
        <v>303</v>
      </c>
      <c r="F15" s="246">
        <v>1</v>
      </c>
      <c r="G15" s="246">
        <v>5</v>
      </c>
      <c r="H15" s="246">
        <v>17</v>
      </c>
      <c r="I15" s="246">
        <v>0</v>
      </c>
      <c r="J15" s="246">
        <v>0</v>
      </c>
      <c r="K15" s="246">
        <v>0</v>
      </c>
      <c r="L15" s="246">
        <v>0</v>
      </c>
      <c r="M15" s="246">
        <v>0</v>
      </c>
      <c r="N15" s="246">
        <v>4</v>
      </c>
      <c r="O15" s="237">
        <v>21</v>
      </c>
      <c r="P15" s="237">
        <v>29</v>
      </c>
      <c r="Q15" s="237">
        <v>22</v>
      </c>
      <c r="R15" s="372">
        <f t="shared" si="4"/>
        <v>99</v>
      </c>
      <c r="S15" s="345">
        <f t="shared" si="5"/>
        <v>8.25</v>
      </c>
      <c r="T15" s="279">
        <f t="shared" si="6"/>
        <v>24.727272727272727</v>
      </c>
      <c r="U15" s="236">
        <f t="shared" si="7"/>
        <v>204</v>
      </c>
      <c r="V15" s="236">
        <f t="shared" si="8"/>
        <v>2018</v>
      </c>
      <c r="W15" s="367" t="str">
        <f t="shared" si="8"/>
        <v>Chardonnay</v>
      </c>
      <c r="AA15" s="388">
        <v>44536</v>
      </c>
      <c r="AB15" s="389">
        <v>2020</v>
      </c>
      <c r="AC15" s="389" t="s">
        <v>26</v>
      </c>
      <c r="AD15" s="389">
        <v>290</v>
      </c>
    </row>
    <row r="16" spans="1:30" x14ac:dyDescent="0.2">
      <c r="A16" s="234">
        <v>101638</v>
      </c>
      <c r="B16" s="237">
        <v>2018</v>
      </c>
      <c r="C16" s="234" t="s">
        <v>26</v>
      </c>
      <c r="D16" s="380">
        <v>23</v>
      </c>
      <c r="E16" s="337">
        <v>371</v>
      </c>
      <c r="F16" s="246">
        <v>0</v>
      </c>
      <c r="G16" s="246">
        <v>0</v>
      </c>
      <c r="H16" s="246">
        <v>0</v>
      </c>
      <c r="I16" s="246">
        <v>1</v>
      </c>
      <c r="J16" s="246">
        <v>1</v>
      </c>
      <c r="K16" s="246">
        <v>0</v>
      </c>
      <c r="L16" s="246">
        <v>0</v>
      </c>
      <c r="M16" s="246">
        <v>0</v>
      </c>
      <c r="N16" s="237">
        <v>23</v>
      </c>
      <c r="O16" s="237">
        <v>46</v>
      </c>
      <c r="P16" s="237">
        <v>41</v>
      </c>
      <c r="Q16" s="237">
        <v>25</v>
      </c>
      <c r="R16" s="372">
        <f>SUM(F16:Q16)</f>
        <v>137</v>
      </c>
      <c r="S16" s="345">
        <f t="shared" si="5"/>
        <v>11.416666666666666</v>
      </c>
      <c r="T16" s="279">
        <f t="shared" si="6"/>
        <v>20.496350364963504</v>
      </c>
      <c r="U16" s="236">
        <f t="shared" ref="U16:U20" si="9">SUM(E16-R16)</f>
        <v>234</v>
      </c>
      <c r="V16" s="236">
        <f t="shared" si="8"/>
        <v>2018</v>
      </c>
      <c r="W16" s="367" t="str">
        <f t="shared" si="8"/>
        <v>Merlot</v>
      </c>
      <c r="AA16" s="388">
        <v>44536</v>
      </c>
      <c r="AB16" s="389">
        <v>2020</v>
      </c>
      <c r="AC16" s="389" t="s">
        <v>56</v>
      </c>
      <c r="AD16" s="389">
        <v>288</v>
      </c>
    </row>
    <row r="17" spans="1:31" x14ac:dyDescent="0.2">
      <c r="A17" s="234">
        <v>100465</v>
      </c>
      <c r="B17" s="237">
        <v>2018</v>
      </c>
      <c r="C17" s="234" t="s">
        <v>135</v>
      </c>
      <c r="D17" s="256">
        <v>21</v>
      </c>
      <c r="E17" s="337">
        <v>502</v>
      </c>
      <c r="F17" s="337">
        <v>0</v>
      </c>
      <c r="G17" s="337">
        <v>9</v>
      </c>
      <c r="H17" s="337">
        <v>50</v>
      </c>
      <c r="I17" s="337">
        <v>42</v>
      </c>
      <c r="J17" s="337">
        <v>12</v>
      </c>
      <c r="K17" s="337">
        <v>36</v>
      </c>
      <c r="L17" s="337">
        <v>7</v>
      </c>
      <c r="M17" s="337">
        <v>37</v>
      </c>
      <c r="N17" s="337">
        <v>25</v>
      </c>
      <c r="O17" s="337">
        <v>27</v>
      </c>
      <c r="P17" s="337">
        <v>36</v>
      </c>
      <c r="Q17" s="337">
        <v>33</v>
      </c>
      <c r="R17" s="372">
        <f t="shared" si="4"/>
        <v>314</v>
      </c>
      <c r="S17" s="345">
        <f t="shared" si="5"/>
        <v>26.166666666666668</v>
      </c>
      <c r="T17" s="279">
        <f t="shared" si="6"/>
        <v>7.1847133757961776</v>
      </c>
      <c r="U17" s="236">
        <f t="shared" si="9"/>
        <v>188</v>
      </c>
      <c r="V17" s="236">
        <f t="shared" si="8"/>
        <v>2018</v>
      </c>
      <c r="W17" s="367" t="str">
        <f t="shared" si="8"/>
        <v>Meritage</v>
      </c>
      <c r="AA17" s="388">
        <v>44536</v>
      </c>
      <c r="AB17" s="389">
        <v>2020</v>
      </c>
      <c r="AC17" s="389" t="s">
        <v>131</v>
      </c>
      <c r="AD17" s="389">
        <v>427</v>
      </c>
    </row>
    <row r="18" spans="1:31" x14ac:dyDescent="0.2">
      <c r="A18" s="234">
        <v>102768</v>
      </c>
      <c r="B18" s="237">
        <v>2018</v>
      </c>
      <c r="C18" s="234" t="s">
        <v>131</v>
      </c>
      <c r="D18" s="384">
        <v>14</v>
      </c>
      <c r="E18" s="337">
        <v>238</v>
      </c>
      <c r="F18" s="337">
        <v>18</v>
      </c>
      <c r="G18" s="337">
        <v>14</v>
      </c>
      <c r="H18" s="337">
        <v>20</v>
      </c>
      <c r="I18" s="337">
        <v>18</v>
      </c>
      <c r="J18" s="337">
        <v>17</v>
      </c>
      <c r="K18" s="337">
        <v>14</v>
      </c>
      <c r="L18" s="337">
        <v>15</v>
      </c>
      <c r="M18" s="337">
        <v>21</v>
      </c>
      <c r="N18" s="337">
        <v>39</v>
      </c>
      <c r="O18" s="337">
        <v>20</v>
      </c>
      <c r="P18" s="337">
        <v>36</v>
      </c>
      <c r="Q18" s="337">
        <v>6</v>
      </c>
      <c r="R18" s="372">
        <f t="shared" si="4"/>
        <v>238</v>
      </c>
      <c r="S18" s="345">
        <f t="shared" si="5"/>
        <v>19.833333333333332</v>
      </c>
      <c r="T18" s="279">
        <f t="shared" si="6"/>
        <v>0</v>
      </c>
      <c r="U18" s="236">
        <f t="shared" si="9"/>
        <v>0</v>
      </c>
      <c r="V18" s="236">
        <f t="shared" si="8"/>
        <v>2018</v>
      </c>
      <c r="W18" s="367" t="str">
        <f t="shared" si="8"/>
        <v>Tannat</v>
      </c>
      <c r="AA18" s="388">
        <v>44536</v>
      </c>
      <c r="AB18" s="389">
        <v>2020</v>
      </c>
      <c r="AC18" s="389" t="s">
        <v>136</v>
      </c>
      <c r="AD18" s="389">
        <v>618</v>
      </c>
    </row>
    <row r="19" spans="1:31" x14ac:dyDescent="0.2">
      <c r="A19" s="234">
        <v>100643</v>
      </c>
      <c r="B19" s="237">
        <v>2018</v>
      </c>
      <c r="C19" s="234" t="s">
        <v>136</v>
      </c>
      <c r="D19" s="383">
        <v>45</v>
      </c>
      <c r="E19" s="337">
        <v>522</v>
      </c>
      <c r="F19" s="337">
        <v>27</v>
      </c>
      <c r="G19" s="337">
        <v>18</v>
      </c>
      <c r="H19" s="337">
        <v>21</v>
      </c>
      <c r="I19" s="337">
        <v>21</v>
      </c>
      <c r="J19" s="337">
        <v>46</v>
      </c>
      <c r="K19" s="337">
        <v>33</v>
      </c>
      <c r="L19" s="337">
        <v>34</v>
      </c>
      <c r="M19" s="337">
        <v>13</v>
      </c>
      <c r="N19" s="337">
        <v>41</v>
      </c>
      <c r="O19" s="337">
        <v>44</v>
      </c>
      <c r="P19" s="337">
        <v>45</v>
      </c>
      <c r="Q19" s="337">
        <v>41</v>
      </c>
      <c r="R19" s="372">
        <f t="shared" si="4"/>
        <v>384</v>
      </c>
      <c r="S19" s="345">
        <f t="shared" si="5"/>
        <v>32</v>
      </c>
      <c r="T19" s="279">
        <f t="shared" si="6"/>
        <v>4.3125</v>
      </c>
      <c r="U19" s="236">
        <f t="shared" si="9"/>
        <v>138</v>
      </c>
      <c r="V19" s="236">
        <f t="shared" si="8"/>
        <v>2018</v>
      </c>
      <c r="W19" s="367" t="str">
        <f t="shared" si="8"/>
        <v>Kings Ransom</v>
      </c>
      <c r="AA19" s="388">
        <v>44536</v>
      </c>
      <c r="AB19" s="389">
        <v>2020</v>
      </c>
      <c r="AC19" s="389" t="s">
        <v>246</v>
      </c>
      <c r="AD19" s="389">
        <v>292</v>
      </c>
    </row>
    <row r="20" spans="1:31" ht="16.149999999999999" customHeight="1" x14ac:dyDescent="0.2">
      <c r="A20" s="234">
        <v>116509</v>
      </c>
      <c r="B20" s="236">
        <v>2018</v>
      </c>
      <c r="C20" s="234" t="s">
        <v>150</v>
      </c>
      <c r="D20" s="256">
        <v>6</v>
      </c>
      <c r="E20" s="236">
        <v>88</v>
      </c>
      <c r="F20" s="337">
        <v>16</v>
      </c>
      <c r="G20" s="337">
        <v>4</v>
      </c>
      <c r="H20" s="337">
        <v>3</v>
      </c>
      <c r="I20" s="337">
        <v>4</v>
      </c>
      <c r="J20" s="337">
        <v>5</v>
      </c>
      <c r="K20" s="337">
        <v>3</v>
      </c>
      <c r="L20" s="337">
        <v>4</v>
      </c>
      <c r="M20" s="337">
        <v>3</v>
      </c>
      <c r="N20" s="337">
        <v>3</v>
      </c>
      <c r="O20" s="337">
        <v>13</v>
      </c>
      <c r="P20" s="337">
        <v>8</v>
      </c>
      <c r="Q20" s="337">
        <v>14</v>
      </c>
      <c r="R20" s="372">
        <f t="shared" ref="R20" si="10">SUM(F20:Q20)</f>
        <v>80</v>
      </c>
      <c r="S20" s="345">
        <f t="shared" si="5"/>
        <v>6.666666666666667</v>
      </c>
      <c r="T20" s="279">
        <f t="shared" si="6"/>
        <v>1.2</v>
      </c>
      <c r="U20" s="236">
        <f t="shared" si="9"/>
        <v>8</v>
      </c>
      <c r="V20" s="236">
        <f t="shared" si="8"/>
        <v>2018</v>
      </c>
      <c r="W20" s="234" t="str">
        <f t="shared" si="8"/>
        <v>Snort</v>
      </c>
      <c r="AA20" s="388">
        <v>44543</v>
      </c>
      <c r="AB20" s="389">
        <v>2020</v>
      </c>
      <c r="AC20" s="389" t="s">
        <v>135</v>
      </c>
      <c r="AD20" s="389">
        <v>277</v>
      </c>
    </row>
    <row r="21" spans="1:31" x14ac:dyDescent="0.2">
      <c r="A21" s="226"/>
      <c r="B21" s="269"/>
      <c r="C21" s="269"/>
      <c r="D21" s="379"/>
      <c r="E21" s="271"/>
      <c r="F21" s="271"/>
      <c r="G21" s="271"/>
      <c r="H21" s="271"/>
      <c r="I21" s="271"/>
      <c r="J21" s="271"/>
      <c r="K21" s="271"/>
      <c r="L21" s="271"/>
      <c r="M21" s="271"/>
      <c r="N21" s="271"/>
      <c r="O21" s="271"/>
      <c r="P21" s="271"/>
      <c r="Q21" s="271"/>
      <c r="R21" s="281"/>
      <c r="S21" s="283"/>
      <c r="T21" s="284"/>
      <c r="U21" s="271"/>
      <c r="V21" s="271"/>
      <c r="W21" s="282"/>
      <c r="X21" s="221" t="s">
        <v>59</v>
      </c>
      <c r="Y21" s="221" t="s">
        <v>268</v>
      </c>
      <c r="Z21" s="221">
        <v>2021</v>
      </c>
      <c r="AA21" s="425"/>
      <c r="AB21" s="390"/>
      <c r="AC21" s="389"/>
      <c r="AD21" s="390"/>
    </row>
    <row r="22" spans="1:31" ht="15.75" x14ac:dyDescent="0.25">
      <c r="A22" s="234">
        <v>152192</v>
      </c>
      <c r="B22" s="237">
        <v>2019</v>
      </c>
      <c r="C22" s="234" t="s">
        <v>247</v>
      </c>
      <c r="D22" s="381">
        <v>23</v>
      </c>
      <c r="E22" s="236">
        <v>183</v>
      </c>
      <c r="F22" s="337">
        <v>21</v>
      </c>
      <c r="G22" s="337">
        <v>4</v>
      </c>
      <c r="H22" s="337">
        <v>27</v>
      </c>
      <c r="I22" s="337">
        <v>37</v>
      </c>
      <c r="J22" s="337">
        <v>15</v>
      </c>
      <c r="K22" s="337">
        <v>20</v>
      </c>
      <c r="L22" s="337">
        <v>3</v>
      </c>
      <c r="M22" s="337">
        <v>0</v>
      </c>
      <c r="N22" s="337">
        <v>0</v>
      </c>
      <c r="O22" s="337">
        <v>0</v>
      </c>
      <c r="P22" s="337">
        <v>12</v>
      </c>
      <c r="Q22" s="337">
        <v>35</v>
      </c>
      <c r="R22" s="372">
        <f>SUM(F22:Q22)</f>
        <v>174</v>
      </c>
      <c r="S22" s="345">
        <f t="shared" ref="S22:S33" si="11">IFERROR((AVERAGE(F22:Q22)),0)</f>
        <v>14.5</v>
      </c>
      <c r="T22" s="279">
        <f t="shared" ref="T22:T33" si="12">IFERROR((U22/S22),0)</f>
        <v>0.62068965517241381</v>
      </c>
      <c r="U22" s="236">
        <f t="shared" ref="U22:U24" si="13">SUM(E22-R22)</f>
        <v>9</v>
      </c>
      <c r="V22" s="236">
        <f t="shared" ref="V22:W33" si="14">+B22</f>
        <v>2019</v>
      </c>
      <c r="W22" s="234" t="str">
        <f t="shared" si="14"/>
        <v>Cameo Rose (No Tax)</v>
      </c>
      <c r="AA22" s="455" t="s">
        <v>173</v>
      </c>
      <c r="AB22" s="455"/>
      <c r="AC22" s="455"/>
      <c r="AD22" s="455"/>
      <c r="AE22" s="455"/>
    </row>
    <row r="23" spans="1:31" x14ac:dyDescent="0.2">
      <c r="A23" s="234">
        <v>101636</v>
      </c>
      <c r="B23" s="237">
        <v>2019</v>
      </c>
      <c r="C23" s="234" t="s">
        <v>31</v>
      </c>
      <c r="D23" s="256">
        <v>22</v>
      </c>
      <c r="E23" s="236">
        <v>283</v>
      </c>
      <c r="F23" s="337">
        <v>0</v>
      </c>
      <c r="G23" s="337">
        <v>0</v>
      </c>
      <c r="H23" s="337">
        <v>8</v>
      </c>
      <c r="I23" s="337">
        <v>21</v>
      </c>
      <c r="J23" s="337">
        <v>12</v>
      </c>
      <c r="K23" s="337">
        <v>11</v>
      </c>
      <c r="L23" s="337">
        <v>23</v>
      </c>
      <c r="M23" s="337">
        <v>18</v>
      </c>
      <c r="N23" s="337">
        <v>43</v>
      </c>
      <c r="O23" s="337">
        <v>38</v>
      </c>
      <c r="P23" s="337">
        <v>26</v>
      </c>
      <c r="Q23" s="337">
        <v>25</v>
      </c>
      <c r="R23" s="372">
        <f t="shared" ref="R23:R32" si="15">SUM(F23:Q23)</f>
        <v>225</v>
      </c>
      <c r="S23" s="345">
        <f t="shared" si="11"/>
        <v>18.75</v>
      </c>
      <c r="T23" s="279">
        <f t="shared" si="12"/>
        <v>3.0933333333333333</v>
      </c>
      <c r="U23" s="236">
        <f t="shared" si="13"/>
        <v>58</v>
      </c>
      <c r="V23" s="236">
        <f t="shared" si="14"/>
        <v>2019</v>
      </c>
      <c r="W23" s="367" t="str">
        <f t="shared" si="14"/>
        <v>Viognier</v>
      </c>
      <c r="X23" s="221">
        <v>638</v>
      </c>
      <c r="Y23" s="221" t="s">
        <v>264</v>
      </c>
      <c r="Z23" s="221">
        <v>150</v>
      </c>
      <c r="AA23" s="393">
        <v>44204</v>
      </c>
      <c r="AB23" s="394" t="s">
        <v>145</v>
      </c>
      <c r="AC23" s="395" t="s">
        <v>261</v>
      </c>
      <c r="AD23" s="396">
        <v>10</v>
      </c>
      <c r="AE23" s="397" t="s">
        <v>102</v>
      </c>
    </row>
    <row r="24" spans="1:31" x14ac:dyDescent="0.2">
      <c r="A24" s="234">
        <v>97511</v>
      </c>
      <c r="B24" s="237">
        <v>2019</v>
      </c>
      <c r="C24" s="234" t="s">
        <v>25</v>
      </c>
      <c r="D24" s="385">
        <v>22</v>
      </c>
      <c r="E24" s="236">
        <v>401</v>
      </c>
      <c r="F24" s="246">
        <v>0</v>
      </c>
      <c r="G24" s="246">
        <v>0</v>
      </c>
      <c r="H24" s="246">
        <v>0</v>
      </c>
      <c r="I24" s="246">
        <v>0</v>
      </c>
      <c r="J24" s="246">
        <v>0</v>
      </c>
      <c r="K24" s="246">
        <v>0</v>
      </c>
      <c r="L24" s="246">
        <v>2</v>
      </c>
      <c r="M24" s="246">
        <v>0</v>
      </c>
      <c r="N24" s="246">
        <v>1</v>
      </c>
      <c r="O24" s="246">
        <v>3</v>
      </c>
      <c r="P24" s="246">
        <v>0</v>
      </c>
      <c r="Q24" s="246">
        <v>0</v>
      </c>
      <c r="R24" s="372">
        <f t="shared" si="15"/>
        <v>6</v>
      </c>
      <c r="S24" s="345">
        <f t="shared" si="11"/>
        <v>0.5</v>
      </c>
      <c r="T24" s="279">
        <f t="shared" si="12"/>
        <v>790</v>
      </c>
      <c r="U24" s="236">
        <f t="shared" si="13"/>
        <v>395</v>
      </c>
      <c r="V24" s="236">
        <f t="shared" si="14"/>
        <v>2019</v>
      </c>
      <c r="W24" s="367" t="str">
        <f t="shared" si="14"/>
        <v>Chardonnay</v>
      </c>
      <c r="X24" s="221">
        <v>768</v>
      </c>
      <c r="Y24" s="221" t="s">
        <v>263</v>
      </c>
      <c r="Z24" s="221">
        <v>0</v>
      </c>
      <c r="AA24" s="393">
        <v>44204</v>
      </c>
      <c r="AB24" s="394">
        <v>2019</v>
      </c>
      <c r="AC24" s="395" t="s">
        <v>237</v>
      </c>
      <c r="AD24" s="396">
        <v>56</v>
      </c>
      <c r="AE24" s="397" t="s">
        <v>102</v>
      </c>
    </row>
    <row r="25" spans="1:31" x14ac:dyDescent="0.2">
      <c r="A25" s="234">
        <v>137525</v>
      </c>
      <c r="B25" s="237">
        <v>2019</v>
      </c>
      <c r="C25" s="234" t="s">
        <v>192</v>
      </c>
      <c r="D25" s="385">
        <v>24</v>
      </c>
      <c r="E25" s="236">
        <v>311</v>
      </c>
      <c r="F25" s="337">
        <v>3</v>
      </c>
      <c r="G25" s="337">
        <v>3</v>
      </c>
      <c r="H25" s="337">
        <v>17</v>
      </c>
      <c r="I25" s="337">
        <v>18</v>
      </c>
      <c r="J25" s="337">
        <v>40</v>
      </c>
      <c r="K25" s="337">
        <v>36</v>
      </c>
      <c r="L25" s="337">
        <v>32</v>
      </c>
      <c r="M25" s="337">
        <v>30</v>
      </c>
      <c r="N25" s="337">
        <v>24</v>
      </c>
      <c r="O25" s="337">
        <v>25</v>
      </c>
      <c r="P25" s="337">
        <v>23</v>
      </c>
      <c r="Q25" s="337">
        <v>16</v>
      </c>
      <c r="R25" s="372">
        <f t="shared" si="15"/>
        <v>267</v>
      </c>
      <c r="S25" s="345">
        <f t="shared" si="11"/>
        <v>22.25</v>
      </c>
      <c r="T25" s="279">
        <f t="shared" si="12"/>
        <v>1.9775280898876404</v>
      </c>
      <c r="U25" s="236">
        <f>SUM(E25-R25)</f>
        <v>44</v>
      </c>
      <c r="V25" s="236">
        <f t="shared" si="14"/>
        <v>2019</v>
      </c>
      <c r="W25" s="367" t="str">
        <f t="shared" si="14"/>
        <v>Celebration</v>
      </c>
      <c r="X25" s="221">
        <v>477</v>
      </c>
      <c r="Y25" s="221" t="s">
        <v>264</v>
      </c>
      <c r="Z25" s="221">
        <v>200</v>
      </c>
      <c r="AA25" s="393">
        <v>44350</v>
      </c>
      <c r="AB25" s="394" t="s">
        <v>145</v>
      </c>
      <c r="AC25" s="395" t="s">
        <v>261</v>
      </c>
      <c r="AD25" s="396">
        <v>10</v>
      </c>
      <c r="AE25" s="397" t="s">
        <v>102</v>
      </c>
    </row>
    <row r="26" spans="1:31" x14ac:dyDescent="0.2">
      <c r="A26" s="234">
        <v>137525</v>
      </c>
      <c r="B26" s="237">
        <v>2019</v>
      </c>
      <c r="C26" s="234" t="s">
        <v>232</v>
      </c>
      <c r="D26" s="385"/>
      <c r="E26" s="236">
        <v>0</v>
      </c>
      <c r="F26" s="242"/>
      <c r="G26" s="242"/>
      <c r="H26" s="242"/>
      <c r="I26" s="242"/>
      <c r="J26" s="242"/>
      <c r="K26" s="242"/>
      <c r="L26" s="242"/>
      <c r="M26" s="242"/>
      <c r="N26" s="242"/>
      <c r="O26" s="242"/>
      <c r="P26" s="242"/>
      <c r="Q26" s="242"/>
      <c r="R26" s="372">
        <f>SUM(F26:Q26)</f>
        <v>0</v>
      </c>
      <c r="S26" s="345">
        <f t="shared" si="11"/>
        <v>0</v>
      </c>
      <c r="T26" s="279">
        <f t="shared" si="12"/>
        <v>0</v>
      </c>
      <c r="U26" s="236">
        <f>+SUM(E26-R26)</f>
        <v>0</v>
      </c>
      <c r="V26" s="236">
        <f t="shared" si="14"/>
        <v>2019</v>
      </c>
      <c r="W26" s="367" t="str">
        <f t="shared" si="14"/>
        <v>Celebration 3L Bag</v>
      </c>
      <c r="AA26" s="393">
        <v>44364</v>
      </c>
      <c r="AB26" s="394">
        <v>2020</v>
      </c>
      <c r="AC26" s="395" t="s">
        <v>270</v>
      </c>
      <c r="AD26" s="396">
        <v>40</v>
      </c>
      <c r="AE26" s="397" t="s">
        <v>273</v>
      </c>
    </row>
    <row r="27" spans="1:31" x14ac:dyDescent="0.2">
      <c r="A27" s="234">
        <v>101638</v>
      </c>
      <c r="B27" s="237">
        <v>2019</v>
      </c>
      <c r="C27" s="234" t="s">
        <v>26</v>
      </c>
      <c r="D27" s="256">
        <v>23</v>
      </c>
      <c r="E27" s="236">
        <v>326</v>
      </c>
      <c r="F27" s="246">
        <v>4</v>
      </c>
      <c r="G27" s="246">
        <v>0</v>
      </c>
      <c r="H27" s="246">
        <v>0</v>
      </c>
      <c r="I27" s="246">
        <v>0</v>
      </c>
      <c r="J27" s="246">
        <v>0</v>
      </c>
      <c r="K27" s="246">
        <v>0</v>
      </c>
      <c r="L27" s="246">
        <v>0</v>
      </c>
      <c r="M27" s="246">
        <v>0</v>
      </c>
      <c r="N27" s="246">
        <v>0</v>
      </c>
      <c r="O27" s="246">
        <v>0</v>
      </c>
      <c r="P27" s="246">
        <v>0</v>
      </c>
      <c r="Q27" s="246">
        <v>0</v>
      </c>
      <c r="R27" s="372">
        <f t="shared" si="15"/>
        <v>4</v>
      </c>
      <c r="S27" s="345">
        <f t="shared" si="11"/>
        <v>0.33333333333333331</v>
      </c>
      <c r="T27" s="279">
        <f t="shared" si="12"/>
        <v>966</v>
      </c>
      <c r="U27" s="236">
        <f t="shared" ref="U27:U32" si="16">SUM(E27-R27)</f>
        <v>322</v>
      </c>
      <c r="V27" s="236">
        <f t="shared" si="14"/>
        <v>2019</v>
      </c>
      <c r="W27" s="367" t="str">
        <f t="shared" si="14"/>
        <v>Merlot</v>
      </c>
      <c r="X27" s="221">
        <v>803</v>
      </c>
      <c r="Y27" s="221" t="s">
        <v>263</v>
      </c>
      <c r="Z27" s="221">
        <v>250</v>
      </c>
      <c r="AA27" s="393">
        <v>44364</v>
      </c>
      <c r="AB27" s="394">
        <v>2020</v>
      </c>
      <c r="AC27" s="395" t="s">
        <v>270</v>
      </c>
      <c r="AD27" s="396">
        <v>191</v>
      </c>
      <c r="AE27" s="397" t="s">
        <v>102</v>
      </c>
    </row>
    <row r="28" spans="1:31" x14ac:dyDescent="0.2">
      <c r="A28" s="234">
        <v>100465</v>
      </c>
      <c r="B28" s="237">
        <v>2019</v>
      </c>
      <c r="C28" s="234" t="s">
        <v>135</v>
      </c>
      <c r="D28" s="256">
        <v>21</v>
      </c>
      <c r="E28" s="236">
        <v>602</v>
      </c>
      <c r="F28" s="246">
        <v>10</v>
      </c>
      <c r="G28" s="246">
        <v>0</v>
      </c>
      <c r="H28" s="246">
        <v>0</v>
      </c>
      <c r="I28" s="246">
        <v>0</v>
      </c>
      <c r="J28" s="246">
        <v>0</v>
      </c>
      <c r="K28" s="246">
        <v>0</v>
      </c>
      <c r="L28" s="246">
        <v>0</v>
      </c>
      <c r="M28" s="246">
        <v>0</v>
      </c>
      <c r="N28" s="246">
        <v>4</v>
      </c>
      <c r="O28" s="246">
        <v>0</v>
      </c>
      <c r="P28" s="246">
        <v>20</v>
      </c>
      <c r="Q28" s="246">
        <v>28</v>
      </c>
      <c r="R28" s="372">
        <f t="shared" si="15"/>
        <v>62</v>
      </c>
      <c r="S28" s="345">
        <f t="shared" si="11"/>
        <v>5.166666666666667</v>
      </c>
      <c r="T28" s="279">
        <f t="shared" si="12"/>
        <v>104.51612903225806</v>
      </c>
      <c r="U28" s="236">
        <f t="shared" si="16"/>
        <v>540</v>
      </c>
      <c r="V28" s="236">
        <f t="shared" si="14"/>
        <v>2019</v>
      </c>
      <c r="W28" s="367" t="str">
        <f t="shared" si="14"/>
        <v>Meritage</v>
      </c>
      <c r="X28" s="221">
        <v>981</v>
      </c>
      <c r="Y28" s="221" t="s">
        <v>265</v>
      </c>
      <c r="Z28" s="221">
        <v>0</v>
      </c>
      <c r="AA28" s="393">
        <v>44475</v>
      </c>
      <c r="AB28" s="394">
        <v>2021</v>
      </c>
      <c r="AC28" s="395" t="s">
        <v>274</v>
      </c>
      <c r="AD28" s="396">
        <v>605</v>
      </c>
      <c r="AE28" s="397" t="s">
        <v>104</v>
      </c>
    </row>
    <row r="29" spans="1:31" x14ac:dyDescent="0.2">
      <c r="A29" s="234">
        <v>102768</v>
      </c>
      <c r="B29" s="237">
        <v>2019</v>
      </c>
      <c r="C29" s="234" t="s">
        <v>131</v>
      </c>
      <c r="D29" s="256">
        <v>14</v>
      </c>
      <c r="E29" s="236">
        <v>422</v>
      </c>
      <c r="F29" s="246">
        <v>4</v>
      </c>
      <c r="G29" s="246">
        <v>6</v>
      </c>
      <c r="H29" s="246">
        <v>1</v>
      </c>
      <c r="I29" s="246">
        <v>0</v>
      </c>
      <c r="J29" s="246">
        <v>0</v>
      </c>
      <c r="K29" s="246">
        <v>2</v>
      </c>
      <c r="L29" s="246">
        <v>0</v>
      </c>
      <c r="M29" s="246">
        <v>0</v>
      </c>
      <c r="N29" s="246">
        <v>2</v>
      </c>
      <c r="O29" s="246">
        <v>1</v>
      </c>
      <c r="P29" s="246">
        <v>9</v>
      </c>
      <c r="Q29" s="246">
        <v>37</v>
      </c>
      <c r="R29" s="372">
        <f t="shared" si="15"/>
        <v>62</v>
      </c>
      <c r="S29" s="345">
        <f t="shared" si="11"/>
        <v>5.166666666666667</v>
      </c>
      <c r="T29" s="279">
        <f t="shared" si="12"/>
        <v>69.677419354838705</v>
      </c>
      <c r="U29" s="236">
        <f t="shared" si="16"/>
        <v>360</v>
      </c>
      <c r="V29" s="236">
        <f t="shared" si="14"/>
        <v>2019</v>
      </c>
      <c r="W29" s="367" t="str">
        <f t="shared" si="14"/>
        <v>Tannat</v>
      </c>
      <c r="X29" s="221">
        <v>562</v>
      </c>
      <c r="Y29" s="221" t="s">
        <v>263</v>
      </c>
      <c r="Z29" s="221" t="s">
        <v>267</v>
      </c>
      <c r="AA29" s="393">
        <v>44481</v>
      </c>
      <c r="AB29" s="394">
        <v>2021</v>
      </c>
      <c r="AC29" s="395" t="s">
        <v>275</v>
      </c>
      <c r="AD29" s="396">
        <v>30</v>
      </c>
      <c r="AE29" s="397" t="s">
        <v>104</v>
      </c>
    </row>
    <row r="30" spans="1:31" x14ac:dyDescent="0.2">
      <c r="A30" s="234">
        <v>163411</v>
      </c>
      <c r="B30" s="237">
        <v>2019</v>
      </c>
      <c r="C30" s="234" t="s">
        <v>24</v>
      </c>
      <c r="D30" s="256">
        <v>14</v>
      </c>
      <c r="E30" s="236">
        <v>122</v>
      </c>
      <c r="F30" s="337">
        <v>5</v>
      </c>
      <c r="G30" s="337">
        <v>0</v>
      </c>
      <c r="H30" s="337">
        <v>55</v>
      </c>
      <c r="I30" s="337">
        <v>6</v>
      </c>
      <c r="J30" s="337">
        <v>7</v>
      </c>
      <c r="K30" s="337">
        <v>5</v>
      </c>
      <c r="L30" s="337">
        <v>7</v>
      </c>
      <c r="M30" s="337">
        <v>3</v>
      </c>
      <c r="N30" s="337">
        <v>5</v>
      </c>
      <c r="O30" s="337">
        <v>0</v>
      </c>
      <c r="P30" s="337">
        <v>6</v>
      </c>
      <c r="Q30" s="337">
        <v>4</v>
      </c>
      <c r="R30" s="372">
        <f t="shared" ref="R30" si="17">SUM(F30:Q30)</f>
        <v>103</v>
      </c>
      <c r="S30" s="345">
        <f t="shared" si="11"/>
        <v>8.5833333333333339</v>
      </c>
      <c r="T30" s="279">
        <f t="shared" si="12"/>
        <v>2.2135922330097086</v>
      </c>
      <c r="U30" s="236">
        <f t="shared" ref="U30" si="18">SUM(E30-R30)</f>
        <v>19</v>
      </c>
      <c r="V30" s="236">
        <v>2019</v>
      </c>
      <c r="W30" s="367" t="str">
        <f t="shared" si="14"/>
        <v>Cab Sauv</v>
      </c>
      <c r="Z30" s="221" t="s">
        <v>267</v>
      </c>
      <c r="AA30" s="393">
        <v>44481</v>
      </c>
      <c r="AB30" s="394">
        <v>2021</v>
      </c>
      <c r="AC30" s="395" t="s">
        <v>275</v>
      </c>
      <c r="AD30" s="396">
        <v>30</v>
      </c>
      <c r="AE30" s="397" t="s">
        <v>104</v>
      </c>
    </row>
    <row r="31" spans="1:31" x14ac:dyDescent="0.2">
      <c r="A31" s="234">
        <v>163699</v>
      </c>
      <c r="B31" s="237">
        <v>2019</v>
      </c>
      <c r="C31" s="234" t="s">
        <v>256</v>
      </c>
      <c r="D31" s="256">
        <v>45</v>
      </c>
      <c r="E31" s="236">
        <v>389</v>
      </c>
      <c r="F31" s="246">
        <v>9</v>
      </c>
      <c r="G31" s="246">
        <v>19</v>
      </c>
      <c r="H31" s="246">
        <v>10</v>
      </c>
      <c r="I31" s="246">
        <v>0</v>
      </c>
      <c r="J31" s="246">
        <v>1</v>
      </c>
      <c r="K31" s="246">
        <v>0</v>
      </c>
      <c r="L31" s="246">
        <v>0</v>
      </c>
      <c r="M31" s="246">
        <v>2</v>
      </c>
      <c r="N31" s="246">
        <v>78</v>
      </c>
      <c r="O31" s="246">
        <v>6</v>
      </c>
      <c r="P31" s="246">
        <v>14</v>
      </c>
      <c r="Q31" s="246">
        <v>13</v>
      </c>
      <c r="R31" s="372">
        <f t="shared" ref="R31" si="19">SUM(F31:Q31)</f>
        <v>152</v>
      </c>
      <c r="S31" s="345">
        <f t="shared" ref="S31" si="20">IFERROR((AVERAGE(F31:Q31)),0)</f>
        <v>12.666666666666666</v>
      </c>
      <c r="T31" s="279">
        <f t="shared" ref="T31" si="21">IFERROR((U31/S31),0)</f>
        <v>18.710526315789476</v>
      </c>
      <c r="U31" s="236">
        <f t="shared" ref="U31" si="22">SUM(E31-R31)</f>
        <v>237</v>
      </c>
      <c r="V31" s="236">
        <f t="shared" ref="V31" si="23">+B31</f>
        <v>2019</v>
      </c>
      <c r="W31" s="367" t="str">
        <f t="shared" ref="W31" si="24">+C31</f>
        <v>Effingham Reserve</v>
      </c>
      <c r="Z31" s="221">
        <v>300</v>
      </c>
      <c r="AA31" s="393">
        <v>44487</v>
      </c>
      <c r="AB31" s="394">
        <v>2021</v>
      </c>
      <c r="AC31" s="395" t="s">
        <v>271</v>
      </c>
      <c r="AD31" s="396">
        <v>660</v>
      </c>
      <c r="AE31" s="397" t="s">
        <v>104</v>
      </c>
    </row>
    <row r="32" spans="1:31" x14ac:dyDescent="0.2">
      <c r="A32" s="234">
        <v>100643</v>
      </c>
      <c r="B32" s="237">
        <v>2019</v>
      </c>
      <c r="C32" s="234" t="s">
        <v>136</v>
      </c>
      <c r="D32" s="256">
        <v>45</v>
      </c>
      <c r="E32" s="236">
        <v>486</v>
      </c>
      <c r="F32" s="246">
        <v>7</v>
      </c>
      <c r="G32" s="246">
        <v>12</v>
      </c>
      <c r="H32" s="246">
        <v>3</v>
      </c>
      <c r="I32" s="246">
        <v>3</v>
      </c>
      <c r="J32" s="246">
        <v>0</v>
      </c>
      <c r="K32" s="246">
        <v>0</v>
      </c>
      <c r="L32" s="246">
        <v>0</v>
      </c>
      <c r="M32" s="246">
        <v>1</v>
      </c>
      <c r="N32" s="246">
        <v>0</v>
      </c>
      <c r="O32" s="246">
        <v>0</v>
      </c>
      <c r="P32" s="246">
        <v>11</v>
      </c>
      <c r="Q32" s="246">
        <v>0</v>
      </c>
      <c r="R32" s="372">
        <f t="shared" si="15"/>
        <v>37</v>
      </c>
      <c r="S32" s="345">
        <f t="shared" si="11"/>
        <v>3.0833333333333335</v>
      </c>
      <c r="T32" s="279">
        <f t="shared" si="12"/>
        <v>145.62162162162161</v>
      </c>
      <c r="U32" s="236">
        <f t="shared" si="16"/>
        <v>449</v>
      </c>
      <c r="V32" s="236">
        <f t="shared" si="14"/>
        <v>2019</v>
      </c>
      <c r="W32" s="367" t="str">
        <f t="shared" si="14"/>
        <v>Kings Ransom</v>
      </c>
      <c r="X32" s="221">
        <v>739</v>
      </c>
      <c r="Y32" s="221" t="s">
        <v>266</v>
      </c>
      <c r="Z32" s="221">
        <v>400</v>
      </c>
      <c r="AA32" s="393">
        <v>44505</v>
      </c>
      <c r="AB32" s="394">
        <v>2021</v>
      </c>
      <c r="AC32" s="395" t="s">
        <v>274</v>
      </c>
      <c r="AD32" s="396">
        <v>330</v>
      </c>
      <c r="AE32" s="397" t="s">
        <v>104</v>
      </c>
    </row>
    <row r="33" spans="1:31" ht="16.149999999999999" customHeight="1" x14ac:dyDescent="0.25">
      <c r="A33" s="234">
        <v>154310</v>
      </c>
      <c r="B33" s="237">
        <v>2019</v>
      </c>
      <c r="C33" s="234" t="s">
        <v>46</v>
      </c>
      <c r="D33" s="382" t="s">
        <v>35</v>
      </c>
      <c r="E33" s="236">
        <v>0</v>
      </c>
      <c r="F33" s="405"/>
      <c r="G33" s="242"/>
      <c r="H33" s="242"/>
      <c r="I33" s="242"/>
      <c r="J33" s="242"/>
      <c r="K33" s="242"/>
      <c r="L33" s="242"/>
      <c r="M33" s="242"/>
      <c r="N33" s="242"/>
      <c r="O33" s="242"/>
      <c r="P33" s="242"/>
      <c r="Q33" s="242"/>
      <c r="R33" s="372">
        <f t="shared" ref="R33" si="25">SUM(F33:Q33)</f>
        <v>0</v>
      </c>
      <c r="S33" s="345">
        <f t="shared" si="11"/>
        <v>0</v>
      </c>
      <c r="T33" s="279">
        <f t="shared" si="12"/>
        <v>0</v>
      </c>
      <c r="U33" s="236">
        <f t="shared" ref="U33:U38" si="26">SUM(E33-R33)</f>
        <v>0</v>
      </c>
      <c r="V33" s="236">
        <f t="shared" si="14"/>
        <v>2019</v>
      </c>
      <c r="W33" s="234" t="str">
        <f t="shared" si="14"/>
        <v>Petit Manseng</v>
      </c>
      <c r="Z33" s="221">
        <v>112</v>
      </c>
      <c r="AA33" s="393">
        <v>44505</v>
      </c>
      <c r="AB33" s="394">
        <v>2021</v>
      </c>
      <c r="AC33" s="395" t="s">
        <v>272</v>
      </c>
      <c r="AD33" s="396">
        <v>935</v>
      </c>
      <c r="AE33" s="397" t="s">
        <v>104</v>
      </c>
    </row>
    <row r="34" spans="1:31" x14ac:dyDescent="0.2">
      <c r="A34" s="226"/>
      <c r="B34" s="269"/>
      <c r="C34" s="269"/>
      <c r="D34" s="379"/>
      <c r="E34" s="271"/>
      <c r="F34" s="271"/>
      <c r="G34" s="271"/>
      <c r="H34" s="271"/>
      <c r="I34" s="271"/>
      <c r="J34" s="271"/>
      <c r="K34" s="271"/>
      <c r="L34" s="271"/>
      <c r="M34" s="271"/>
      <c r="N34" s="271"/>
      <c r="O34" s="271"/>
      <c r="P34" s="271"/>
      <c r="Q34" s="271"/>
      <c r="R34" s="281"/>
      <c r="S34" s="283"/>
      <c r="T34" s="284"/>
      <c r="U34" s="271"/>
      <c r="V34" s="271"/>
      <c r="W34" s="282"/>
      <c r="AA34" s="393">
        <v>44512</v>
      </c>
      <c r="AB34" s="394">
        <v>2019</v>
      </c>
      <c r="AC34" s="395" t="s">
        <v>237</v>
      </c>
      <c r="AD34" s="396">
        <v>56</v>
      </c>
      <c r="AE34" s="397" t="s">
        <v>102</v>
      </c>
    </row>
    <row r="35" spans="1:31" x14ac:dyDescent="0.2">
      <c r="A35" s="234">
        <v>101638</v>
      </c>
      <c r="B35" s="237" t="s">
        <v>133</v>
      </c>
      <c r="C35" s="234" t="s">
        <v>217</v>
      </c>
      <c r="D35" s="262"/>
      <c r="E35" s="236">
        <v>86</v>
      </c>
      <c r="F35" s="236">
        <v>45</v>
      </c>
      <c r="G35" s="236">
        <v>7</v>
      </c>
      <c r="H35" s="236">
        <v>9</v>
      </c>
      <c r="I35" s="236">
        <v>9</v>
      </c>
      <c r="J35" s="236">
        <v>6</v>
      </c>
      <c r="K35" s="236">
        <v>8</v>
      </c>
      <c r="L35" s="236">
        <v>2</v>
      </c>
      <c r="M35" s="242"/>
      <c r="N35" s="242"/>
      <c r="O35" s="242" t="s">
        <v>35</v>
      </c>
      <c r="P35" s="242" t="s">
        <v>35</v>
      </c>
      <c r="Q35" s="242" t="s">
        <v>35</v>
      </c>
      <c r="R35" s="372">
        <f t="shared" ref="R35:R36" si="27">SUM(F35:Q35)</f>
        <v>86</v>
      </c>
      <c r="S35" s="345">
        <f t="shared" ref="S35:S47" si="28">IFERROR((AVERAGE(F35:Q35)),0)</f>
        <v>12.285714285714286</v>
      </c>
      <c r="T35" s="279">
        <f t="shared" ref="T35:T53" si="29">IFERROR((U35/S35),0)</f>
        <v>0</v>
      </c>
      <c r="U35" s="236">
        <f t="shared" si="26"/>
        <v>0</v>
      </c>
      <c r="V35" s="236" t="s">
        <v>133</v>
      </c>
      <c r="W35" s="234" t="s">
        <v>134</v>
      </c>
      <c r="AA35" s="393">
        <v>44516</v>
      </c>
      <c r="AB35" s="394">
        <v>2021</v>
      </c>
      <c r="AC35" s="395" t="s">
        <v>274</v>
      </c>
      <c r="AD35" s="396">
        <v>330</v>
      </c>
      <c r="AE35" s="397" t="s">
        <v>104</v>
      </c>
    </row>
    <row r="36" spans="1:31" x14ac:dyDescent="0.2">
      <c r="A36" s="234">
        <v>100464</v>
      </c>
      <c r="B36" s="237">
        <v>2020</v>
      </c>
      <c r="C36" s="234" t="s">
        <v>110</v>
      </c>
      <c r="D36" s="381">
        <v>23</v>
      </c>
      <c r="E36" s="236">
        <v>431</v>
      </c>
      <c r="F36" s="246"/>
      <c r="G36" s="246"/>
      <c r="H36" s="246"/>
      <c r="I36" s="237">
        <v>20</v>
      </c>
      <c r="J36" s="237">
        <v>13</v>
      </c>
      <c r="K36" s="237">
        <v>13</v>
      </c>
      <c r="L36" s="237">
        <v>25</v>
      </c>
      <c r="M36" s="237">
        <v>43</v>
      </c>
      <c r="N36" s="237">
        <v>28</v>
      </c>
      <c r="O36" s="237">
        <v>31</v>
      </c>
      <c r="P36" s="237">
        <v>25</v>
      </c>
      <c r="Q36" s="237">
        <v>24</v>
      </c>
      <c r="R36" s="372">
        <f t="shared" si="27"/>
        <v>222</v>
      </c>
      <c r="S36" s="345">
        <f t="shared" si="28"/>
        <v>24.666666666666668</v>
      </c>
      <c r="T36" s="279">
        <f t="shared" si="29"/>
        <v>8.4729729729729719</v>
      </c>
      <c r="U36" s="236">
        <f t="shared" si="26"/>
        <v>209</v>
      </c>
      <c r="V36" s="236">
        <v>2020</v>
      </c>
      <c r="W36" s="234" t="s">
        <v>110</v>
      </c>
      <c r="X36" s="221">
        <v>345</v>
      </c>
      <c r="Y36" s="221" t="s">
        <v>266</v>
      </c>
      <c r="Z36" s="221">
        <v>250</v>
      </c>
      <c r="AA36" s="393">
        <v>44517</v>
      </c>
      <c r="AB36" s="394">
        <v>2021</v>
      </c>
      <c r="AC36" s="395" t="s">
        <v>275</v>
      </c>
      <c r="AD36" s="396">
        <v>550</v>
      </c>
      <c r="AE36" s="397" t="s">
        <v>104</v>
      </c>
    </row>
    <row r="37" spans="1:31" x14ac:dyDescent="0.2">
      <c r="A37" s="234">
        <v>101636</v>
      </c>
      <c r="B37" s="237">
        <v>2020</v>
      </c>
      <c r="C37" s="234" t="s">
        <v>31</v>
      </c>
      <c r="D37" s="256">
        <v>22</v>
      </c>
      <c r="E37" s="236">
        <v>396</v>
      </c>
      <c r="F37" s="246"/>
      <c r="G37" s="246"/>
      <c r="H37" s="246"/>
      <c r="I37" s="246"/>
      <c r="J37" s="246"/>
      <c r="K37" s="246">
        <v>0</v>
      </c>
      <c r="L37" s="246">
        <v>0</v>
      </c>
      <c r="M37" s="246">
        <v>0</v>
      </c>
      <c r="N37" s="246">
        <v>0</v>
      </c>
      <c r="O37" s="246">
        <v>2</v>
      </c>
      <c r="P37" s="246">
        <v>0</v>
      </c>
      <c r="Q37" s="246">
        <v>2</v>
      </c>
      <c r="R37" s="372">
        <f t="shared" ref="R37:R39" si="30">SUM(F37:Q37)</f>
        <v>4</v>
      </c>
      <c r="S37" s="345">
        <f t="shared" si="28"/>
        <v>0.5714285714285714</v>
      </c>
      <c r="T37" s="279">
        <f t="shared" si="29"/>
        <v>686</v>
      </c>
      <c r="U37" s="236">
        <f t="shared" si="26"/>
        <v>392</v>
      </c>
      <c r="V37" s="236">
        <f t="shared" ref="V37:V43" si="31">+B37</f>
        <v>2020</v>
      </c>
      <c r="W37" s="367" t="str">
        <f t="shared" ref="W37:W48" si="32">+C37</f>
        <v>Viognier</v>
      </c>
      <c r="AA37" s="393">
        <v>44517</v>
      </c>
      <c r="AB37" s="394">
        <v>2021</v>
      </c>
      <c r="AC37" s="395" t="s">
        <v>271</v>
      </c>
      <c r="AD37" s="396">
        <v>330</v>
      </c>
      <c r="AE37" s="397" t="s">
        <v>104</v>
      </c>
    </row>
    <row r="38" spans="1:31" x14ac:dyDescent="0.2">
      <c r="A38" s="234">
        <v>97511</v>
      </c>
      <c r="B38" s="237">
        <v>2020</v>
      </c>
      <c r="C38" s="234" t="s">
        <v>25</v>
      </c>
      <c r="D38" s="385">
        <v>22</v>
      </c>
      <c r="E38" s="236">
        <v>0</v>
      </c>
      <c r="F38" s="246"/>
      <c r="G38" s="246"/>
      <c r="H38" s="246"/>
      <c r="I38" s="246"/>
      <c r="J38" s="246"/>
      <c r="K38" s="246"/>
      <c r="L38" s="246"/>
      <c r="M38" s="246"/>
      <c r="N38" s="246"/>
      <c r="O38" s="246"/>
      <c r="P38" s="246"/>
      <c r="Q38" s="246"/>
      <c r="R38" s="372">
        <f t="shared" si="30"/>
        <v>0</v>
      </c>
      <c r="S38" s="345">
        <f t="shared" si="28"/>
        <v>0</v>
      </c>
      <c r="T38" s="279">
        <f t="shared" si="29"/>
        <v>0</v>
      </c>
      <c r="U38" s="236">
        <f t="shared" si="26"/>
        <v>0</v>
      </c>
      <c r="V38" s="236">
        <f t="shared" si="31"/>
        <v>2020</v>
      </c>
      <c r="W38" s="367" t="str">
        <f t="shared" si="32"/>
        <v>Chardonnay</v>
      </c>
      <c r="AA38" s="393">
        <v>44517</v>
      </c>
      <c r="AB38" s="394">
        <v>2021</v>
      </c>
      <c r="AC38" s="395" t="s">
        <v>276</v>
      </c>
      <c r="AD38" s="396">
        <v>330</v>
      </c>
      <c r="AE38" s="397" t="s">
        <v>104</v>
      </c>
    </row>
    <row r="39" spans="1:31" x14ac:dyDescent="0.2">
      <c r="A39" s="234">
        <v>137525</v>
      </c>
      <c r="B39" s="237">
        <v>2020</v>
      </c>
      <c r="C39" s="234" t="s">
        <v>192</v>
      </c>
      <c r="D39" s="385">
        <v>24</v>
      </c>
      <c r="E39" s="236">
        <v>247</v>
      </c>
      <c r="F39" s="246"/>
      <c r="G39" s="246"/>
      <c r="H39" s="246"/>
      <c r="I39" s="246"/>
      <c r="J39" s="246"/>
      <c r="K39" s="246">
        <v>2</v>
      </c>
      <c r="L39" s="246">
        <v>2</v>
      </c>
      <c r="M39" s="246">
        <v>2</v>
      </c>
      <c r="N39" s="246">
        <v>2</v>
      </c>
      <c r="O39" s="246">
        <v>0</v>
      </c>
      <c r="P39" s="246">
        <v>0</v>
      </c>
      <c r="Q39" s="246">
        <v>4</v>
      </c>
      <c r="R39" s="372">
        <f t="shared" si="30"/>
        <v>12</v>
      </c>
      <c r="S39" s="345">
        <f t="shared" si="28"/>
        <v>1.7142857142857142</v>
      </c>
      <c r="T39" s="279">
        <f t="shared" si="29"/>
        <v>137.08333333333334</v>
      </c>
      <c r="U39" s="236">
        <f>SUM(E39-R39)</f>
        <v>235</v>
      </c>
      <c r="V39" s="236">
        <f t="shared" si="31"/>
        <v>2020</v>
      </c>
      <c r="W39" s="367" t="str">
        <f t="shared" si="32"/>
        <v>Celebration</v>
      </c>
      <c r="AA39" s="393">
        <v>44517</v>
      </c>
      <c r="AB39" s="394">
        <v>2021</v>
      </c>
      <c r="AC39" s="395" t="s">
        <v>276</v>
      </c>
      <c r="AD39" s="396">
        <v>275</v>
      </c>
      <c r="AE39" s="397" t="s">
        <v>104</v>
      </c>
    </row>
    <row r="40" spans="1:31" x14ac:dyDescent="0.2">
      <c r="A40" s="234">
        <v>137525</v>
      </c>
      <c r="B40" s="237">
        <v>2020</v>
      </c>
      <c r="C40" s="234" t="s">
        <v>262</v>
      </c>
      <c r="D40" s="385"/>
      <c r="E40" s="236">
        <v>0</v>
      </c>
      <c r="F40" s="246"/>
      <c r="G40" s="246"/>
      <c r="H40" s="246"/>
      <c r="I40" s="246"/>
      <c r="J40" s="246"/>
      <c r="K40" s="246"/>
      <c r="L40" s="246"/>
      <c r="M40" s="246"/>
      <c r="N40" s="246"/>
      <c r="O40" s="246"/>
      <c r="P40" s="246"/>
      <c r="Q40" s="246"/>
      <c r="R40" s="372">
        <f>SUM(F40:Q40)</f>
        <v>0</v>
      </c>
      <c r="S40" s="345">
        <f t="shared" si="28"/>
        <v>0</v>
      </c>
      <c r="T40" s="279">
        <f t="shared" si="29"/>
        <v>0</v>
      </c>
      <c r="U40" s="236">
        <f>+SUM(E40-R40)</f>
        <v>0</v>
      </c>
      <c r="V40" s="236">
        <f t="shared" si="31"/>
        <v>2020</v>
      </c>
      <c r="W40" s="367" t="str">
        <f t="shared" si="32"/>
        <v>Celebration 1.5L</v>
      </c>
      <c r="AA40" s="393">
        <v>44518</v>
      </c>
      <c r="AB40" s="394">
        <v>2021</v>
      </c>
      <c r="AC40" s="395" t="s">
        <v>271</v>
      </c>
      <c r="AD40" s="396">
        <v>330</v>
      </c>
      <c r="AE40" s="397" t="s">
        <v>104</v>
      </c>
    </row>
    <row r="41" spans="1:31" x14ac:dyDescent="0.2">
      <c r="A41" s="234">
        <v>101638</v>
      </c>
      <c r="B41" s="237">
        <v>2020</v>
      </c>
      <c r="C41" s="234" t="s">
        <v>26</v>
      </c>
      <c r="D41" s="256">
        <v>23</v>
      </c>
      <c r="E41" s="236">
        <v>290</v>
      </c>
      <c r="F41" s="246"/>
      <c r="G41" s="246"/>
      <c r="H41" s="246"/>
      <c r="I41" s="246"/>
      <c r="J41" s="246"/>
      <c r="K41" s="246"/>
      <c r="L41" s="246"/>
      <c r="M41" s="246"/>
      <c r="N41" s="246"/>
      <c r="O41" s="246"/>
      <c r="P41" s="246"/>
      <c r="Q41" s="246">
        <v>6</v>
      </c>
      <c r="R41" s="372">
        <f t="shared" ref="R41:R43" si="33">SUM(F41:Q41)</f>
        <v>6</v>
      </c>
      <c r="S41" s="345">
        <f t="shared" si="28"/>
        <v>6</v>
      </c>
      <c r="T41" s="279">
        <f t="shared" si="29"/>
        <v>47.333333333333336</v>
      </c>
      <c r="U41" s="236">
        <f t="shared" ref="U41:U43" si="34">SUM(E41-R41)</f>
        <v>284</v>
      </c>
      <c r="V41" s="236">
        <f t="shared" si="31"/>
        <v>2020</v>
      </c>
      <c r="W41" s="367" t="str">
        <f t="shared" si="32"/>
        <v>Merlot</v>
      </c>
      <c r="AA41" s="393">
        <v>44518</v>
      </c>
      <c r="AB41" s="394">
        <v>2021</v>
      </c>
      <c r="AC41" s="395" t="s">
        <v>277</v>
      </c>
      <c r="AD41" s="396">
        <v>550</v>
      </c>
      <c r="AE41" s="397" t="s">
        <v>104</v>
      </c>
    </row>
    <row r="42" spans="1:31" x14ac:dyDescent="0.2">
      <c r="A42" s="234">
        <v>100465</v>
      </c>
      <c r="B42" s="237">
        <v>2020</v>
      </c>
      <c r="C42" s="234" t="s">
        <v>135</v>
      </c>
      <c r="D42" s="256">
        <v>21</v>
      </c>
      <c r="E42" s="236">
        <v>277</v>
      </c>
      <c r="F42" s="246"/>
      <c r="G42" s="246"/>
      <c r="H42" s="246"/>
      <c r="I42" s="246"/>
      <c r="J42" s="246"/>
      <c r="K42" s="246"/>
      <c r="L42" s="246"/>
      <c r="M42" s="246"/>
      <c r="N42" s="246"/>
      <c r="O42" s="246"/>
      <c r="P42" s="246"/>
      <c r="Q42" s="246">
        <v>5</v>
      </c>
      <c r="R42" s="372">
        <f t="shared" si="33"/>
        <v>5</v>
      </c>
      <c r="S42" s="345">
        <f t="shared" si="28"/>
        <v>5</v>
      </c>
      <c r="T42" s="279">
        <f t="shared" si="29"/>
        <v>54.4</v>
      </c>
      <c r="U42" s="236">
        <f t="shared" si="34"/>
        <v>272</v>
      </c>
      <c r="V42" s="236">
        <f t="shared" si="31"/>
        <v>2020</v>
      </c>
      <c r="W42" s="367" t="str">
        <f t="shared" si="32"/>
        <v>Meritage</v>
      </c>
      <c r="AA42" s="393"/>
      <c r="AB42" s="394"/>
      <c r="AC42" s="395"/>
      <c r="AD42" s="396"/>
      <c r="AE42" s="397"/>
    </row>
    <row r="43" spans="1:31" x14ac:dyDescent="0.2">
      <c r="A43" s="234">
        <v>102768</v>
      </c>
      <c r="B43" s="237">
        <v>2020</v>
      </c>
      <c r="C43" s="234" t="s">
        <v>131</v>
      </c>
      <c r="D43" s="256">
        <v>14</v>
      </c>
      <c r="E43" s="236">
        <v>427</v>
      </c>
      <c r="F43" s="246"/>
      <c r="G43" s="246"/>
      <c r="H43" s="246"/>
      <c r="I43" s="246"/>
      <c r="J43" s="246"/>
      <c r="K43" s="246"/>
      <c r="L43" s="246"/>
      <c r="M43" s="246"/>
      <c r="N43" s="246"/>
      <c r="O43" s="246"/>
      <c r="P43" s="246"/>
      <c r="Q43" s="246">
        <v>8</v>
      </c>
      <c r="R43" s="372">
        <f t="shared" si="33"/>
        <v>8</v>
      </c>
      <c r="S43" s="345">
        <f t="shared" si="28"/>
        <v>8</v>
      </c>
      <c r="T43" s="279">
        <f t="shared" si="29"/>
        <v>52.375</v>
      </c>
      <c r="U43" s="236">
        <f t="shared" si="34"/>
        <v>419</v>
      </c>
      <c r="V43" s="236">
        <f t="shared" si="31"/>
        <v>2020</v>
      </c>
      <c r="W43" s="367" t="str">
        <f t="shared" si="32"/>
        <v>Tannat</v>
      </c>
      <c r="AA43" s="393"/>
      <c r="AB43" s="394"/>
      <c r="AC43" s="395"/>
      <c r="AD43" s="396"/>
      <c r="AE43" s="397"/>
    </row>
    <row r="44" spans="1:31" x14ac:dyDescent="0.2">
      <c r="A44" s="386">
        <v>179590</v>
      </c>
      <c r="B44" s="237">
        <v>2020</v>
      </c>
      <c r="C44" s="234" t="s">
        <v>56</v>
      </c>
      <c r="D44" s="256">
        <v>0</v>
      </c>
      <c r="E44" s="236">
        <v>288</v>
      </c>
      <c r="F44" s="246"/>
      <c r="G44" s="246"/>
      <c r="H44" s="246"/>
      <c r="I44" s="246"/>
      <c r="J44" s="246"/>
      <c r="K44" s="246"/>
      <c r="L44" s="246"/>
      <c r="M44" s="246"/>
      <c r="N44" s="246"/>
      <c r="O44" s="246"/>
      <c r="P44" s="246"/>
      <c r="Q44" s="246">
        <v>16</v>
      </c>
      <c r="R44" s="372">
        <f t="shared" ref="R44" si="35">SUM(F44:Q44)</f>
        <v>16</v>
      </c>
      <c r="S44" s="345">
        <f t="shared" si="28"/>
        <v>16</v>
      </c>
      <c r="T44" s="279">
        <f t="shared" si="29"/>
        <v>17</v>
      </c>
      <c r="U44" s="236">
        <f t="shared" ref="U44" si="36">SUM(E44-R44)</f>
        <v>272</v>
      </c>
      <c r="V44" s="236">
        <v>2019</v>
      </c>
      <c r="W44" s="367" t="str">
        <f t="shared" si="32"/>
        <v>Petit Verdot</v>
      </c>
      <c r="AA44" s="393"/>
      <c r="AB44" s="394"/>
      <c r="AC44" s="395"/>
      <c r="AD44" s="396"/>
      <c r="AE44" s="397"/>
    </row>
    <row r="45" spans="1:31" ht="15.75" x14ac:dyDescent="0.25">
      <c r="A45" s="234">
        <v>163699</v>
      </c>
      <c r="B45" s="237">
        <v>2020</v>
      </c>
      <c r="C45" s="234" t="s">
        <v>246</v>
      </c>
      <c r="D45" s="256">
        <v>45</v>
      </c>
      <c r="E45" s="236">
        <v>292</v>
      </c>
      <c r="F45" s="246"/>
      <c r="G45" s="246"/>
      <c r="H45" s="246"/>
      <c r="I45" s="246"/>
      <c r="J45" s="246"/>
      <c r="K45" s="246"/>
      <c r="L45" s="246"/>
      <c r="M45" s="246"/>
      <c r="N45" s="246"/>
      <c r="O45" s="246"/>
      <c r="P45" s="246"/>
      <c r="Q45" s="246">
        <v>0</v>
      </c>
      <c r="R45" s="372">
        <f t="shared" ref="R45" si="37">SUM(F45:Q45)</f>
        <v>0</v>
      </c>
      <c r="S45" s="345">
        <f t="shared" si="28"/>
        <v>0</v>
      </c>
      <c r="T45" s="279">
        <f t="shared" si="29"/>
        <v>0</v>
      </c>
      <c r="U45" s="236">
        <f t="shared" ref="U45" si="38">SUM(E45-R45)</f>
        <v>292</v>
      </c>
      <c r="V45" s="236">
        <f t="shared" ref="V45:V47" si="39">+B45</f>
        <v>2020</v>
      </c>
      <c r="W45" s="367" t="str">
        <f t="shared" si="32"/>
        <v>Reserve</v>
      </c>
      <c r="AA45" s="353"/>
      <c r="AB45" s="353"/>
      <c r="AC45" s="404" t="s">
        <v>182</v>
      </c>
      <c r="AD45" s="353"/>
    </row>
    <row r="46" spans="1:31" x14ac:dyDescent="0.2">
      <c r="A46" s="234">
        <v>100643</v>
      </c>
      <c r="B46" s="237">
        <v>2020</v>
      </c>
      <c r="C46" s="234" t="s">
        <v>136</v>
      </c>
      <c r="D46" s="256">
        <v>45</v>
      </c>
      <c r="E46" s="236">
        <v>618</v>
      </c>
      <c r="F46" s="246"/>
      <c r="G46" s="246"/>
      <c r="H46" s="246"/>
      <c r="I46" s="246"/>
      <c r="J46" s="246"/>
      <c r="K46" s="246"/>
      <c r="L46" s="246"/>
      <c r="M46" s="246"/>
      <c r="N46" s="246"/>
      <c r="O46" s="246"/>
      <c r="P46" s="246"/>
      <c r="Q46" s="246">
        <v>6</v>
      </c>
      <c r="R46" s="372">
        <f t="shared" ref="R46" si="40">SUM(F46:Q46)</f>
        <v>6</v>
      </c>
      <c r="S46" s="345">
        <f t="shared" si="28"/>
        <v>6</v>
      </c>
      <c r="T46" s="279">
        <f t="shared" si="29"/>
        <v>103</v>
      </c>
      <c r="U46" s="236">
        <v>618</v>
      </c>
      <c r="V46" s="236">
        <f t="shared" si="39"/>
        <v>2020</v>
      </c>
      <c r="W46" s="367" t="str">
        <f t="shared" si="32"/>
        <v>Kings Ransom</v>
      </c>
      <c r="AA46" s="393"/>
      <c r="AB46" s="394"/>
      <c r="AC46" s="395"/>
      <c r="AD46" s="396"/>
      <c r="AE46" s="397"/>
    </row>
    <row r="47" spans="1:31" ht="16.149999999999999" customHeight="1" x14ac:dyDescent="0.25">
      <c r="A47" s="250">
        <v>154310</v>
      </c>
      <c r="B47" s="406">
        <v>2020</v>
      </c>
      <c r="C47" s="250" t="s">
        <v>46</v>
      </c>
      <c r="D47" s="382" t="s">
        <v>35</v>
      </c>
      <c r="E47" s="252">
        <v>112</v>
      </c>
      <c r="F47" s="407"/>
      <c r="G47" s="253"/>
      <c r="H47" s="253"/>
      <c r="I47" s="406">
        <v>13</v>
      </c>
      <c r="J47" s="406">
        <v>19</v>
      </c>
      <c r="K47" s="406">
        <v>30</v>
      </c>
      <c r="L47" s="406">
        <v>28</v>
      </c>
      <c r="M47" s="406">
        <v>21</v>
      </c>
      <c r="N47" s="406">
        <v>1</v>
      </c>
      <c r="O47" s="338"/>
      <c r="P47" s="338"/>
      <c r="Q47" s="338"/>
      <c r="R47" s="374">
        <f t="shared" ref="R47:R53" si="41">SUM(F47:Q47)</f>
        <v>112</v>
      </c>
      <c r="S47" s="408">
        <f t="shared" si="28"/>
        <v>18.666666666666668</v>
      </c>
      <c r="T47" s="343">
        <f t="shared" si="29"/>
        <v>0</v>
      </c>
      <c r="U47" s="252">
        <f t="shared" ref="U47:U54" si="42">SUM(E47-R47)</f>
        <v>0</v>
      </c>
      <c r="V47" s="252">
        <f t="shared" si="39"/>
        <v>2020</v>
      </c>
      <c r="W47" s="250" t="str">
        <f t="shared" si="32"/>
        <v>Petit Manseng</v>
      </c>
      <c r="AA47" s="393"/>
      <c r="AB47" s="394"/>
      <c r="AC47" s="395"/>
      <c r="AD47" s="396"/>
      <c r="AE47" s="397"/>
    </row>
    <row r="48" spans="1:31" ht="16.149999999999999" customHeight="1" x14ac:dyDescent="0.25">
      <c r="A48" s="250"/>
      <c r="B48" s="295" t="s">
        <v>133</v>
      </c>
      <c r="C48" s="250" t="s">
        <v>269</v>
      </c>
      <c r="D48" s="382"/>
      <c r="E48" s="252">
        <v>132</v>
      </c>
      <c r="F48" s="407"/>
      <c r="G48" s="253"/>
      <c r="H48" s="253"/>
      <c r="I48" s="253"/>
      <c r="J48" s="253"/>
      <c r="K48" s="253"/>
      <c r="L48" s="253"/>
      <c r="M48" s="253"/>
      <c r="N48" s="406">
        <v>7</v>
      </c>
      <c r="O48" s="406">
        <v>8</v>
      </c>
      <c r="P48" s="406">
        <v>29</v>
      </c>
      <c r="Q48" s="406">
        <v>58</v>
      </c>
      <c r="R48" s="374">
        <f t="shared" ref="R48" si="43">SUM(F48:Q48)</f>
        <v>102</v>
      </c>
      <c r="S48" s="408">
        <f t="shared" ref="S48" si="44">IFERROR((AVERAGE(F48:Q48)),0)</f>
        <v>25.5</v>
      </c>
      <c r="T48" s="343">
        <f t="shared" ref="T48" si="45">IFERROR((U48/S48),0)</f>
        <v>1.1764705882352942</v>
      </c>
      <c r="U48" s="252">
        <f t="shared" ref="U48" si="46">SUM(E48-R48)</f>
        <v>30</v>
      </c>
      <c r="V48" s="427"/>
      <c r="W48" s="250" t="str">
        <f t="shared" si="32"/>
        <v>Sparkling ** don't include on tax report</v>
      </c>
      <c r="AA48" s="393"/>
      <c r="AB48" s="394"/>
      <c r="AC48" s="395"/>
      <c r="AD48" s="396"/>
      <c r="AE48" s="397"/>
    </row>
    <row r="49" spans="1:31" x14ac:dyDescent="0.2">
      <c r="A49" s="226"/>
      <c r="B49" s="409"/>
      <c r="C49" s="226"/>
      <c r="D49" s="226"/>
      <c r="E49" s="410"/>
      <c r="F49" s="410"/>
      <c r="G49" s="410"/>
      <c r="H49" s="410"/>
      <c r="I49" s="410"/>
      <c r="J49" s="410"/>
      <c r="K49" s="410"/>
      <c r="L49" s="410"/>
      <c r="M49" s="410"/>
      <c r="N49" s="410"/>
      <c r="O49" s="410"/>
      <c r="P49" s="410"/>
      <c r="Q49" s="410"/>
      <c r="R49" s="410">
        <f t="shared" si="41"/>
        <v>0</v>
      </c>
      <c r="S49" s="411"/>
      <c r="T49" s="411">
        <f t="shared" si="29"/>
        <v>0</v>
      </c>
      <c r="U49" s="410">
        <f t="shared" si="42"/>
        <v>0</v>
      </c>
      <c r="V49" s="409"/>
      <c r="W49" s="226"/>
      <c r="AA49" s="393"/>
      <c r="AB49" s="394"/>
      <c r="AC49" s="395"/>
      <c r="AD49" s="396"/>
      <c r="AE49" s="397"/>
    </row>
    <row r="50" spans="1:31" x14ac:dyDescent="0.2">
      <c r="A50" s="234"/>
      <c r="B50" s="233">
        <v>2017</v>
      </c>
      <c r="C50" s="234"/>
      <c r="D50" s="235"/>
      <c r="E50" s="263">
        <f>SUM(E10+E11+E12)</f>
        <v>673</v>
      </c>
      <c r="F50" s="263">
        <f>SUM(F10+F11+F12)</f>
        <v>53</v>
      </c>
      <c r="G50" s="263">
        <f t="shared" ref="G50:P50" si="47">SUM(G10+G11+G12)</f>
        <v>56</v>
      </c>
      <c r="H50" s="263">
        <f t="shared" si="47"/>
        <v>60</v>
      </c>
      <c r="I50" s="263">
        <f t="shared" si="47"/>
        <v>52</v>
      </c>
      <c r="J50" s="263">
        <f t="shared" si="47"/>
        <v>37</v>
      </c>
      <c r="K50" s="263">
        <f t="shared" si="47"/>
        <v>35</v>
      </c>
      <c r="L50" s="263">
        <f>SUM(L10+L11+L12)</f>
        <v>46</v>
      </c>
      <c r="M50" s="263">
        <f t="shared" si="47"/>
        <v>96</v>
      </c>
      <c r="N50" s="263">
        <f>SUM(N10+N11+N12)</f>
        <v>53</v>
      </c>
      <c r="O50" s="263">
        <f>SUM(O10+O11+O12)</f>
        <v>17</v>
      </c>
      <c r="P50" s="263">
        <f t="shared" si="47"/>
        <v>29</v>
      </c>
      <c r="Q50" s="263">
        <f>SUM(Q10+Q11+Q12)</f>
        <v>33</v>
      </c>
      <c r="R50" s="374">
        <f t="shared" si="41"/>
        <v>567</v>
      </c>
      <c r="S50" s="263">
        <f t="shared" ref="S50:S54" si="48">AVERAGE(F50:Q50)</f>
        <v>47.25</v>
      </c>
      <c r="T50" s="343">
        <f t="shared" si="29"/>
        <v>2.2433862433862433</v>
      </c>
      <c r="U50" s="252">
        <f t="shared" si="42"/>
        <v>106</v>
      </c>
      <c r="V50" s="233">
        <v>2017</v>
      </c>
      <c r="W50" s="234"/>
      <c r="AA50" s="393"/>
      <c r="AB50" s="394"/>
      <c r="AC50" s="395"/>
      <c r="AD50" s="396"/>
      <c r="AE50" s="397"/>
    </row>
    <row r="51" spans="1:31" x14ac:dyDescent="0.2">
      <c r="A51" s="234"/>
      <c r="B51" s="233">
        <v>2018</v>
      </c>
      <c r="C51" s="234"/>
      <c r="D51" s="235"/>
      <c r="E51" s="263">
        <f>SUM(E14:E20)</f>
        <v>2252</v>
      </c>
      <c r="F51" s="263">
        <f t="shared" ref="F51:P51" si="49">SUM(F14:F20)</f>
        <v>74</v>
      </c>
      <c r="G51" s="263">
        <f t="shared" si="49"/>
        <v>55</v>
      </c>
      <c r="H51" s="263">
        <f t="shared" si="49"/>
        <v>125</v>
      </c>
      <c r="I51" s="263">
        <f t="shared" si="49"/>
        <v>103</v>
      </c>
      <c r="J51" s="263">
        <f t="shared" si="49"/>
        <v>108</v>
      </c>
      <c r="K51" s="263">
        <f t="shared" si="49"/>
        <v>105</v>
      </c>
      <c r="L51" s="263">
        <f>SUM(L14:L20)</f>
        <v>90</v>
      </c>
      <c r="M51" s="263">
        <f t="shared" si="49"/>
        <v>109</v>
      </c>
      <c r="N51" s="263">
        <f>SUM(N14:N20)</f>
        <v>163</v>
      </c>
      <c r="O51" s="263">
        <f>SUM(O14:O20)</f>
        <v>180</v>
      </c>
      <c r="P51" s="263">
        <f t="shared" si="49"/>
        <v>222</v>
      </c>
      <c r="Q51" s="263">
        <f>SUM(Q14:Q20)</f>
        <v>146</v>
      </c>
      <c r="R51" s="374">
        <f t="shared" si="41"/>
        <v>1480</v>
      </c>
      <c r="S51" s="263">
        <f t="shared" si="48"/>
        <v>123.33333333333333</v>
      </c>
      <c r="T51" s="343">
        <f t="shared" si="29"/>
        <v>6.2594594594594595</v>
      </c>
      <c r="U51" s="252">
        <f t="shared" si="42"/>
        <v>772</v>
      </c>
      <c r="V51" s="233">
        <v>2018</v>
      </c>
      <c r="W51" s="234"/>
      <c r="AA51" s="393"/>
      <c r="AB51" s="394"/>
      <c r="AC51" s="395"/>
      <c r="AD51" s="396"/>
      <c r="AE51" s="397"/>
    </row>
    <row r="52" spans="1:31" x14ac:dyDescent="0.2">
      <c r="A52" s="234"/>
      <c r="B52" s="233">
        <v>2019</v>
      </c>
      <c r="C52" s="234"/>
      <c r="D52" s="256"/>
      <c r="E52" s="263">
        <f>SUM(E22:E33)</f>
        <v>3525</v>
      </c>
      <c r="F52" s="263">
        <f t="shared" ref="F52:P52" si="50">SUM(F22:F33)</f>
        <v>63</v>
      </c>
      <c r="G52" s="263">
        <f t="shared" si="50"/>
        <v>44</v>
      </c>
      <c r="H52" s="263">
        <f t="shared" si="50"/>
        <v>121</v>
      </c>
      <c r="I52" s="263">
        <f t="shared" si="50"/>
        <v>85</v>
      </c>
      <c r="J52" s="263">
        <f t="shared" si="50"/>
        <v>75</v>
      </c>
      <c r="K52" s="263">
        <f t="shared" si="50"/>
        <v>74</v>
      </c>
      <c r="L52" s="263">
        <f>SUM(L22:L33)</f>
        <v>67</v>
      </c>
      <c r="M52" s="263">
        <f t="shared" si="50"/>
        <v>54</v>
      </c>
      <c r="N52" s="263">
        <f>SUM(N22:N33)</f>
        <v>157</v>
      </c>
      <c r="O52" s="263">
        <f>SUM(O22:O33)</f>
        <v>73</v>
      </c>
      <c r="P52" s="263">
        <f t="shared" si="50"/>
        <v>121</v>
      </c>
      <c r="Q52" s="263">
        <f>SUM(Q22:Q33)</f>
        <v>158</v>
      </c>
      <c r="R52" s="374">
        <f t="shared" si="41"/>
        <v>1092</v>
      </c>
      <c r="S52" s="263">
        <f t="shared" si="48"/>
        <v>91</v>
      </c>
      <c r="T52" s="343">
        <f t="shared" si="29"/>
        <v>26.736263736263737</v>
      </c>
      <c r="U52" s="252">
        <f t="shared" si="42"/>
        <v>2433</v>
      </c>
      <c r="V52" s="233">
        <v>2019</v>
      </c>
      <c r="W52" s="234"/>
      <c r="AA52" s="393"/>
      <c r="AB52" s="394"/>
      <c r="AC52" s="395"/>
      <c r="AD52" s="396"/>
      <c r="AE52" s="397"/>
    </row>
    <row r="53" spans="1:31" x14ac:dyDescent="0.2">
      <c r="A53" s="234"/>
      <c r="B53" s="233">
        <v>2020</v>
      </c>
      <c r="C53" s="234"/>
      <c r="D53" s="417"/>
      <c r="E53" s="263">
        <f>SUM(E35:E48)</f>
        <v>3596</v>
      </c>
      <c r="F53" s="263">
        <f t="shared" ref="F53:M53" si="51">SUM(F35:F47)</f>
        <v>45</v>
      </c>
      <c r="G53" s="263">
        <f t="shared" si="51"/>
        <v>7</v>
      </c>
      <c r="H53" s="263">
        <f t="shared" si="51"/>
        <v>9</v>
      </c>
      <c r="I53" s="263">
        <f t="shared" si="51"/>
        <v>42</v>
      </c>
      <c r="J53" s="263">
        <f t="shared" si="51"/>
        <v>38</v>
      </c>
      <c r="K53" s="263">
        <f t="shared" si="51"/>
        <v>53</v>
      </c>
      <c r="L53" s="263">
        <f>SUM(L35:L47)</f>
        <v>57</v>
      </c>
      <c r="M53" s="263">
        <f t="shared" si="51"/>
        <v>66</v>
      </c>
      <c r="N53" s="263">
        <f>SUM(N35:N48)</f>
        <v>38</v>
      </c>
      <c r="O53" s="263">
        <f>SUM(O35:O48)</f>
        <v>41</v>
      </c>
      <c r="P53" s="263">
        <f>SUM(P35:P48)</f>
        <v>54</v>
      </c>
      <c r="Q53" s="263">
        <f>SUM(Q35:Q48)</f>
        <v>129</v>
      </c>
      <c r="R53" s="374">
        <f t="shared" si="41"/>
        <v>579</v>
      </c>
      <c r="S53" s="263">
        <f t="shared" si="48"/>
        <v>48.25</v>
      </c>
      <c r="T53" s="343">
        <f t="shared" si="29"/>
        <v>62.528497409326427</v>
      </c>
      <c r="U53" s="252">
        <f t="shared" si="42"/>
        <v>3017</v>
      </c>
      <c r="V53" s="233">
        <v>2020</v>
      </c>
      <c r="W53" s="234"/>
      <c r="AA53" s="393"/>
      <c r="AB53" s="394"/>
      <c r="AC53" s="395"/>
      <c r="AD53" s="396"/>
      <c r="AE53" s="397"/>
    </row>
    <row r="54" spans="1:31" s="423" customFormat="1" ht="18" x14ac:dyDescent="0.25">
      <c r="A54" s="418"/>
      <c r="B54" s="419" t="s">
        <v>59</v>
      </c>
      <c r="C54" s="418"/>
      <c r="D54" s="420"/>
      <c r="E54" s="421">
        <f>SUM(E50:E53)</f>
        <v>10046</v>
      </c>
      <c r="F54" s="421">
        <f t="shared" ref="F54:R54" si="52">SUM(F50:F53)</f>
        <v>235</v>
      </c>
      <c r="G54" s="421">
        <f t="shared" si="52"/>
        <v>162</v>
      </c>
      <c r="H54" s="421">
        <f t="shared" si="52"/>
        <v>315</v>
      </c>
      <c r="I54" s="421">
        <f t="shared" si="52"/>
        <v>282</v>
      </c>
      <c r="J54" s="421">
        <f t="shared" si="52"/>
        <v>258</v>
      </c>
      <c r="K54" s="421">
        <f t="shared" si="52"/>
        <v>267</v>
      </c>
      <c r="L54" s="421">
        <f>SUM(L50:L53)</f>
        <v>260</v>
      </c>
      <c r="M54" s="421">
        <f t="shared" si="52"/>
        <v>325</v>
      </c>
      <c r="N54" s="421">
        <f>SUM(N50:N53)</f>
        <v>411</v>
      </c>
      <c r="O54" s="421">
        <f>SUM(O50:O53)</f>
        <v>311</v>
      </c>
      <c r="P54" s="421">
        <f t="shared" si="52"/>
        <v>426</v>
      </c>
      <c r="Q54" s="421">
        <f>SUM(Q50:Q53)</f>
        <v>466</v>
      </c>
      <c r="R54" s="421">
        <f t="shared" si="52"/>
        <v>3718</v>
      </c>
      <c r="S54" s="421">
        <f t="shared" si="48"/>
        <v>309.83333333333331</v>
      </c>
      <c r="T54" s="422">
        <f>U54/S54</f>
        <v>20.423883808499195</v>
      </c>
      <c r="U54" s="424">
        <f t="shared" si="42"/>
        <v>6328</v>
      </c>
      <c r="V54" s="419" t="s">
        <v>59</v>
      </c>
      <c r="W54" s="418"/>
      <c r="X54" s="426"/>
      <c r="Y54" s="426"/>
      <c r="Z54" s="426"/>
      <c r="AA54" s="393"/>
      <c r="AB54" s="394"/>
      <c r="AC54" s="395"/>
      <c r="AD54" s="396"/>
      <c r="AE54" s="397"/>
    </row>
    <row r="55" spans="1:31" x14ac:dyDescent="0.2">
      <c r="A55" s="226"/>
      <c r="B55" s="269"/>
      <c r="C55" s="269"/>
      <c r="D55" s="226"/>
      <c r="E55" s="271"/>
      <c r="F55" s="271"/>
      <c r="G55" s="271"/>
      <c r="H55" s="271"/>
      <c r="I55" s="271"/>
      <c r="J55" s="271"/>
      <c r="K55" s="272"/>
      <c r="L55" s="272"/>
      <c r="M55" s="272"/>
      <c r="N55" s="272"/>
      <c r="O55" s="272"/>
      <c r="P55" s="272"/>
      <c r="Q55" s="272"/>
      <c r="R55" s="272"/>
      <c r="S55" s="340"/>
      <c r="T55" s="341"/>
      <c r="U55" s="305"/>
      <c r="V55" s="269"/>
      <c r="W55" s="269"/>
      <c r="AA55" s="393"/>
      <c r="AB55" s="394"/>
      <c r="AC55" s="395"/>
      <c r="AD55" s="396"/>
      <c r="AE55" s="397"/>
    </row>
    <row r="56" spans="1:31" x14ac:dyDescent="0.2">
      <c r="B56" s="234"/>
      <c r="C56" s="234"/>
      <c r="D56" s="236"/>
      <c r="E56" s="236"/>
      <c r="F56" s="236"/>
      <c r="G56" s="236"/>
      <c r="H56" s="236"/>
      <c r="I56" s="234"/>
      <c r="J56" s="236"/>
      <c r="K56" s="236"/>
      <c r="L56" s="236"/>
      <c r="M56" s="234"/>
      <c r="N56" s="236"/>
      <c r="O56" s="236"/>
      <c r="P56" s="236"/>
      <c r="Q56" s="221"/>
      <c r="T56" s="221"/>
      <c r="V56" s="220"/>
      <c r="AA56" s="393"/>
      <c r="AB56" s="394"/>
      <c r="AC56" s="395"/>
      <c r="AD56" s="396"/>
      <c r="AE56" s="397"/>
    </row>
    <row r="57" spans="1:31" x14ac:dyDescent="0.2">
      <c r="B57" s="234"/>
      <c r="C57" s="234"/>
      <c r="D57" s="236"/>
      <c r="E57" s="236"/>
      <c r="F57" s="236"/>
      <c r="G57" s="236"/>
      <c r="H57" s="236"/>
      <c r="I57" s="234"/>
      <c r="J57" s="236"/>
      <c r="K57" s="236"/>
      <c r="L57" s="236"/>
      <c r="M57" s="234"/>
      <c r="N57" s="236"/>
      <c r="O57" s="236"/>
      <c r="P57" s="236"/>
      <c r="Q57" s="221"/>
      <c r="T57" s="221"/>
      <c r="V57" s="220"/>
      <c r="AA57" s="393"/>
      <c r="AB57" s="394"/>
      <c r="AC57" s="395"/>
      <c r="AD57" s="396"/>
      <c r="AE57" s="397"/>
    </row>
    <row r="58" spans="1:31" x14ac:dyDescent="0.2">
      <c r="B58" s="234"/>
      <c r="C58" s="234"/>
      <c r="D58" s="236"/>
      <c r="E58" s="236"/>
      <c r="F58" s="236"/>
      <c r="G58" s="236"/>
      <c r="H58" s="236"/>
      <c r="I58" s="234"/>
      <c r="J58" s="236"/>
      <c r="K58" s="236"/>
      <c r="L58" s="236"/>
      <c r="M58" s="234"/>
      <c r="N58" s="236"/>
      <c r="O58" s="236"/>
      <c r="P58" s="236"/>
      <c r="Q58" s="221"/>
      <c r="T58" s="221"/>
      <c r="V58" s="220"/>
      <c r="AA58" s="393"/>
      <c r="AB58" s="394"/>
      <c r="AC58" s="395"/>
      <c r="AD58" s="396"/>
      <c r="AE58" s="397"/>
    </row>
    <row r="59" spans="1:31" x14ac:dyDescent="0.2">
      <c r="B59" s="365"/>
      <c r="C59" s="365"/>
      <c r="D59" s="366" t="s">
        <v>257</v>
      </c>
      <c r="E59" s="366" t="s">
        <v>4</v>
      </c>
      <c r="F59" s="366" t="s">
        <v>5</v>
      </c>
      <c r="G59" s="366"/>
      <c r="H59" s="366"/>
      <c r="I59" s="365"/>
      <c r="J59" s="366"/>
      <c r="K59" s="366"/>
      <c r="L59" s="366"/>
      <c r="M59" s="366"/>
      <c r="N59" s="366"/>
      <c r="O59" s="366"/>
      <c r="P59" s="366"/>
      <c r="Q59" s="221"/>
      <c r="T59" s="221"/>
      <c r="V59" s="220"/>
      <c r="AA59" s="393"/>
      <c r="AB59" s="394"/>
      <c r="AC59" s="395"/>
      <c r="AD59" s="396"/>
      <c r="AE59" s="397"/>
    </row>
    <row r="60" spans="1:31" ht="15.75" x14ac:dyDescent="0.25">
      <c r="B60" s="234">
        <v>2020</v>
      </c>
      <c r="C60" s="234" t="s">
        <v>26</v>
      </c>
      <c r="D60" s="234">
        <v>1680</v>
      </c>
      <c r="E60" s="234">
        <v>1620</v>
      </c>
      <c r="F60" s="234">
        <v>1620</v>
      </c>
      <c r="G60" s="234"/>
      <c r="H60" s="234"/>
      <c r="I60" s="234"/>
      <c r="J60" s="234"/>
      <c r="K60" s="234"/>
      <c r="L60" s="234"/>
      <c r="M60" s="234"/>
      <c r="N60" s="234"/>
      <c r="O60" s="234"/>
      <c r="P60" s="234"/>
      <c r="T60" s="221"/>
      <c r="V60" s="220"/>
      <c r="AA60" s="353"/>
      <c r="AB60" s="353"/>
      <c r="AC60" s="404" t="s">
        <v>182</v>
      </c>
      <c r="AD60" s="353"/>
    </row>
    <row r="61" spans="1:31" x14ac:dyDescent="0.2">
      <c r="B61" s="234"/>
      <c r="C61" s="234" t="s">
        <v>23</v>
      </c>
      <c r="D61" s="234">
        <v>300</v>
      </c>
      <c r="E61" s="234">
        <v>300</v>
      </c>
      <c r="F61" s="234">
        <v>300</v>
      </c>
      <c r="G61" s="234"/>
      <c r="H61" s="234"/>
      <c r="I61" s="234"/>
      <c r="J61" s="234"/>
      <c r="K61" s="234"/>
      <c r="L61" s="234"/>
      <c r="M61" s="234"/>
      <c r="N61" s="234"/>
      <c r="O61" s="234"/>
      <c r="P61" s="234"/>
      <c r="T61" s="221"/>
      <c r="V61" s="220"/>
      <c r="AA61" s="412"/>
      <c r="AB61" s="413"/>
      <c r="AC61" s="412"/>
      <c r="AD61" s="414"/>
      <c r="AE61" s="412"/>
    </row>
    <row r="62" spans="1:31" x14ac:dyDescent="0.2">
      <c r="B62" s="234"/>
      <c r="C62" s="234" t="s">
        <v>24</v>
      </c>
      <c r="D62" s="234">
        <v>940</v>
      </c>
      <c r="E62" s="234">
        <v>855</v>
      </c>
      <c r="F62" s="234">
        <v>840</v>
      </c>
      <c r="G62" s="234"/>
      <c r="H62" s="234"/>
      <c r="I62" s="234"/>
      <c r="J62" s="234"/>
      <c r="K62" s="234"/>
      <c r="L62" s="234"/>
      <c r="M62" s="234"/>
      <c r="N62" s="234"/>
      <c r="O62" s="234"/>
      <c r="P62" s="234"/>
      <c r="T62" s="221"/>
      <c r="V62" s="220"/>
      <c r="AA62" s="412"/>
      <c r="AB62" s="413"/>
      <c r="AC62" s="412"/>
      <c r="AD62" s="414"/>
      <c r="AE62" s="412"/>
    </row>
    <row r="63" spans="1:31" x14ac:dyDescent="0.2">
      <c r="B63" s="234"/>
      <c r="C63" s="234" t="s">
        <v>131</v>
      </c>
      <c r="D63" s="234">
        <v>1380</v>
      </c>
      <c r="E63" s="234">
        <v>1080</v>
      </c>
      <c r="F63" s="234">
        <v>1380</v>
      </c>
      <c r="G63" s="234"/>
      <c r="H63" s="234"/>
      <c r="I63" s="234"/>
      <c r="J63" s="234"/>
      <c r="K63" s="234"/>
      <c r="L63" s="234"/>
      <c r="M63" s="234"/>
      <c r="N63" s="234"/>
      <c r="O63" s="234"/>
      <c r="P63" s="234"/>
      <c r="T63" s="221"/>
      <c r="V63" s="220"/>
      <c r="AA63" s="412"/>
      <c r="AB63" s="413"/>
      <c r="AC63" s="412"/>
      <c r="AD63" s="414"/>
      <c r="AE63" s="412"/>
    </row>
    <row r="64" spans="1:31" ht="18" x14ac:dyDescent="0.25">
      <c r="B64" s="234"/>
      <c r="C64" s="234" t="s">
        <v>56</v>
      </c>
      <c r="D64" s="234">
        <v>1691</v>
      </c>
      <c r="E64" s="234">
        <v>1680</v>
      </c>
      <c r="F64" s="234">
        <v>1680</v>
      </c>
      <c r="G64" s="234"/>
      <c r="H64" s="234"/>
      <c r="I64" s="234"/>
      <c r="J64" s="234"/>
      <c r="K64" s="234"/>
      <c r="L64" s="234"/>
      <c r="M64" s="234"/>
      <c r="N64" s="234"/>
      <c r="O64" s="234"/>
      <c r="P64" s="234"/>
      <c r="T64" s="221"/>
      <c r="V64" s="220"/>
      <c r="AA64" s="412"/>
      <c r="AB64" s="413"/>
      <c r="AC64" s="415"/>
      <c r="AD64" s="414"/>
      <c r="AE64" s="416"/>
    </row>
    <row r="65" spans="2:31" ht="18" x14ac:dyDescent="0.25">
      <c r="B65" s="234"/>
      <c r="C65" s="234" t="s">
        <v>258</v>
      </c>
      <c r="D65" s="234"/>
      <c r="E65" s="234">
        <v>300</v>
      </c>
      <c r="F65" s="234">
        <v>0</v>
      </c>
      <c r="G65" s="234"/>
      <c r="H65" s="234"/>
      <c r="I65" s="234"/>
      <c r="J65" s="234"/>
      <c r="K65" s="234"/>
      <c r="L65" s="234"/>
      <c r="M65" s="234"/>
      <c r="N65" s="234"/>
      <c r="O65" s="234"/>
      <c r="P65" s="234"/>
      <c r="T65" s="221"/>
      <c r="V65" s="220"/>
      <c r="AA65" s="412"/>
      <c r="AB65" s="413"/>
      <c r="AC65" s="415"/>
      <c r="AD65" s="414"/>
      <c r="AE65" s="416"/>
    </row>
    <row r="66" spans="2:31" ht="18" x14ac:dyDescent="0.25">
      <c r="B66" s="234"/>
      <c r="C66" s="234" t="s">
        <v>260</v>
      </c>
      <c r="D66" s="234"/>
      <c r="E66" s="234">
        <v>60</v>
      </c>
      <c r="F66" s="234">
        <v>0</v>
      </c>
      <c r="G66" s="234"/>
      <c r="H66" s="234"/>
      <c r="I66" s="234"/>
      <c r="J66" s="234"/>
      <c r="K66" s="234"/>
      <c r="L66" s="234"/>
      <c r="M66" s="234"/>
      <c r="N66" s="234"/>
      <c r="O66" s="234"/>
      <c r="P66" s="234"/>
      <c r="T66" s="221"/>
      <c r="V66" s="220"/>
      <c r="AA66" s="412"/>
      <c r="AB66" s="413"/>
      <c r="AC66" s="415"/>
      <c r="AD66" s="414"/>
      <c r="AE66" s="416"/>
    </row>
    <row r="67" spans="2:31" ht="18" x14ac:dyDescent="0.25">
      <c r="B67" s="234"/>
      <c r="C67" s="234" t="s">
        <v>259</v>
      </c>
      <c r="D67" s="234"/>
      <c r="E67" s="234">
        <v>60</v>
      </c>
      <c r="F67" s="234">
        <v>0</v>
      </c>
      <c r="G67" s="234"/>
      <c r="H67" s="234"/>
      <c r="I67" s="234"/>
      <c r="J67" s="234"/>
      <c r="K67" s="234"/>
      <c r="L67" s="234"/>
      <c r="M67" s="234"/>
      <c r="N67" s="234"/>
      <c r="O67" s="234"/>
      <c r="P67" s="234"/>
      <c r="T67" s="221"/>
      <c r="V67" s="220"/>
      <c r="AA67" s="412"/>
      <c r="AB67" s="413"/>
      <c r="AC67" s="415"/>
      <c r="AD67" s="414"/>
      <c r="AE67" s="416"/>
    </row>
    <row r="68" spans="2:31" x14ac:dyDescent="0.2">
      <c r="B68" s="234"/>
      <c r="C68" s="234"/>
      <c r="D68" s="234"/>
      <c r="E68" s="234"/>
      <c r="F68" s="234"/>
      <c r="G68" s="234"/>
      <c r="H68" s="234"/>
      <c r="I68" s="234"/>
      <c r="J68" s="234"/>
      <c r="K68" s="234"/>
      <c r="L68" s="234"/>
      <c r="M68" s="234"/>
      <c r="N68" s="234"/>
      <c r="O68" s="234"/>
      <c r="P68" s="234"/>
      <c r="T68" s="221"/>
      <c r="V68" s="220"/>
      <c r="AA68" s="401"/>
      <c r="AB68" s="359"/>
      <c r="AC68" s="359"/>
      <c r="AD68" s="359"/>
    </row>
    <row r="69" spans="2:31" x14ac:dyDescent="0.2">
      <c r="B69" s="365" t="s">
        <v>35</v>
      </c>
      <c r="C69" s="365" t="s">
        <v>35</v>
      </c>
      <c r="D69" s="366"/>
      <c r="E69" s="366"/>
      <c r="F69" s="366"/>
      <c r="G69" s="366"/>
      <c r="H69" s="366"/>
      <c r="I69" s="365"/>
      <c r="J69" s="366"/>
      <c r="K69" s="366"/>
      <c r="L69" s="366"/>
      <c r="M69" s="366"/>
      <c r="N69" s="366"/>
      <c r="O69" s="366"/>
      <c r="P69" s="366"/>
      <c r="T69" s="221"/>
      <c r="V69" s="220"/>
      <c r="AA69" s="401"/>
      <c r="AB69" s="359"/>
      <c r="AC69" s="359"/>
      <c r="AD69" s="359"/>
    </row>
    <row r="70" spans="2:31" x14ac:dyDescent="0.2">
      <c r="B70" s="234"/>
      <c r="C70" s="234"/>
      <c r="D70" s="234"/>
      <c r="E70" s="234"/>
      <c r="F70" s="234"/>
      <c r="G70" s="234"/>
      <c r="H70" s="234"/>
      <c r="I70" s="234"/>
      <c r="J70" s="234"/>
      <c r="K70" s="234"/>
      <c r="L70" s="234"/>
      <c r="M70" s="234"/>
      <c r="N70" s="234"/>
      <c r="O70" s="234"/>
      <c r="P70" s="234"/>
      <c r="T70" s="221"/>
      <c r="V70" s="220"/>
      <c r="AA70" s="330"/>
      <c r="AB70" s="359"/>
      <c r="AC70" s="330"/>
      <c r="AD70" s="330"/>
    </row>
    <row r="71" spans="2:31" x14ac:dyDescent="0.2">
      <c r="B71" s="234"/>
      <c r="C71" s="234"/>
      <c r="D71" s="234"/>
      <c r="E71" s="234"/>
      <c r="F71" s="234"/>
      <c r="G71" s="234"/>
      <c r="H71" s="234"/>
      <c r="I71" s="234"/>
      <c r="J71" s="234"/>
      <c r="K71" s="234"/>
      <c r="L71" s="234"/>
      <c r="M71" s="234"/>
      <c r="N71" s="234"/>
      <c r="O71" s="234"/>
      <c r="P71" s="234"/>
      <c r="T71" s="221"/>
      <c r="V71" s="220"/>
      <c r="AA71" s="330"/>
      <c r="AB71" s="359"/>
      <c r="AC71" s="330"/>
      <c r="AD71" s="330"/>
    </row>
    <row r="72" spans="2:31" x14ac:dyDescent="0.2">
      <c r="B72" s="234"/>
      <c r="C72" s="234"/>
      <c r="D72" s="234"/>
      <c r="E72" s="234"/>
      <c r="F72" s="234"/>
      <c r="G72" s="234"/>
      <c r="H72" s="234"/>
      <c r="I72" s="234"/>
      <c r="J72" s="234"/>
      <c r="K72" s="234"/>
      <c r="L72" s="234"/>
      <c r="M72" s="234"/>
      <c r="N72" s="234"/>
      <c r="O72" s="234"/>
      <c r="P72" s="234"/>
      <c r="T72" s="221"/>
      <c r="V72" s="220"/>
      <c r="AA72" s="330"/>
      <c r="AB72" s="359"/>
      <c r="AC72" s="330"/>
      <c r="AD72" s="330"/>
    </row>
    <row r="73" spans="2:31" x14ac:dyDescent="0.2">
      <c r="B73" s="234"/>
      <c r="C73" s="234"/>
      <c r="D73" s="234"/>
      <c r="E73" s="234"/>
      <c r="F73" s="234"/>
      <c r="G73" s="234"/>
      <c r="H73" s="234"/>
      <c r="I73" s="234"/>
      <c r="J73" s="234"/>
      <c r="K73" s="234"/>
      <c r="L73" s="234"/>
      <c r="M73" s="234"/>
      <c r="N73" s="234"/>
      <c r="O73" s="234"/>
      <c r="P73" s="234"/>
      <c r="T73" s="221"/>
      <c r="V73" s="220"/>
      <c r="AA73" s="330"/>
      <c r="AB73" s="359"/>
      <c r="AC73" s="330"/>
      <c r="AD73" s="330"/>
    </row>
    <row r="74" spans="2:31" x14ac:dyDescent="0.2">
      <c r="B74" s="234"/>
      <c r="C74" s="234"/>
      <c r="D74" s="234"/>
      <c r="E74" s="234"/>
      <c r="F74" s="234"/>
      <c r="G74" s="234"/>
      <c r="H74" s="234"/>
      <c r="I74" s="234"/>
      <c r="J74" s="234"/>
      <c r="K74" s="234"/>
      <c r="L74" s="234"/>
      <c r="M74" s="234"/>
      <c r="N74" s="234"/>
      <c r="O74" s="234"/>
      <c r="P74" s="234"/>
      <c r="T74" s="221"/>
      <c r="V74" s="220"/>
      <c r="AA74" s="330"/>
      <c r="AB74" s="359"/>
      <c r="AC74" s="330"/>
      <c r="AD74" s="330"/>
    </row>
    <row r="75" spans="2:31" x14ac:dyDescent="0.2">
      <c r="B75" s="368"/>
      <c r="C75" s="368"/>
      <c r="D75" s="368"/>
      <c r="E75" s="368"/>
      <c r="F75" s="368"/>
      <c r="G75" s="368"/>
      <c r="H75" s="368"/>
      <c r="I75" s="368"/>
      <c r="J75" s="368"/>
      <c r="K75" s="368"/>
      <c r="L75" s="368"/>
      <c r="M75" s="368"/>
      <c r="N75" s="368"/>
      <c r="O75" s="368"/>
      <c r="P75" s="368"/>
      <c r="T75" s="221"/>
      <c r="V75" s="220"/>
      <c r="AA75" s="330"/>
      <c r="AB75" s="359"/>
      <c r="AC75" s="330"/>
      <c r="AD75" s="330"/>
    </row>
    <row r="76" spans="2:31" x14ac:dyDescent="0.2">
      <c r="B76" s="368"/>
      <c r="C76" s="368"/>
      <c r="D76" s="368"/>
      <c r="E76" s="368"/>
      <c r="F76" s="368"/>
      <c r="G76" s="368"/>
      <c r="H76" s="368"/>
      <c r="I76" s="368"/>
      <c r="J76" s="368"/>
      <c r="K76" s="368"/>
      <c r="L76" s="368"/>
      <c r="M76" s="368"/>
      <c r="N76" s="368"/>
      <c r="O76" s="368"/>
      <c r="P76" s="368"/>
      <c r="T76" s="221"/>
      <c r="V76" s="220"/>
      <c r="AA76" s="330"/>
      <c r="AB76" s="359"/>
      <c r="AC76" s="330"/>
      <c r="AD76" s="330"/>
    </row>
    <row r="77" spans="2:31" x14ac:dyDescent="0.2">
      <c r="D77" s="220"/>
      <c r="T77" s="221"/>
      <c r="V77" s="220"/>
      <c r="AA77" s="330"/>
      <c r="AB77" s="359"/>
      <c r="AC77" s="330"/>
      <c r="AD77" s="330"/>
    </row>
    <row r="78" spans="2:31" s="278" customFormat="1" ht="15.75" x14ac:dyDescent="0.25">
      <c r="C78" s="278" t="s">
        <v>59</v>
      </c>
      <c r="D78" s="278">
        <f>SUM(D50:D77)</f>
        <v>5991</v>
      </c>
      <c r="E78" s="278">
        <f>SUM(E60:E77)</f>
        <v>5955</v>
      </c>
      <c r="F78" s="278">
        <f>SUM(F60:F67)</f>
        <v>5820</v>
      </c>
      <c r="G78" s="278">
        <f t="shared" ref="G78:P78" si="53">SUM(G50:G77)</f>
        <v>324</v>
      </c>
      <c r="H78" s="428">
        <f>SUM(H50:H77)</f>
        <v>630</v>
      </c>
      <c r="I78" s="278">
        <f t="shared" si="53"/>
        <v>564</v>
      </c>
      <c r="J78" s="278">
        <f t="shared" si="53"/>
        <v>516</v>
      </c>
      <c r="K78" s="278">
        <f t="shared" si="53"/>
        <v>534</v>
      </c>
      <c r="L78" s="278">
        <f t="shared" si="53"/>
        <v>520</v>
      </c>
      <c r="M78" s="278">
        <f t="shared" si="53"/>
        <v>650</v>
      </c>
      <c r="N78" s="278">
        <f t="shared" si="53"/>
        <v>822</v>
      </c>
      <c r="O78" s="278">
        <f t="shared" si="53"/>
        <v>622</v>
      </c>
      <c r="P78" s="278">
        <f t="shared" si="53"/>
        <v>852</v>
      </c>
      <c r="U78" s="1"/>
      <c r="V78" s="1"/>
      <c r="X78" s="1"/>
      <c r="Y78" s="1"/>
      <c r="Z78" s="1"/>
      <c r="AA78" s="330"/>
      <c r="AB78" s="359"/>
      <c r="AC78" s="330"/>
      <c r="AD78" s="330"/>
      <c r="AE78" s="220"/>
    </row>
    <row r="79" spans="2:31" x14ac:dyDescent="0.2">
      <c r="AA79" s="330"/>
      <c r="AB79" s="359"/>
      <c r="AC79" s="330"/>
      <c r="AD79" s="330"/>
    </row>
    <row r="80" spans="2:31" x14ac:dyDescent="0.2">
      <c r="AA80" s="330"/>
      <c r="AB80" s="359"/>
      <c r="AC80" s="330"/>
      <c r="AD80" s="330"/>
    </row>
    <row r="81" spans="2:30" x14ac:dyDescent="0.2">
      <c r="B81" s="365" t="s">
        <v>35</v>
      </c>
      <c r="C81" s="365" t="s">
        <v>35</v>
      </c>
      <c r="D81" s="366"/>
      <c r="E81" s="366" t="s">
        <v>244</v>
      </c>
      <c r="F81" s="366" t="s">
        <v>135</v>
      </c>
      <c r="G81" s="366" t="s">
        <v>117</v>
      </c>
      <c r="H81" s="366" t="s">
        <v>238</v>
      </c>
      <c r="I81" s="366" t="s">
        <v>239</v>
      </c>
      <c r="J81" s="365" t="s">
        <v>240</v>
      </c>
      <c r="K81" s="366"/>
      <c r="L81" s="366" t="s">
        <v>241</v>
      </c>
      <c r="M81" s="366" t="s">
        <v>242</v>
      </c>
      <c r="N81" s="366" t="s">
        <v>243</v>
      </c>
      <c r="R81" s="221"/>
      <c r="S81" s="221"/>
      <c r="U81" s="220"/>
      <c r="V81" s="220"/>
      <c r="W81" s="330"/>
      <c r="X81" s="359"/>
      <c r="Y81" s="359"/>
      <c r="Z81" s="359"/>
      <c r="AA81" s="330"/>
      <c r="AB81" s="359"/>
      <c r="AC81" s="330"/>
      <c r="AD81" s="330"/>
    </row>
    <row r="82" spans="2:30" x14ac:dyDescent="0.2">
      <c r="B82" s="234">
        <v>2019</v>
      </c>
      <c r="C82" s="234" t="s">
        <v>26</v>
      </c>
      <c r="D82" s="234">
        <v>20</v>
      </c>
      <c r="E82" s="234">
        <v>14</v>
      </c>
      <c r="F82" s="234">
        <v>5</v>
      </c>
      <c r="G82" s="234" t="s">
        <v>35</v>
      </c>
      <c r="H82" s="234" t="s">
        <v>35</v>
      </c>
      <c r="I82" s="234" t="s">
        <v>35</v>
      </c>
      <c r="J82" s="234">
        <v>1</v>
      </c>
      <c r="K82" s="234">
        <f t="shared" ref="K82:K89" si="54">SUM(E82:J82)</f>
        <v>20</v>
      </c>
      <c r="L82" s="234">
        <f>E92</f>
        <v>336</v>
      </c>
      <c r="M82" s="234">
        <f>L82</f>
        <v>336</v>
      </c>
      <c r="N82" s="234"/>
      <c r="R82" s="221"/>
      <c r="S82" s="221"/>
      <c r="U82" s="220"/>
      <c r="V82" s="220"/>
      <c r="W82" s="330"/>
      <c r="X82" s="359"/>
      <c r="Y82" s="359"/>
      <c r="Z82" s="359"/>
      <c r="AA82" s="330"/>
      <c r="AB82" s="359"/>
      <c r="AC82" s="330"/>
      <c r="AD82" s="330"/>
    </row>
    <row r="83" spans="2:30" x14ac:dyDescent="0.2">
      <c r="B83" s="234"/>
      <c r="C83" s="234" t="s">
        <v>131</v>
      </c>
      <c r="D83" s="234">
        <v>20</v>
      </c>
      <c r="E83" s="234"/>
      <c r="F83" s="234"/>
      <c r="G83" s="234"/>
      <c r="H83" s="234">
        <v>18</v>
      </c>
      <c r="I83" s="234"/>
      <c r="J83" s="234">
        <v>2</v>
      </c>
      <c r="K83" s="234">
        <f t="shared" si="54"/>
        <v>20</v>
      </c>
      <c r="L83" s="234">
        <f>H92</f>
        <v>432</v>
      </c>
      <c r="M83" s="234">
        <f t="shared" ref="M83:M87" si="55">L83</f>
        <v>432</v>
      </c>
      <c r="N83" s="234"/>
      <c r="R83" s="221"/>
      <c r="S83" s="221"/>
      <c r="U83" s="220"/>
      <c r="V83" s="220"/>
      <c r="W83" s="330"/>
      <c r="X83" s="359"/>
      <c r="Y83" s="359"/>
      <c r="Z83" s="359"/>
      <c r="AA83" s="330"/>
      <c r="AB83" s="359"/>
      <c r="AC83" s="330"/>
      <c r="AD83" s="330"/>
    </row>
    <row r="84" spans="2:30" ht="15.75" x14ac:dyDescent="0.25">
      <c r="B84" s="234"/>
      <c r="C84" s="234" t="s">
        <v>23</v>
      </c>
      <c r="D84" s="234">
        <v>17</v>
      </c>
      <c r="E84" s="234"/>
      <c r="F84" s="234">
        <v>10</v>
      </c>
      <c r="G84" s="234"/>
      <c r="H84" s="234"/>
      <c r="I84" s="234"/>
      <c r="J84" s="402">
        <v>7</v>
      </c>
      <c r="K84" s="234">
        <f t="shared" si="54"/>
        <v>17</v>
      </c>
      <c r="L84" s="234" t="s">
        <v>35</v>
      </c>
      <c r="M84" s="234" t="str">
        <f t="shared" si="55"/>
        <v xml:space="preserve"> </v>
      </c>
      <c r="N84" s="234"/>
      <c r="O84" s="220" t="s">
        <v>245</v>
      </c>
      <c r="R84" s="221"/>
      <c r="S84" s="221"/>
      <c r="U84" s="220"/>
      <c r="V84" s="220"/>
      <c r="W84" s="330"/>
      <c r="X84" s="359"/>
      <c r="Y84" s="359"/>
      <c r="Z84" s="359"/>
      <c r="AA84" s="330"/>
      <c r="AB84" s="359"/>
      <c r="AC84" s="330"/>
      <c r="AD84" s="330"/>
    </row>
    <row r="85" spans="2:30" x14ac:dyDescent="0.2">
      <c r="B85" s="234"/>
      <c r="C85" s="234" t="s">
        <v>24</v>
      </c>
      <c r="D85" s="234">
        <v>6</v>
      </c>
      <c r="E85" s="234"/>
      <c r="F85" s="234"/>
      <c r="G85" s="234">
        <v>6</v>
      </c>
      <c r="H85" s="234"/>
      <c r="I85" s="234"/>
      <c r="J85" s="234"/>
      <c r="K85" s="234">
        <f t="shared" si="54"/>
        <v>6</v>
      </c>
      <c r="L85" s="234">
        <f>G92</f>
        <v>144</v>
      </c>
      <c r="M85" s="234">
        <f t="shared" si="55"/>
        <v>144</v>
      </c>
      <c r="N85" s="234"/>
      <c r="R85" s="221"/>
      <c r="S85" s="221"/>
      <c r="U85" s="220"/>
      <c r="V85" s="220"/>
      <c r="W85" s="330"/>
      <c r="X85" s="359"/>
      <c r="Y85" s="359"/>
      <c r="Z85" s="359"/>
      <c r="AA85" s="330"/>
      <c r="AB85" s="359"/>
      <c r="AC85" s="330"/>
      <c r="AD85" s="330"/>
    </row>
    <row r="86" spans="2:30" x14ac:dyDescent="0.2">
      <c r="B86" s="234"/>
      <c r="C86" s="234" t="s">
        <v>56</v>
      </c>
      <c r="D86" s="234">
        <v>5</v>
      </c>
      <c r="E86" s="234"/>
      <c r="F86" s="234">
        <v>3</v>
      </c>
      <c r="G86" s="234"/>
      <c r="H86" s="234"/>
      <c r="I86" s="234"/>
      <c r="J86" s="234">
        <v>2</v>
      </c>
      <c r="K86" s="234">
        <f t="shared" si="54"/>
        <v>5</v>
      </c>
      <c r="L86" s="234" t="s">
        <v>35</v>
      </c>
      <c r="M86" s="234" t="str">
        <f t="shared" si="55"/>
        <v xml:space="preserve"> </v>
      </c>
      <c r="N86" s="234"/>
      <c r="R86" s="221"/>
      <c r="S86" s="221"/>
      <c r="U86" s="220"/>
      <c r="V86" s="220"/>
      <c r="AA86" s="330"/>
      <c r="AB86" s="359"/>
      <c r="AC86" s="330"/>
      <c r="AD86" s="330"/>
    </row>
    <row r="87" spans="2:30" x14ac:dyDescent="0.2">
      <c r="B87" s="234"/>
      <c r="C87" s="234" t="s">
        <v>135</v>
      </c>
      <c r="D87" s="234">
        <v>8</v>
      </c>
      <c r="E87" s="234" t="s">
        <v>35</v>
      </c>
      <c r="F87" s="234">
        <v>8</v>
      </c>
      <c r="G87" s="234"/>
      <c r="H87" s="234"/>
      <c r="I87" s="234"/>
      <c r="J87" s="234"/>
      <c r="K87" s="234">
        <f t="shared" si="54"/>
        <v>8</v>
      </c>
      <c r="L87" s="234">
        <f>F92</f>
        <v>624</v>
      </c>
      <c r="M87" s="234">
        <f t="shared" si="55"/>
        <v>624</v>
      </c>
      <c r="N87" s="234"/>
      <c r="R87" s="221"/>
      <c r="S87" s="221"/>
      <c r="U87" s="220"/>
      <c r="V87" s="220"/>
      <c r="AA87" s="330"/>
      <c r="AB87" s="359"/>
      <c r="AC87" s="330"/>
      <c r="AD87" s="330"/>
    </row>
    <row r="88" spans="2:30" x14ac:dyDescent="0.2">
      <c r="B88" s="234"/>
      <c r="C88" s="234" t="s">
        <v>136</v>
      </c>
      <c r="D88" s="234">
        <v>21</v>
      </c>
      <c r="E88" s="234"/>
      <c r="F88" s="234"/>
      <c r="G88" s="234"/>
      <c r="H88" s="234"/>
      <c r="I88" s="234">
        <v>21</v>
      </c>
      <c r="J88" s="234" t="s">
        <v>35</v>
      </c>
      <c r="K88" s="234">
        <f t="shared" si="54"/>
        <v>21</v>
      </c>
      <c r="L88" s="234">
        <f>I92</f>
        <v>504</v>
      </c>
      <c r="M88" s="234"/>
      <c r="N88" s="234">
        <f>L88</f>
        <v>504</v>
      </c>
      <c r="R88" s="221"/>
      <c r="S88" s="221"/>
      <c r="U88" s="220"/>
      <c r="V88" s="220"/>
      <c r="AA88" s="330"/>
      <c r="AB88" s="359"/>
      <c r="AC88" s="330"/>
      <c r="AD88" s="330"/>
    </row>
    <row r="89" spans="2:30" x14ac:dyDescent="0.2">
      <c r="B89" s="234"/>
      <c r="C89" s="234" t="s">
        <v>246</v>
      </c>
      <c r="D89" s="234">
        <v>1</v>
      </c>
      <c r="E89" s="234"/>
      <c r="F89" s="234"/>
      <c r="G89" s="234"/>
      <c r="H89" s="234"/>
      <c r="I89" s="234"/>
      <c r="J89" s="234">
        <v>1</v>
      </c>
      <c r="K89" s="234">
        <f t="shared" si="54"/>
        <v>1</v>
      </c>
      <c r="L89" s="234">
        <f>J92</f>
        <v>312</v>
      </c>
      <c r="M89" s="234"/>
      <c r="N89" s="234">
        <f>L89</f>
        <v>312</v>
      </c>
      <c r="R89" s="221"/>
      <c r="S89" s="221"/>
      <c r="U89" s="220"/>
      <c r="V89" s="220"/>
      <c r="AA89" s="330"/>
      <c r="AB89" s="359"/>
      <c r="AC89" s="330"/>
      <c r="AD89" s="330"/>
    </row>
    <row r="90" spans="2:30" x14ac:dyDescent="0.2">
      <c r="D90" s="220"/>
      <c r="U90" s="220"/>
      <c r="W90" s="221"/>
      <c r="AA90" s="330"/>
      <c r="AB90" s="359"/>
      <c r="AC90" s="330"/>
      <c r="AD90" s="330"/>
    </row>
    <row r="91" spans="2:30" ht="15.75" x14ac:dyDescent="0.25">
      <c r="B91" s="278"/>
      <c r="C91" s="278" t="s">
        <v>59</v>
      </c>
      <c r="D91" s="278">
        <f>SUM(D82:D90)</f>
        <v>98</v>
      </c>
      <c r="E91" s="220">
        <f>SUM(E82:E90)</f>
        <v>14</v>
      </c>
      <c r="F91" s="220">
        <f t="shared" ref="F91:N91" si="56">SUM(F82:F90)</f>
        <v>26</v>
      </c>
      <c r="G91" s="220">
        <f t="shared" si="56"/>
        <v>6</v>
      </c>
      <c r="H91" s="220">
        <f t="shared" si="56"/>
        <v>18</v>
      </c>
      <c r="I91" s="220">
        <f t="shared" si="56"/>
        <v>21</v>
      </c>
      <c r="J91" s="220">
        <f t="shared" si="56"/>
        <v>13</v>
      </c>
      <c r="K91" s="278">
        <f t="shared" si="56"/>
        <v>98</v>
      </c>
      <c r="L91" s="278">
        <f t="shared" si="56"/>
        <v>2352</v>
      </c>
      <c r="M91" s="278">
        <f t="shared" si="56"/>
        <v>1536</v>
      </c>
      <c r="N91" s="278">
        <f t="shared" si="56"/>
        <v>816</v>
      </c>
      <c r="O91" s="278" t="s">
        <v>35</v>
      </c>
      <c r="P91" s="278" t="s">
        <v>35</v>
      </c>
      <c r="Q91" s="278" t="s">
        <v>35</v>
      </c>
      <c r="R91" s="278"/>
      <c r="U91" s="220"/>
      <c r="W91" s="221"/>
      <c r="AA91" s="330"/>
      <c r="AB91" s="359"/>
      <c r="AC91" s="330"/>
      <c r="AD91" s="330"/>
    </row>
    <row r="92" spans="2:30" x14ac:dyDescent="0.2">
      <c r="D92" s="220" t="s">
        <v>241</v>
      </c>
      <c r="E92" s="220">
        <f>E91*24</f>
        <v>336</v>
      </c>
      <c r="F92" s="220">
        <f t="shared" ref="F92:J92" si="57">F91*24</f>
        <v>624</v>
      </c>
      <c r="G92" s="220">
        <f t="shared" si="57"/>
        <v>144</v>
      </c>
      <c r="H92" s="220">
        <f t="shared" si="57"/>
        <v>432</v>
      </c>
      <c r="I92" s="220">
        <f t="shared" si="57"/>
        <v>504</v>
      </c>
      <c r="J92" s="220">
        <f t="shared" si="57"/>
        <v>312</v>
      </c>
      <c r="AA92" s="330"/>
      <c r="AB92" s="359"/>
      <c r="AC92" s="330"/>
      <c r="AD92" s="330"/>
    </row>
    <row r="93" spans="2:30" x14ac:dyDescent="0.2">
      <c r="AA93" s="330"/>
      <c r="AB93" s="359"/>
      <c r="AC93" s="330"/>
      <c r="AD93" s="330"/>
    </row>
    <row r="94" spans="2:30" x14ac:dyDescent="0.2">
      <c r="AA94" s="330"/>
      <c r="AB94" s="359"/>
      <c r="AC94" s="330"/>
      <c r="AD94" s="330"/>
    </row>
    <row r="95" spans="2:30" x14ac:dyDescent="0.2">
      <c r="AA95" s="330"/>
      <c r="AB95" s="359"/>
      <c r="AC95" s="330"/>
      <c r="AD95" s="330"/>
    </row>
    <row r="96" spans="2:30" x14ac:dyDescent="0.2">
      <c r="AA96" s="330"/>
      <c r="AB96" s="359"/>
      <c r="AC96" s="330"/>
      <c r="AD96" s="330"/>
    </row>
    <row r="97" spans="27:31" x14ac:dyDescent="0.2">
      <c r="AA97" s="330"/>
      <c r="AB97" s="359"/>
      <c r="AC97" s="330"/>
      <c r="AD97" s="330"/>
    </row>
    <row r="98" spans="27:31" x14ac:dyDescent="0.2">
      <c r="AA98" s="330"/>
      <c r="AB98" s="359"/>
      <c r="AC98" s="330"/>
      <c r="AD98" s="330"/>
    </row>
    <row r="99" spans="27:31" x14ac:dyDescent="0.2">
      <c r="AA99" s="330"/>
      <c r="AB99" s="359"/>
      <c r="AC99" s="330"/>
      <c r="AD99" s="330"/>
    </row>
    <row r="100" spans="27:31" x14ac:dyDescent="0.2">
      <c r="AA100" s="330"/>
      <c r="AB100" s="359"/>
      <c r="AC100" s="330"/>
      <c r="AD100" s="330"/>
    </row>
    <row r="101" spans="27:31" x14ac:dyDescent="0.2">
      <c r="AA101" s="330"/>
      <c r="AB101" s="359"/>
      <c r="AC101" s="330"/>
      <c r="AD101" s="330"/>
    </row>
    <row r="102" spans="27:31" ht="15.75" x14ac:dyDescent="0.25">
      <c r="AA102" s="387"/>
      <c r="AB102" s="387"/>
      <c r="AC102" s="358"/>
      <c r="AD102" s="387"/>
      <c r="AE102" s="278"/>
    </row>
    <row r="103" spans="27:31" x14ac:dyDescent="0.2">
      <c r="AA103" s="330"/>
      <c r="AB103" s="330"/>
      <c r="AC103" s="359"/>
      <c r="AD103" s="330"/>
    </row>
    <row r="104" spans="27:31" x14ac:dyDescent="0.2">
      <c r="AA104" s="330"/>
      <c r="AB104" s="330"/>
      <c r="AC104" s="359"/>
      <c r="AD104" s="330"/>
    </row>
    <row r="105" spans="27:31" x14ac:dyDescent="0.2">
      <c r="AA105" s="330"/>
      <c r="AC105" s="220"/>
    </row>
    <row r="106" spans="27:31" x14ac:dyDescent="0.2">
      <c r="AA106" s="330"/>
      <c r="AC106" s="220"/>
    </row>
    <row r="107" spans="27:31" x14ac:dyDescent="0.2">
      <c r="AA107" s="330"/>
      <c r="AC107" s="220"/>
    </row>
    <row r="108" spans="27:31" x14ac:dyDescent="0.2">
      <c r="AA108" s="330"/>
      <c r="AC108" s="220"/>
    </row>
    <row r="109" spans="27:31" x14ac:dyDescent="0.2">
      <c r="AA109" s="330"/>
      <c r="AC109" s="220"/>
    </row>
    <row r="110" spans="27:31" x14ac:dyDescent="0.2">
      <c r="AC110" s="220"/>
    </row>
    <row r="111" spans="27:31" x14ac:dyDescent="0.2">
      <c r="AC111" s="220"/>
    </row>
    <row r="112" spans="27:31" x14ac:dyDescent="0.2">
      <c r="AC112" s="220"/>
    </row>
    <row r="113" spans="29:30" x14ac:dyDescent="0.2">
      <c r="AC113" s="220"/>
    </row>
    <row r="114" spans="29:30" x14ac:dyDescent="0.2">
      <c r="AC114" s="220"/>
      <c r="AD114" s="221"/>
    </row>
    <row r="115" spans="29:30" x14ac:dyDescent="0.2">
      <c r="AC115" s="220"/>
      <c r="AD115" s="221"/>
    </row>
  </sheetData>
  <mergeCells count="1">
    <mergeCell ref="AA22:AE22"/>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1234F-81C7-400E-AC17-D6603193377B}">
  <dimension ref="A1:AF127"/>
  <sheetViews>
    <sheetView tabSelected="1" topLeftCell="A45" zoomScale="80" zoomScaleNormal="80" workbookViewId="0">
      <selection activeCell="F58" sqref="F58"/>
    </sheetView>
  </sheetViews>
  <sheetFormatPr defaultColWidth="9.28515625" defaultRowHeight="15" x14ac:dyDescent="0.2"/>
  <cols>
    <col min="1" max="1" width="10.28515625" style="220" bestFit="1" customWidth="1"/>
    <col min="2" max="2" width="9.28515625" style="220"/>
    <col min="3" max="3" width="23.7109375" style="220" customWidth="1"/>
    <col min="4" max="4" width="11.28515625" style="297" customWidth="1"/>
    <col min="5" max="5" width="13.28515625" style="220" customWidth="1"/>
    <col min="6" max="6" width="9.42578125" style="220" customWidth="1"/>
    <col min="7" max="18" width="7.7109375" style="220" customWidth="1"/>
    <col min="19" max="19" width="11.7109375" style="220" customWidth="1"/>
    <col min="20" max="20" width="10.28515625" style="220" customWidth="1"/>
    <col min="21" max="21" width="10" style="220" customWidth="1"/>
    <col min="22" max="22" width="12.7109375" style="221" customWidth="1"/>
    <col min="23" max="23" width="9.28515625" style="221"/>
    <col min="24" max="24" width="15.7109375" style="220" customWidth="1"/>
    <col min="25" max="25" width="9.28515625" style="221"/>
    <col min="26" max="26" width="11.42578125" style="221" customWidth="1"/>
    <col min="27" max="27" width="9.28515625" style="221"/>
    <col min="28" max="28" width="22.7109375" style="220" customWidth="1"/>
    <col min="29" max="29" width="10.28515625" style="220" customWidth="1"/>
    <col min="30" max="30" width="64.7109375" style="221" customWidth="1"/>
    <col min="31" max="32" width="19.42578125" style="220" customWidth="1"/>
    <col min="33" max="16384" width="9.28515625" style="220"/>
  </cols>
  <sheetData>
    <row r="1" spans="1:31" x14ac:dyDescent="0.2">
      <c r="E1" s="221"/>
      <c r="F1" s="221"/>
      <c r="G1" s="329"/>
      <c r="H1" s="221"/>
      <c r="I1" s="221"/>
      <c r="J1" s="221"/>
      <c r="K1" s="221"/>
      <c r="L1" s="221"/>
      <c r="M1" s="221"/>
      <c r="N1" s="221"/>
      <c r="O1" s="221"/>
      <c r="P1" s="221"/>
      <c r="Q1" s="221"/>
      <c r="R1" s="221"/>
      <c r="S1" s="221"/>
    </row>
    <row r="2" spans="1:31" x14ac:dyDescent="0.2">
      <c r="C2" s="329">
        <v>44196</v>
      </c>
      <c r="E2" s="221"/>
      <c r="F2" s="221"/>
      <c r="G2" s="221"/>
      <c r="H2" s="221"/>
      <c r="I2" s="221"/>
      <c r="J2" s="221"/>
      <c r="K2" s="221"/>
      <c r="L2" s="221"/>
      <c r="M2" s="221"/>
      <c r="N2" s="221"/>
      <c r="O2" s="221"/>
      <c r="P2" s="221"/>
      <c r="Q2" s="221"/>
      <c r="R2" s="221"/>
      <c r="S2" s="221"/>
    </row>
    <row r="3" spans="1:31" x14ac:dyDescent="0.2">
      <c r="C3" s="221"/>
      <c r="E3" s="221"/>
      <c r="F3" s="221"/>
      <c r="G3" s="221"/>
      <c r="H3" s="221"/>
      <c r="I3" s="221"/>
      <c r="J3" s="221"/>
      <c r="K3" s="221"/>
      <c r="L3" s="221"/>
      <c r="M3" s="221"/>
      <c r="N3" s="221"/>
      <c r="O3" s="221"/>
      <c r="P3" s="221"/>
      <c r="Q3" s="221"/>
      <c r="R3" s="221"/>
      <c r="S3" s="221"/>
    </row>
    <row r="4" spans="1:31" x14ac:dyDescent="0.2">
      <c r="C4" s="339"/>
      <c r="E4" s="339"/>
      <c r="F4" s="339"/>
      <c r="G4" s="339"/>
      <c r="H4" s="339"/>
      <c r="I4" s="339"/>
      <c r="J4" s="339"/>
      <c r="K4" s="339"/>
      <c r="L4" s="339"/>
      <c r="M4" s="339"/>
      <c r="N4" s="339"/>
      <c r="O4" s="339"/>
      <c r="P4" s="339"/>
      <c r="Q4" s="339"/>
      <c r="R4" s="339"/>
      <c r="S4" s="339"/>
    </row>
    <row r="5" spans="1:31" x14ac:dyDescent="0.2">
      <c r="D5" s="220"/>
      <c r="E5" s="221"/>
      <c r="F5" s="221"/>
      <c r="G5" s="221"/>
      <c r="H5" s="221"/>
      <c r="I5" s="221"/>
      <c r="J5" s="221"/>
      <c r="K5" s="221"/>
      <c r="L5" s="221"/>
      <c r="M5" s="221"/>
      <c r="N5" s="221"/>
      <c r="O5" s="221"/>
      <c r="P5" s="221"/>
      <c r="Q5" s="221"/>
      <c r="R5" s="221"/>
      <c r="S5" s="221"/>
    </row>
    <row r="6" spans="1:31" ht="15.75" thickBot="1" x14ac:dyDescent="0.25">
      <c r="D6" s="220"/>
      <c r="E6" s="221"/>
      <c r="F6" s="221"/>
      <c r="G6" s="221"/>
      <c r="H6" s="221"/>
      <c r="I6" s="221"/>
      <c r="J6" s="221"/>
      <c r="K6" s="221"/>
      <c r="L6" s="221"/>
      <c r="M6" s="221"/>
      <c r="N6" s="221" t="s">
        <v>219</v>
      </c>
      <c r="O6" s="221"/>
      <c r="P6" s="221"/>
      <c r="Q6" s="221"/>
      <c r="R6" s="221"/>
      <c r="S6" s="221"/>
    </row>
    <row r="7" spans="1:31" ht="16.5" thickBot="1" x14ac:dyDescent="0.3">
      <c r="A7" s="222"/>
      <c r="B7" s="223" t="s">
        <v>0</v>
      </c>
      <c r="C7" s="224"/>
      <c r="D7" s="224"/>
      <c r="E7" s="429"/>
      <c r="F7" s="431"/>
      <c r="G7" s="429"/>
      <c r="H7" s="429"/>
      <c r="I7" s="429"/>
      <c r="J7" s="429"/>
      <c r="K7" s="429"/>
      <c r="L7" s="429"/>
      <c r="M7" s="429"/>
      <c r="N7" s="429"/>
      <c r="O7" s="429"/>
      <c r="P7" s="429"/>
      <c r="Q7" s="429"/>
      <c r="R7" s="429"/>
      <c r="S7" s="224"/>
      <c r="T7" s="224"/>
      <c r="U7" s="224"/>
      <c r="V7" s="300"/>
      <c r="W7" s="320" t="s">
        <v>0</v>
      </c>
      <c r="X7" s="224"/>
      <c r="AD7" s="1" t="s">
        <v>222</v>
      </c>
    </row>
    <row r="8" spans="1:31" ht="48" thickBot="1" x14ac:dyDescent="0.3">
      <c r="A8" s="160" t="s">
        <v>79</v>
      </c>
      <c r="B8" s="156" t="s">
        <v>3</v>
      </c>
      <c r="C8" s="107" t="s">
        <v>2</v>
      </c>
      <c r="D8" s="108" t="s">
        <v>279</v>
      </c>
      <c r="E8" s="109" t="s">
        <v>280</v>
      </c>
      <c r="F8" s="109" t="s">
        <v>278</v>
      </c>
      <c r="G8" s="219" t="s">
        <v>4</v>
      </c>
      <c r="H8" s="110" t="s">
        <v>5</v>
      </c>
      <c r="I8" s="110" t="s">
        <v>6</v>
      </c>
      <c r="J8" s="110" t="s">
        <v>7</v>
      </c>
      <c r="K8" s="110" t="s">
        <v>8</v>
      </c>
      <c r="L8" s="110" t="s">
        <v>9</v>
      </c>
      <c r="M8" s="110" t="s">
        <v>10</v>
      </c>
      <c r="N8" s="110" t="s">
        <v>11</v>
      </c>
      <c r="O8" s="110" t="s">
        <v>12</v>
      </c>
      <c r="P8" s="110" t="s">
        <v>13</v>
      </c>
      <c r="Q8" s="110" t="s">
        <v>14</v>
      </c>
      <c r="R8" s="110" t="s">
        <v>15</v>
      </c>
      <c r="S8" s="111" t="s">
        <v>16</v>
      </c>
      <c r="T8" s="112" t="s">
        <v>281</v>
      </c>
      <c r="U8" s="109" t="s">
        <v>19</v>
      </c>
      <c r="V8" s="113" t="s">
        <v>41</v>
      </c>
      <c r="W8" s="156" t="s">
        <v>3</v>
      </c>
      <c r="X8" s="107" t="s">
        <v>2</v>
      </c>
      <c r="AB8" s="301" t="s">
        <v>142</v>
      </c>
      <c r="AC8" s="301" t="s">
        <v>143</v>
      </c>
      <c r="AD8" s="301" t="s">
        <v>154</v>
      </c>
      <c r="AE8" s="301" t="s">
        <v>102</v>
      </c>
    </row>
    <row r="9" spans="1:31" x14ac:dyDescent="0.2">
      <c r="A9" s="226"/>
      <c r="B9" s="227"/>
      <c r="C9" s="228"/>
      <c r="D9" s="228"/>
      <c r="E9" s="229"/>
      <c r="F9" s="229"/>
      <c r="G9" s="229">
        <v>1</v>
      </c>
      <c r="H9" s="229"/>
      <c r="I9" s="229"/>
      <c r="J9" s="229"/>
      <c r="K9" s="229"/>
      <c r="L9" s="229"/>
      <c r="M9" s="229"/>
      <c r="N9" s="229"/>
      <c r="O9" s="229"/>
      <c r="P9" s="229"/>
      <c r="Q9" s="229"/>
      <c r="R9" s="229"/>
      <c r="S9" s="228"/>
      <c r="T9" s="230"/>
      <c r="U9" s="231"/>
      <c r="V9" s="302"/>
      <c r="W9" s="321"/>
      <c r="X9" s="228"/>
      <c r="AB9" s="388">
        <v>44208</v>
      </c>
      <c r="AC9" s="389">
        <v>2019</v>
      </c>
      <c r="AD9" s="389" t="s">
        <v>136</v>
      </c>
      <c r="AE9" s="389">
        <v>486</v>
      </c>
    </row>
    <row r="10" spans="1:31" x14ac:dyDescent="0.2">
      <c r="A10" s="234">
        <v>101639</v>
      </c>
      <c r="B10" s="234">
        <v>2017</v>
      </c>
      <c r="C10" s="234" t="s">
        <v>120</v>
      </c>
      <c r="D10" s="256">
        <v>17</v>
      </c>
      <c r="E10" s="293">
        <v>106</v>
      </c>
      <c r="F10" s="293">
        <v>0</v>
      </c>
      <c r="G10" s="236">
        <v>9</v>
      </c>
      <c r="H10" s="236">
        <v>12</v>
      </c>
      <c r="I10" s="2">
        <v>9</v>
      </c>
      <c r="J10" s="146">
        <v>7</v>
      </c>
      <c r="K10" s="146">
        <v>12</v>
      </c>
      <c r="L10" s="146">
        <v>11</v>
      </c>
      <c r="M10" s="146">
        <v>6</v>
      </c>
      <c r="N10" s="146"/>
      <c r="O10" s="146"/>
      <c r="P10" s="146"/>
      <c r="Q10" s="146"/>
      <c r="R10" s="146"/>
      <c r="S10" s="434">
        <f t="shared" ref="S10" si="0">SUM(G10:R10)</f>
        <v>66</v>
      </c>
      <c r="T10" s="345">
        <f t="shared" ref="T10" si="1">IFERROR((AVERAGE(G10:R10)),0)</f>
        <v>9.4285714285714288</v>
      </c>
      <c r="U10" s="279">
        <f t="shared" ref="U10" si="2">IFERROR((V10/T10),0)</f>
        <v>4.2424242424242422</v>
      </c>
      <c r="V10" s="236">
        <f>E10+F10-S10</f>
        <v>40</v>
      </c>
      <c r="W10" s="236">
        <v>2017</v>
      </c>
      <c r="X10" s="234" t="str">
        <f>+C10</f>
        <v>Norton</v>
      </c>
      <c r="AB10" s="388">
        <v>44208</v>
      </c>
      <c r="AC10" s="389">
        <v>2019</v>
      </c>
      <c r="AD10" s="389" t="s">
        <v>246</v>
      </c>
      <c r="AE10" s="389">
        <v>389</v>
      </c>
    </row>
    <row r="11" spans="1:31" x14ac:dyDescent="0.2">
      <c r="A11" s="226"/>
      <c r="B11" s="269" t="s">
        <v>35</v>
      </c>
      <c r="C11" s="269"/>
      <c r="D11" s="226" t="s">
        <v>35</v>
      </c>
      <c r="E11" s="272"/>
      <c r="F11" s="272"/>
      <c r="G11" s="229"/>
      <c r="H11" s="229"/>
      <c r="I11" s="229"/>
      <c r="J11" s="229"/>
      <c r="K11" s="229"/>
      <c r="L11" s="229"/>
      <c r="M11" s="229"/>
      <c r="N11" s="229"/>
      <c r="O11" s="229"/>
      <c r="P11" s="229"/>
      <c r="Q11" s="229"/>
      <c r="R11" s="229"/>
      <c r="S11" s="376"/>
      <c r="T11" s="283"/>
      <c r="U11" s="284">
        <v>0</v>
      </c>
      <c r="V11" s="271"/>
      <c r="W11" s="272"/>
      <c r="X11" s="269"/>
      <c r="AB11" s="388">
        <v>44306</v>
      </c>
      <c r="AC11" s="389">
        <v>2020</v>
      </c>
      <c r="AD11" s="389" t="s">
        <v>46</v>
      </c>
      <c r="AE11" s="389">
        <v>112</v>
      </c>
    </row>
    <row r="12" spans="1:31" x14ac:dyDescent="0.2">
      <c r="A12" s="234">
        <v>97511</v>
      </c>
      <c r="B12" s="237">
        <v>2018</v>
      </c>
      <c r="C12" s="234" t="s">
        <v>25</v>
      </c>
      <c r="D12" s="381">
        <v>22</v>
      </c>
      <c r="E12" s="293">
        <v>204</v>
      </c>
      <c r="F12" s="293">
        <v>0</v>
      </c>
      <c r="G12" s="236">
        <v>9</v>
      </c>
      <c r="H12" s="236">
        <v>22</v>
      </c>
      <c r="I12" s="2">
        <v>15</v>
      </c>
      <c r="J12" s="146">
        <v>23</v>
      </c>
      <c r="K12" s="146">
        <v>24</v>
      </c>
      <c r="L12" s="146">
        <v>22</v>
      </c>
      <c r="M12" s="146">
        <v>16</v>
      </c>
      <c r="N12" s="146"/>
      <c r="O12" s="146"/>
      <c r="P12" s="146"/>
      <c r="Q12" s="146"/>
      <c r="R12" s="146"/>
      <c r="S12" s="434">
        <f t="shared" ref="S12:S16" si="3">SUM(G12:R12)</f>
        <v>131</v>
      </c>
      <c r="T12" s="345">
        <f t="shared" ref="T12:T16" si="4">IFERROR((AVERAGE(G12:R12)),0)</f>
        <v>18.714285714285715</v>
      </c>
      <c r="U12" s="279">
        <f t="shared" ref="U12:U16" si="5">IFERROR((V12/T12),0)</f>
        <v>3.9007633587786259</v>
      </c>
      <c r="V12" s="236">
        <f>E12+F12-S12</f>
        <v>73</v>
      </c>
      <c r="W12" s="236">
        <f t="shared" ref="W12:X16" si="6">+B12</f>
        <v>2018</v>
      </c>
      <c r="X12" s="367" t="str">
        <f t="shared" si="6"/>
        <v>Chardonnay</v>
      </c>
      <c r="AB12" s="388">
        <v>44306</v>
      </c>
      <c r="AC12" s="389">
        <v>2020</v>
      </c>
      <c r="AD12" s="389" t="s">
        <v>110</v>
      </c>
      <c r="AE12" s="389">
        <v>431</v>
      </c>
    </row>
    <row r="13" spans="1:31" x14ac:dyDescent="0.2">
      <c r="A13" s="234">
        <v>101638</v>
      </c>
      <c r="B13" s="237">
        <v>2018</v>
      </c>
      <c r="C13" s="234" t="s">
        <v>26</v>
      </c>
      <c r="D13" s="380">
        <v>23</v>
      </c>
      <c r="E13" s="432">
        <v>234</v>
      </c>
      <c r="F13" s="432">
        <v>0</v>
      </c>
      <c r="G13" s="236">
        <v>5</v>
      </c>
      <c r="H13" s="236">
        <v>9</v>
      </c>
      <c r="I13" s="2">
        <v>15</v>
      </c>
      <c r="J13" s="146">
        <v>12</v>
      </c>
      <c r="K13" s="146">
        <v>12</v>
      </c>
      <c r="L13" s="146">
        <v>9</v>
      </c>
      <c r="M13" s="146">
        <v>9</v>
      </c>
      <c r="N13" s="146"/>
      <c r="O13" s="146"/>
      <c r="P13" s="146"/>
      <c r="Q13" s="146"/>
      <c r="R13" s="146"/>
      <c r="S13" s="434">
        <f>SUM(G13:R13)</f>
        <v>71</v>
      </c>
      <c r="T13" s="345">
        <f t="shared" si="4"/>
        <v>10.142857142857142</v>
      </c>
      <c r="U13" s="279">
        <f t="shared" si="5"/>
        <v>16.070422535211268</v>
      </c>
      <c r="V13" s="236">
        <f>E13+F13-S13</f>
        <v>163</v>
      </c>
      <c r="W13" s="236">
        <f t="shared" si="6"/>
        <v>2018</v>
      </c>
      <c r="X13" s="367" t="str">
        <f t="shared" si="6"/>
        <v>Merlot</v>
      </c>
      <c r="AB13" s="388">
        <v>44363</v>
      </c>
      <c r="AC13" s="389">
        <v>2020</v>
      </c>
      <c r="AD13" s="389" t="s">
        <v>31</v>
      </c>
      <c r="AE13" s="389">
        <v>396</v>
      </c>
    </row>
    <row r="14" spans="1:31" x14ac:dyDescent="0.2">
      <c r="A14" s="234">
        <v>100465</v>
      </c>
      <c r="B14" s="237">
        <v>2018</v>
      </c>
      <c r="C14" s="234" t="s">
        <v>135</v>
      </c>
      <c r="D14" s="256">
        <v>21</v>
      </c>
      <c r="E14" s="432">
        <v>188</v>
      </c>
      <c r="F14" s="432">
        <v>0</v>
      </c>
      <c r="G14" s="236">
        <v>12</v>
      </c>
      <c r="H14" s="236">
        <v>22</v>
      </c>
      <c r="I14" s="2">
        <v>27</v>
      </c>
      <c r="J14" s="146">
        <v>27</v>
      </c>
      <c r="K14" s="146">
        <v>36</v>
      </c>
      <c r="L14" s="146">
        <v>24</v>
      </c>
      <c r="M14" s="146">
        <v>17</v>
      </c>
      <c r="N14" s="146"/>
      <c r="O14" s="146"/>
      <c r="P14" s="146"/>
      <c r="Q14" s="146"/>
      <c r="R14" s="146"/>
      <c r="S14" s="434">
        <f t="shared" si="3"/>
        <v>165</v>
      </c>
      <c r="T14" s="345">
        <f t="shared" si="4"/>
        <v>23.571428571428573</v>
      </c>
      <c r="U14" s="279">
        <f t="shared" si="5"/>
        <v>0.97575757575757571</v>
      </c>
      <c r="V14" s="236">
        <f>E14+F14-S14</f>
        <v>23</v>
      </c>
      <c r="W14" s="236">
        <f t="shared" si="6"/>
        <v>2018</v>
      </c>
      <c r="X14" s="367" t="str">
        <f t="shared" si="6"/>
        <v>Meritage</v>
      </c>
      <c r="AB14" s="388">
        <v>44363</v>
      </c>
      <c r="AC14" s="389">
        <v>2020</v>
      </c>
      <c r="AD14" s="389" t="s">
        <v>192</v>
      </c>
      <c r="AE14" s="389">
        <v>247</v>
      </c>
    </row>
    <row r="15" spans="1:31" x14ac:dyDescent="0.2">
      <c r="A15" s="234">
        <v>100643</v>
      </c>
      <c r="B15" s="237">
        <v>2018</v>
      </c>
      <c r="C15" s="234" t="s">
        <v>136</v>
      </c>
      <c r="D15" s="383">
        <v>32</v>
      </c>
      <c r="E15" s="432">
        <v>138</v>
      </c>
      <c r="F15" s="432">
        <v>0</v>
      </c>
      <c r="G15" s="236">
        <v>16</v>
      </c>
      <c r="H15" s="236">
        <v>23</v>
      </c>
      <c r="I15" s="2">
        <v>33</v>
      </c>
      <c r="J15" s="146">
        <v>20</v>
      </c>
      <c r="K15" s="146">
        <v>23</v>
      </c>
      <c r="L15" s="146">
        <v>23</v>
      </c>
      <c r="M15" s="436"/>
      <c r="N15" s="436"/>
      <c r="O15" s="436"/>
      <c r="P15" s="436"/>
      <c r="Q15" s="436"/>
      <c r="R15" s="436"/>
      <c r="S15" s="434">
        <f t="shared" si="3"/>
        <v>138</v>
      </c>
      <c r="T15" s="345">
        <f t="shared" si="4"/>
        <v>23</v>
      </c>
      <c r="U15" s="279">
        <f t="shared" si="5"/>
        <v>0</v>
      </c>
      <c r="V15" s="236">
        <f>E15+F15-S15</f>
        <v>0</v>
      </c>
      <c r="W15" s="236">
        <f t="shared" si="6"/>
        <v>2018</v>
      </c>
      <c r="X15" s="367" t="str">
        <f t="shared" si="6"/>
        <v>Kings Ransom</v>
      </c>
      <c r="AB15" s="388">
        <v>44536</v>
      </c>
      <c r="AC15" s="389">
        <v>2020</v>
      </c>
      <c r="AD15" s="389" t="s">
        <v>26</v>
      </c>
      <c r="AE15" s="389">
        <v>290</v>
      </c>
    </row>
    <row r="16" spans="1:31" x14ac:dyDescent="0.2">
      <c r="A16" s="234">
        <v>116509</v>
      </c>
      <c r="B16" s="236">
        <v>2018</v>
      </c>
      <c r="C16" s="234" t="s">
        <v>150</v>
      </c>
      <c r="D16" s="256">
        <v>6</v>
      </c>
      <c r="E16" s="293">
        <v>48</v>
      </c>
      <c r="F16" s="293">
        <v>0</v>
      </c>
      <c r="G16" s="236">
        <v>2</v>
      </c>
      <c r="H16" s="236">
        <v>6</v>
      </c>
      <c r="I16" s="2">
        <v>5</v>
      </c>
      <c r="J16" s="146">
        <v>7</v>
      </c>
      <c r="K16" s="213">
        <v>10</v>
      </c>
      <c r="L16" s="213">
        <v>5</v>
      </c>
      <c r="M16" s="213">
        <v>8</v>
      </c>
      <c r="N16" s="213"/>
      <c r="O16" s="213"/>
      <c r="P16" s="213"/>
      <c r="Q16" s="213"/>
      <c r="R16" s="213"/>
      <c r="S16" s="434">
        <f t="shared" si="3"/>
        <v>43</v>
      </c>
      <c r="T16" s="345">
        <f t="shared" si="4"/>
        <v>6.1428571428571432</v>
      </c>
      <c r="U16" s="279">
        <f t="shared" si="5"/>
        <v>0.81395348837209303</v>
      </c>
      <c r="V16" s="236">
        <f>E16+F16-S16</f>
        <v>5</v>
      </c>
      <c r="W16" s="236">
        <f t="shared" si="6"/>
        <v>2018</v>
      </c>
      <c r="X16" s="234" t="str">
        <f t="shared" si="6"/>
        <v>Snort</v>
      </c>
      <c r="AB16" s="388">
        <v>44536</v>
      </c>
      <c r="AC16" s="389">
        <v>2020</v>
      </c>
      <c r="AD16" s="389" t="s">
        <v>56</v>
      </c>
      <c r="AE16" s="389">
        <v>288</v>
      </c>
    </row>
    <row r="17" spans="1:32" x14ac:dyDescent="0.2">
      <c r="A17" s="226"/>
      <c r="B17" s="269"/>
      <c r="C17" s="269"/>
      <c r="D17" s="379"/>
      <c r="E17" s="271"/>
      <c r="F17" s="271"/>
      <c r="G17" s="229"/>
      <c r="H17" s="229"/>
      <c r="I17" s="229"/>
      <c r="J17" s="229"/>
      <c r="K17" s="229"/>
      <c r="L17" s="229"/>
      <c r="M17" s="229"/>
      <c r="N17" s="229"/>
      <c r="O17" s="229"/>
      <c r="P17" s="229"/>
      <c r="Q17" s="229"/>
      <c r="R17" s="229"/>
      <c r="S17" s="281"/>
      <c r="T17" s="283"/>
      <c r="U17" s="284"/>
      <c r="V17" s="271"/>
      <c r="W17" s="271"/>
      <c r="X17" s="282"/>
      <c r="AB17" s="388">
        <v>44536</v>
      </c>
      <c r="AC17" s="389">
        <v>2020</v>
      </c>
      <c r="AD17" s="389" t="s">
        <v>131</v>
      </c>
      <c r="AE17" s="389">
        <v>427</v>
      </c>
    </row>
    <row r="18" spans="1:32" x14ac:dyDescent="0.2">
      <c r="A18" s="234">
        <v>152192</v>
      </c>
      <c r="B18" s="237">
        <v>2019</v>
      </c>
      <c r="C18" s="234" t="s">
        <v>247</v>
      </c>
      <c r="D18" s="381">
        <v>23</v>
      </c>
      <c r="E18" s="293">
        <v>9</v>
      </c>
      <c r="F18" s="293">
        <v>0</v>
      </c>
      <c r="G18" s="236">
        <v>7</v>
      </c>
      <c r="H18" s="236">
        <v>1</v>
      </c>
      <c r="I18" s="2">
        <v>1</v>
      </c>
      <c r="J18" s="146">
        <v>0</v>
      </c>
      <c r="K18" s="146">
        <v>0</v>
      </c>
      <c r="L18" s="436"/>
      <c r="M18" s="436"/>
      <c r="N18" s="436"/>
      <c r="O18" s="436"/>
      <c r="P18" s="436"/>
      <c r="Q18" s="436"/>
      <c r="R18" s="436"/>
      <c r="S18" s="434">
        <f>SUM(G18:R18)</f>
        <v>9</v>
      </c>
      <c r="T18" s="345">
        <f t="shared" ref="T18:T27" si="7">IFERROR((AVERAGE(G18:R18)),0)</f>
        <v>1.8</v>
      </c>
      <c r="U18" s="279">
        <f t="shared" ref="U18:U27" si="8">IFERROR((V18/T18),0)</f>
        <v>0</v>
      </c>
      <c r="V18" s="236">
        <f t="shared" ref="V18:V27" si="9">E18+F18-S18</f>
        <v>0</v>
      </c>
      <c r="W18" s="236">
        <f t="shared" ref="W18:X24" si="10">+B18</f>
        <v>2019</v>
      </c>
      <c r="X18" s="234" t="str">
        <f t="shared" si="10"/>
        <v>Cameo Rose (No Tax)</v>
      </c>
      <c r="AB18" s="388">
        <v>44536</v>
      </c>
      <c r="AC18" s="389">
        <v>2020</v>
      </c>
      <c r="AD18" s="389" t="s">
        <v>136</v>
      </c>
      <c r="AE18" s="389">
        <v>618</v>
      </c>
    </row>
    <row r="19" spans="1:32" x14ac:dyDescent="0.2">
      <c r="A19" s="234">
        <v>101636</v>
      </c>
      <c r="B19" s="237">
        <v>2019</v>
      </c>
      <c r="C19" s="234" t="s">
        <v>31</v>
      </c>
      <c r="D19" s="256">
        <v>22</v>
      </c>
      <c r="E19" s="293">
        <v>58</v>
      </c>
      <c r="F19" s="293">
        <v>0</v>
      </c>
      <c r="G19" s="236">
        <v>8</v>
      </c>
      <c r="H19" s="236">
        <v>16</v>
      </c>
      <c r="I19" s="2">
        <v>15</v>
      </c>
      <c r="J19" s="146">
        <v>19</v>
      </c>
      <c r="K19" s="436"/>
      <c r="L19" s="436"/>
      <c r="M19" s="436"/>
      <c r="N19" s="436"/>
      <c r="O19" s="436"/>
      <c r="P19" s="436"/>
      <c r="Q19" s="436"/>
      <c r="R19" s="436"/>
      <c r="S19" s="434">
        <f t="shared" ref="S19:S27" si="11">SUM(G19:R19)</f>
        <v>58</v>
      </c>
      <c r="T19" s="345">
        <f t="shared" si="7"/>
        <v>14.5</v>
      </c>
      <c r="U19" s="279">
        <f t="shared" si="8"/>
        <v>0</v>
      </c>
      <c r="V19" s="236">
        <f t="shared" si="9"/>
        <v>0</v>
      </c>
      <c r="W19" s="236">
        <f t="shared" si="10"/>
        <v>2019</v>
      </c>
      <c r="X19" s="367" t="str">
        <f t="shared" si="10"/>
        <v>Viognier</v>
      </c>
      <c r="AB19" s="388">
        <v>44536</v>
      </c>
      <c r="AC19" s="389">
        <v>2020</v>
      </c>
      <c r="AD19" s="389" t="s">
        <v>246</v>
      </c>
      <c r="AE19" s="389">
        <v>292</v>
      </c>
    </row>
    <row r="20" spans="1:32" ht="16.149999999999999" customHeight="1" x14ac:dyDescent="0.2">
      <c r="A20" s="234">
        <v>97511</v>
      </c>
      <c r="B20" s="237">
        <v>2019</v>
      </c>
      <c r="C20" s="234" t="s">
        <v>25</v>
      </c>
      <c r="D20" s="385">
        <v>22</v>
      </c>
      <c r="E20" s="293">
        <v>395</v>
      </c>
      <c r="F20" s="293">
        <v>0</v>
      </c>
      <c r="G20" s="246">
        <v>0</v>
      </c>
      <c r="H20" s="246">
        <v>13</v>
      </c>
      <c r="I20" s="198">
        <v>34</v>
      </c>
      <c r="J20" s="212">
        <v>12</v>
      </c>
      <c r="K20" s="212">
        <v>2</v>
      </c>
      <c r="L20" s="212">
        <v>2</v>
      </c>
      <c r="M20" s="212">
        <v>2</v>
      </c>
      <c r="N20" s="212"/>
      <c r="O20" s="212"/>
      <c r="P20" s="212"/>
      <c r="Q20" s="212"/>
      <c r="R20" s="212"/>
      <c r="S20" s="434">
        <f t="shared" si="11"/>
        <v>65</v>
      </c>
      <c r="T20" s="345">
        <f t="shared" si="7"/>
        <v>9.2857142857142865</v>
      </c>
      <c r="U20" s="279">
        <f t="shared" si="8"/>
        <v>35.538461538461533</v>
      </c>
      <c r="V20" s="236">
        <f t="shared" si="9"/>
        <v>330</v>
      </c>
      <c r="W20" s="236">
        <f t="shared" si="10"/>
        <v>2019</v>
      </c>
      <c r="X20" s="367" t="str">
        <f t="shared" si="10"/>
        <v>Chardonnay</v>
      </c>
      <c r="AB20" s="388">
        <v>44543</v>
      </c>
      <c r="AC20" s="389">
        <v>2020</v>
      </c>
      <c r="AD20" s="389" t="s">
        <v>135</v>
      </c>
      <c r="AE20" s="389">
        <v>277</v>
      </c>
    </row>
    <row r="21" spans="1:32" x14ac:dyDescent="0.2">
      <c r="A21" s="234">
        <v>137525</v>
      </c>
      <c r="B21" s="237">
        <v>2019</v>
      </c>
      <c r="C21" s="234" t="s">
        <v>192</v>
      </c>
      <c r="D21" s="385">
        <v>24</v>
      </c>
      <c r="E21" s="293">
        <v>44</v>
      </c>
      <c r="F21" s="293">
        <v>0</v>
      </c>
      <c r="G21" s="236">
        <v>8</v>
      </c>
      <c r="H21" s="236">
        <v>13</v>
      </c>
      <c r="I21" s="2">
        <v>15</v>
      </c>
      <c r="J21" s="146">
        <v>8</v>
      </c>
      <c r="K21" s="436"/>
      <c r="L21" s="436"/>
      <c r="M21" s="436"/>
      <c r="N21" s="436"/>
      <c r="O21" s="436"/>
      <c r="P21" s="436"/>
      <c r="Q21" s="436"/>
      <c r="R21" s="436"/>
      <c r="S21" s="434">
        <f t="shared" si="11"/>
        <v>44</v>
      </c>
      <c r="T21" s="345">
        <f t="shared" si="7"/>
        <v>11</v>
      </c>
      <c r="U21" s="279">
        <f t="shared" si="8"/>
        <v>0</v>
      </c>
      <c r="V21" s="236">
        <f t="shared" si="9"/>
        <v>0</v>
      </c>
      <c r="W21" s="236">
        <f t="shared" si="10"/>
        <v>2019</v>
      </c>
      <c r="X21" s="367" t="str">
        <f t="shared" si="10"/>
        <v>Celebration</v>
      </c>
      <c r="Y21" s="221" t="s">
        <v>35</v>
      </c>
      <c r="Z21" s="221" t="s">
        <v>35</v>
      </c>
      <c r="AA21" s="221" t="s">
        <v>35</v>
      </c>
      <c r="AB21" s="425"/>
      <c r="AC21" s="390"/>
      <c r="AD21" s="389"/>
      <c r="AE21" s="390"/>
    </row>
    <row r="22" spans="1:32" ht="15.75" x14ac:dyDescent="0.25">
      <c r="A22" s="234">
        <v>101638</v>
      </c>
      <c r="B22" s="237">
        <v>2019</v>
      </c>
      <c r="C22" s="234" t="s">
        <v>26</v>
      </c>
      <c r="D22" s="256">
        <v>23</v>
      </c>
      <c r="E22" s="293">
        <v>322</v>
      </c>
      <c r="F22" s="293">
        <v>0</v>
      </c>
      <c r="G22" s="246">
        <v>0</v>
      </c>
      <c r="H22" s="246">
        <v>17</v>
      </c>
      <c r="I22" s="198">
        <v>30</v>
      </c>
      <c r="J22" s="212">
        <v>10</v>
      </c>
      <c r="K22" s="212">
        <v>2</v>
      </c>
      <c r="L22" s="212">
        <v>2</v>
      </c>
      <c r="M22" s="212">
        <v>0</v>
      </c>
      <c r="N22" s="212"/>
      <c r="O22" s="212"/>
      <c r="P22" s="212"/>
      <c r="Q22" s="212"/>
      <c r="R22" s="212"/>
      <c r="S22" s="434">
        <f t="shared" si="11"/>
        <v>61</v>
      </c>
      <c r="T22" s="345">
        <f t="shared" si="7"/>
        <v>8.7142857142857135</v>
      </c>
      <c r="U22" s="279">
        <f t="shared" si="8"/>
        <v>29.95081967213115</v>
      </c>
      <c r="V22" s="236">
        <f t="shared" si="9"/>
        <v>261</v>
      </c>
      <c r="W22" s="236">
        <f t="shared" si="10"/>
        <v>2019</v>
      </c>
      <c r="X22" s="367" t="str">
        <f t="shared" si="10"/>
        <v>Merlot</v>
      </c>
      <c r="AB22" s="455" t="s">
        <v>173</v>
      </c>
      <c r="AC22" s="455"/>
      <c r="AD22" s="455"/>
      <c r="AE22" s="455"/>
      <c r="AF22" s="455"/>
    </row>
    <row r="23" spans="1:32" x14ac:dyDescent="0.2">
      <c r="A23" s="234">
        <v>100465</v>
      </c>
      <c r="B23" s="237">
        <v>2019</v>
      </c>
      <c r="C23" s="234" t="s">
        <v>135</v>
      </c>
      <c r="D23" s="256">
        <v>21</v>
      </c>
      <c r="E23" s="293">
        <v>540</v>
      </c>
      <c r="F23" s="293">
        <v>0</v>
      </c>
      <c r="G23" s="246">
        <v>7</v>
      </c>
      <c r="H23" s="246">
        <v>5</v>
      </c>
      <c r="I23" s="198">
        <v>15</v>
      </c>
      <c r="J23" s="212">
        <v>0</v>
      </c>
      <c r="K23" s="212">
        <v>0</v>
      </c>
      <c r="L23" s="212">
        <v>0</v>
      </c>
      <c r="M23" s="212">
        <v>0</v>
      </c>
      <c r="N23" s="212"/>
      <c r="O23" s="212"/>
      <c r="P23" s="212"/>
      <c r="Q23" s="212"/>
      <c r="R23" s="212"/>
      <c r="S23" s="434">
        <f t="shared" si="11"/>
        <v>27</v>
      </c>
      <c r="T23" s="345">
        <f t="shared" si="7"/>
        <v>3.8571428571428572</v>
      </c>
      <c r="U23" s="279">
        <f t="shared" si="8"/>
        <v>133</v>
      </c>
      <c r="V23" s="236">
        <f t="shared" si="9"/>
        <v>513</v>
      </c>
      <c r="W23" s="236">
        <f t="shared" si="10"/>
        <v>2019</v>
      </c>
      <c r="X23" s="367" t="str">
        <f t="shared" si="10"/>
        <v>Meritage</v>
      </c>
      <c r="Y23" s="221" t="s">
        <v>35</v>
      </c>
      <c r="Z23" s="221" t="s">
        <v>35</v>
      </c>
      <c r="AA23" s="221" t="s">
        <v>35</v>
      </c>
      <c r="AB23" s="393">
        <v>44204</v>
      </c>
      <c r="AC23" s="394" t="s">
        <v>145</v>
      </c>
      <c r="AD23" s="395" t="s">
        <v>261</v>
      </c>
      <c r="AE23" s="396">
        <v>10</v>
      </c>
      <c r="AF23" s="397" t="s">
        <v>102</v>
      </c>
    </row>
    <row r="24" spans="1:32" x14ac:dyDescent="0.2">
      <c r="A24" s="234">
        <v>102768</v>
      </c>
      <c r="B24" s="237">
        <v>2019</v>
      </c>
      <c r="C24" s="234" t="s">
        <v>131</v>
      </c>
      <c r="D24" s="256">
        <v>14</v>
      </c>
      <c r="E24" s="293">
        <v>360</v>
      </c>
      <c r="F24" s="293">
        <v>0</v>
      </c>
      <c r="G24" s="236">
        <v>12</v>
      </c>
      <c r="H24" s="236">
        <v>28</v>
      </c>
      <c r="I24" s="2">
        <v>60</v>
      </c>
      <c r="J24" s="146">
        <v>25</v>
      </c>
      <c r="K24" s="146">
        <v>27</v>
      </c>
      <c r="L24" s="146">
        <v>20</v>
      </c>
      <c r="M24" s="146">
        <v>13</v>
      </c>
      <c r="N24" s="146"/>
      <c r="O24" s="146"/>
      <c r="P24" s="146"/>
      <c r="Q24" s="146"/>
      <c r="R24" s="146"/>
      <c r="S24" s="434">
        <f t="shared" si="11"/>
        <v>185</v>
      </c>
      <c r="T24" s="345">
        <f t="shared" si="7"/>
        <v>26.428571428571427</v>
      </c>
      <c r="U24" s="279">
        <f t="shared" si="8"/>
        <v>6.6216216216216219</v>
      </c>
      <c r="V24" s="236">
        <f t="shared" si="9"/>
        <v>175</v>
      </c>
      <c r="W24" s="236">
        <f t="shared" si="10"/>
        <v>2019</v>
      </c>
      <c r="X24" s="367" t="str">
        <f t="shared" si="10"/>
        <v>Tannat</v>
      </c>
      <c r="Y24" s="221" t="s">
        <v>35</v>
      </c>
      <c r="Z24" s="221" t="s">
        <v>35</v>
      </c>
      <c r="AA24" s="221" t="s">
        <v>35</v>
      </c>
      <c r="AB24" s="393">
        <v>44350</v>
      </c>
      <c r="AC24" s="394" t="s">
        <v>145</v>
      </c>
      <c r="AD24" s="395" t="s">
        <v>261</v>
      </c>
      <c r="AE24" s="396">
        <v>10</v>
      </c>
      <c r="AF24" s="397" t="s">
        <v>102</v>
      </c>
    </row>
    <row r="25" spans="1:32" x14ac:dyDescent="0.2">
      <c r="A25" s="234">
        <v>163411</v>
      </c>
      <c r="B25" s="237">
        <v>2019</v>
      </c>
      <c r="C25" s="234" t="s">
        <v>24</v>
      </c>
      <c r="D25" s="256">
        <v>14</v>
      </c>
      <c r="E25" s="293">
        <v>19</v>
      </c>
      <c r="F25" s="293">
        <v>0</v>
      </c>
      <c r="G25" s="236">
        <v>2</v>
      </c>
      <c r="H25" s="236">
        <v>7</v>
      </c>
      <c r="I25" s="2">
        <v>8</v>
      </c>
      <c r="J25" s="146">
        <v>2</v>
      </c>
      <c r="K25" s="436"/>
      <c r="L25" s="436"/>
      <c r="M25" s="436"/>
      <c r="N25" s="436"/>
      <c r="O25" s="436"/>
      <c r="P25" s="436"/>
      <c r="Q25" s="436"/>
      <c r="R25" s="436"/>
      <c r="S25" s="434">
        <f t="shared" ref="S25" si="12">SUM(G25:R25)</f>
        <v>19</v>
      </c>
      <c r="T25" s="345">
        <f t="shared" si="7"/>
        <v>4.75</v>
      </c>
      <c r="U25" s="279">
        <f t="shared" si="8"/>
        <v>0</v>
      </c>
      <c r="V25" s="236">
        <f t="shared" si="9"/>
        <v>0</v>
      </c>
      <c r="W25" s="236">
        <v>2019</v>
      </c>
      <c r="X25" s="367" t="str">
        <f>+C25</f>
        <v>Cab Sauv</v>
      </c>
      <c r="Y25" s="221" t="s">
        <v>35</v>
      </c>
      <c r="Z25" s="221" t="s">
        <v>35</v>
      </c>
      <c r="AA25" s="221" t="s">
        <v>35</v>
      </c>
      <c r="AB25" s="393">
        <v>44364</v>
      </c>
      <c r="AC25" s="394">
        <v>2020</v>
      </c>
      <c r="AD25" s="395" t="s">
        <v>270</v>
      </c>
      <c r="AE25" s="396">
        <v>40</v>
      </c>
      <c r="AF25" s="397" t="s">
        <v>273</v>
      </c>
    </row>
    <row r="26" spans="1:32" x14ac:dyDescent="0.2">
      <c r="A26" s="234">
        <v>163699</v>
      </c>
      <c r="B26" s="237">
        <v>2019</v>
      </c>
      <c r="C26" s="234" t="s">
        <v>256</v>
      </c>
      <c r="D26" s="256">
        <v>45</v>
      </c>
      <c r="E26" s="293">
        <v>237</v>
      </c>
      <c r="F26" s="293">
        <v>0</v>
      </c>
      <c r="G26" s="236">
        <v>8</v>
      </c>
      <c r="H26" s="236">
        <v>12</v>
      </c>
      <c r="I26" s="2">
        <v>18</v>
      </c>
      <c r="J26" s="146">
        <v>9</v>
      </c>
      <c r="K26" s="146">
        <v>16</v>
      </c>
      <c r="L26" s="146">
        <v>11</v>
      </c>
      <c r="M26" s="146">
        <v>10</v>
      </c>
      <c r="N26" s="146"/>
      <c r="O26" s="146"/>
      <c r="P26" s="146"/>
      <c r="Q26" s="146"/>
      <c r="R26" s="146"/>
      <c r="S26" s="434">
        <f t="shared" ref="S26" si="13">SUM(G26:R26)</f>
        <v>84</v>
      </c>
      <c r="T26" s="345">
        <f t="shared" si="7"/>
        <v>12</v>
      </c>
      <c r="U26" s="279">
        <f t="shared" si="8"/>
        <v>12.75</v>
      </c>
      <c r="V26" s="236">
        <f t="shared" si="9"/>
        <v>153</v>
      </c>
      <c r="W26" s="236">
        <f t="shared" ref="W26" si="14">+B26</f>
        <v>2019</v>
      </c>
      <c r="X26" s="367" t="str">
        <f>+C26</f>
        <v>Effingham Reserve</v>
      </c>
      <c r="Y26" s="221" t="s">
        <v>35</v>
      </c>
      <c r="Z26" s="221" t="s">
        <v>35</v>
      </c>
      <c r="AA26" s="221" t="s">
        <v>35</v>
      </c>
      <c r="AB26" s="393">
        <v>44364</v>
      </c>
      <c r="AC26" s="394">
        <v>2020</v>
      </c>
      <c r="AD26" s="395" t="s">
        <v>270</v>
      </c>
      <c r="AE26" s="396">
        <v>191</v>
      </c>
      <c r="AF26" s="397" t="s">
        <v>102</v>
      </c>
    </row>
    <row r="27" spans="1:32" x14ac:dyDescent="0.2">
      <c r="A27" s="234">
        <v>100643</v>
      </c>
      <c r="B27" s="237">
        <v>2019</v>
      </c>
      <c r="C27" s="234" t="s">
        <v>136</v>
      </c>
      <c r="D27" s="256">
        <v>32</v>
      </c>
      <c r="E27" s="293">
        <v>449</v>
      </c>
      <c r="F27" s="293">
        <v>0</v>
      </c>
      <c r="G27" s="246">
        <v>2</v>
      </c>
      <c r="H27" s="246">
        <v>0</v>
      </c>
      <c r="I27" s="198">
        <v>0</v>
      </c>
      <c r="J27" s="212">
        <v>0</v>
      </c>
      <c r="K27" s="212">
        <v>7</v>
      </c>
      <c r="L27" s="213">
        <v>58</v>
      </c>
      <c r="M27" s="213">
        <v>31</v>
      </c>
      <c r="N27" s="213"/>
      <c r="O27" s="213"/>
      <c r="P27" s="213"/>
      <c r="Q27" s="213"/>
      <c r="R27" s="213"/>
      <c r="S27" s="434">
        <f t="shared" si="11"/>
        <v>98</v>
      </c>
      <c r="T27" s="345">
        <f t="shared" si="7"/>
        <v>14</v>
      </c>
      <c r="U27" s="279">
        <f t="shared" si="8"/>
        <v>25.071428571428573</v>
      </c>
      <c r="V27" s="236">
        <f t="shared" si="9"/>
        <v>351</v>
      </c>
      <c r="W27" s="236">
        <f>+B27</f>
        <v>2019</v>
      </c>
      <c r="X27" s="367" t="str">
        <f>+C27</f>
        <v>Kings Ransom</v>
      </c>
      <c r="Y27" s="221" t="s">
        <v>35</v>
      </c>
      <c r="Z27" s="221" t="s">
        <v>35</v>
      </c>
      <c r="AA27" s="221" t="s">
        <v>35</v>
      </c>
      <c r="AB27" s="393">
        <v>44475</v>
      </c>
      <c r="AC27" s="394">
        <v>2021</v>
      </c>
      <c r="AD27" s="395" t="s">
        <v>274</v>
      </c>
      <c r="AE27" s="396">
        <v>605</v>
      </c>
      <c r="AF27" s="397" t="s">
        <v>104</v>
      </c>
    </row>
    <row r="28" spans="1:32" x14ac:dyDescent="0.2">
      <c r="A28" s="226"/>
      <c r="B28" s="269"/>
      <c r="C28" s="269"/>
      <c r="D28" s="379"/>
      <c r="E28" s="271"/>
      <c r="F28" s="271"/>
      <c r="G28" s="229"/>
      <c r="H28" s="229"/>
      <c r="I28" s="229"/>
      <c r="J28" s="229"/>
      <c r="K28" s="229"/>
      <c r="L28" s="229"/>
      <c r="M28" s="229"/>
      <c r="N28" s="229"/>
      <c r="O28" s="229"/>
      <c r="P28" s="229"/>
      <c r="Q28" s="229"/>
      <c r="R28" s="229"/>
      <c r="S28" s="281"/>
      <c r="T28" s="283"/>
      <c r="U28" s="284"/>
      <c r="V28" s="271"/>
      <c r="W28" s="271"/>
      <c r="X28" s="282"/>
      <c r="Y28" s="221" t="s">
        <v>35</v>
      </c>
      <c r="Z28" s="221" t="s">
        <v>282</v>
      </c>
      <c r="AA28" s="221" t="s">
        <v>35</v>
      </c>
      <c r="AB28" s="393">
        <v>44481</v>
      </c>
      <c r="AC28" s="394">
        <v>2021</v>
      </c>
      <c r="AD28" s="395" t="s">
        <v>275</v>
      </c>
      <c r="AE28" s="396">
        <v>30</v>
      </c>
      <c r="AF28" s="397" t="s">
        <v>104</v>
      </c>
    </row>
    <row r="29" spans="1:32" x14ac:dyDescent="0.2">
      <c r="A29" s="234">
        <v>100464</v>
      </c>
      <c r="B29" s="237">
        <v>2020</v>
      </c>
      <c r="C29" s="234" t="s">
        <v>110</v>
      </c>
      <c r="D29" s="381">
        <v>23</v>
      </c>
      <c r="E29" s="293">
        <v>209</v>
      </c>
      <c r="F29" s="293">
        <v>0</v>
      </c>
      <c r="G29" s="236">
        <v>7</v>
      </c>
      <c r="H29" s="236">
        <v>10</v>
      </c>
      <c r="I29" s="2">
        <v>20</v>
      </c>
      <c r="J29" s="146">
        <v>13</v>
      </c>
      <c r="K29" s="146">
        <v>55</v>
      </c>
      <c r="L29" s="146">
        <v>86</v>
      </c>
      <c r="M29" s="146">
        <v>18</v>
      </c>
      <c r="N29" s="436"/>
      <c r="O29" s="436"/>
      <c r="P29" s="436"/>
      <c r="Q29" s="436"/>
      <c r="R29" s="436"/>
      <c r="S29" s="434">
        <f t="shared" ref="S29" si="15">SUM(G29:R29)</f>
        <v>209</v>
      </c>
      <c r="T29" s="345">
        <f t="shared" ref="T29:T40" si="16">IFERROR((AVERAGE(G29:R29)),0)</f>
        <v>29.857142857142858</v>
      </c>
      <c r="U29" s="279">
        <f t="shared" ref="U29:U61" si="17">IFERROR((V29/T29),0)</f>
        <v>0</v>
      </c>
      <c r="V29" s="236">
        <f t="shared" ref="V29:V40" si="18">E29+F29-S29</f>
        <v>0</v>
      </c>
      <c r="W29" s="236">
        <v>2020</v>
      </c>
      <c r="X29" s="234" t="s">
        <v>110</v>
      </c>
      <c r="Y29" s="221" t="s">
        <v>35</v>
      </c>
      <c r="Z29" s="221" t="s">
        <v>35</v>
      </c>
      <c r="AA29" s="221" t="s">
        <v>35</v>
      </c>
      <c r="AB29" s="393">
        <v>44481</v>
      </c>
      <c r="AC29" s="394">
        <v>2021</v>
      </c>
      <c r="AD29" s="395" t="s">
        <v>275</v>
      </c>
      <c r="AE29" s="396">
        <v>30</v>
      </c>
      <c r="AF29" s="397" t="s">
        <v>104</v>
      </c>
    </row>
    <row r="30" spans="1:32" x14ac:dyDescent="0.2">
      <c r="A30" s="234">
        <v>101636</v>
      </c>
      <c r="B30" s="237">
        <v>2020</v>
      </c>
      <c r="C30" s="234" t="s">
        <v>31</v>
      </c>
      <c r="D30" s="256">
        <v>22</v>
      </c>
      <c r="E30" s="293">
        <v>392</v>
      </c>
      <c r="F30" s="293">
        <v>0</v>
      </c>
      <c r="G30" s="246">
        <v>0</v>
      </c>
      <c r="H30" s="246">
        <v>0</v>
      </c>
      <c r="I30" s="246">
        <v>0</v>
      </c>
      <c r="J30" s="237">
        <v>7</v>
      </c>
      <c r="K30" s="237">
        <v>17</v>
      </c>
      <c r="L30" s="237">
        <v>21</v>
      </c>
      <c r="M30" s="237">
        <v>15</v>
      </c>
      <c r="N30" s="237"/>
      <c r="O30" s="237"/>
      <c r="P30" s="237"/>
      <c r="Q30" s="237"/>
      <c r="R30" s="237"/>
      <c r="S30" s="434">
        <f t="shared" ref="S30:S32" si="19">SUM(G30:R30)</f>
        <v>60</v>
      </c>
      <c r="T30" s="345">
        <f t="shared" si="16"/>
        <v>8.5714285714285712</v>
      </c>
      <c r="U30" s="279">
        <f t="shared" si="17"/>
        <v>38.733333333333334</v>
      </c>
      <c r="V30" s="236">
        <f t="shared" si="18"/>
        <v>332</v>
      </c>
      <c r="W30" s="236">
        <f t="shared" ref="W30:X36" si="20">+B30</f>
        <v>2020</v>
      </c>
      <c r="X30" s="367" t="str">
        <f t="shared" si="20"/>
        <v>Viognier</v>
      </c>
      <c r="Y30" s="221" t="s">
        <v>35</v>
      </c>
      <c r="Z30" s="221" t="s">
        <v>35</v>
      </c>
      <c r="AA30" s="221" t="s">
        <v>35</v>
      </c>
      <c r="AB30" s="393">
        <v>44487</v>
      </c>
      <c r="AC30" s="394">
        <v>2021</v>
      </c>
      <c r="AD30" s="395" t="s">
        <v>271</v>
      </c>
      <c r="AE30" s="396">
        <v>660</v>
      </c>
      <c r="AF30" s="397" t="s">
        <v>104</v>
      </c>
    </row>
    <row r="31" spans="1:32" x14ac:dyDescent="0.2">
      <c r="A31" s="234">
        <v>97511</v>
      </c>
      <c r="B31" s="237">
        <v>2020</v>
      </c>
      <c r="C31" s="234" t="s">
        <v>25</v>
      </c>
      <c r="D31" s="385">
        <v>22</v>
      </c>
      <c r="E31" s="293">
        <v>0</v>
      </c>
      <c r="F31" s="293">
        <v>0</v>
      </c>
      <c r="G31" s="246"/>
      <c r="H31" s="246"/>
      <c r="I31" s="246"/>
      <c r="J31" s="246"/>
      <c r="K31" s="246"/>
      <c r="L31" s="246"/>
      <c r="M31" s="246"/>
      <c r="N31" s="246"/>
      <c r="O31" s="246"/>
      <c r="P31" s="246"/>
      <c r="Q31" s="246"/>
      <c r="R31" s="246"/>
      <c r="S31" s="434">
        <f t="shared" si="19"/>
        <v>0</v>
      </c>
      <c r="T31" s="345">
        <f t="shared" si="16"/>
        <v>0</v>
      </c>
      <c r="U31" s="279">
        <f t="shared" si="17"/>
        <v>0</v>
      </c>
      <c r="V31" s="236">
        <f t="shared" si="18"/>
        <v>0</v>
      </c>
      <c r="W31" s="236">
        <f t="shared" si="20"/>
        <v>2020</v>
      </c>
      <c r="X31" s="367" t="str">
        <f t="shared" si="20"/>
        <v>Chardonnay</v>
      </c>
      <c r="Y31" s="221" t="s">
        <v>35</v>
      </c>
      <c r="Z31" s="221" t="s">
        <v>35</v>
      </c>
      <c r="AA31" s="221" t="s">
        <v>35</v>
      </c>
      <c r="AB31" s="393">
        <v>44505</v>
      </c>
      <c r="AC31" s="394">
        <v>2021</v>
      </c>
      <c r="AD31" s="395" t="s">
        <v>274</v>
      </c>
      <c r="AE31" s="396">
        <v>330</v>
      </c>
      <c r="AF31" s="397" t="s">
        <v>104</v>
      </c>
    </row>
    <row r="32" spans="1:32" ht="16.149999999999999" customHeight="1" x14ac:dyDescent="0.2">
      <c r="A32" s="234">
        <v>137525</v>
      </c>
      <c r="B32" s="237">
        <v>2020</v>
      </c>
      <c r="C32" s="234" t="s">
        <v>192</v>
      </c>
      <c r="D32" s="385">
        <v>24</v>
      </c>
      <c r="E32" s="293">
        <v>235</v>
      </c>
      <c r="F32" s="293">
        <v>0</v>
      </c>
      <c r="G32" s="246">
        <v>1</v>
      </c>
      <c r="H32" s="246">
        <v>0</v>
      </c>
      <c r="I32" s="246">
        <v>0</v>
      </c>
      <c r="J32" s="237">
        <v>30</v>
      </c>
      <c r="K32" s="237">
        <v>26</v>
      </c>
      <c r="L32" s="237">
        <v>36</v>
      </c>
      <c r="M32" s="237">
        <v>23</v>
      </c>
      <c r="N32" s="237"/>
      <c r="O32" s="237"/>
      <c r="P32" s="237"/>
      <c r="Q32" s="237"/>
      <c r="R32" s="237"/>
      <c r="S32" s="434">
        <f t="shared" si="19"/>
        <v>116</v>
      </c>
      <c r="T32" s="345">
        <f t="shared" si="16"/>
        <v>16.571428571428573</v>
      </c>
      <c r="U32" s="279">
        <f t="shared" si="17"/>
        <v>7.1810344827586201</v>
      </c>
      <c r="V32" s="236">
        <f t="shared" si="18"/>
        <v>119</v>
      </c>
      <c r="W32" s="236">
        <f t="shared" si="20"/>
        <v>2020</v>
      </c>
      <c r="X32" s="367" t="str">
        <f t="shared" si="20"/>
        <v>Celebration</v>
      </c>
      <c r="AA32" s="221" t="s">
        <v>35</v>
      </c>
      <c r="AB32" s="393">
        <v>44505</v>
      </c>
      <c r="AC32" s="394">
        <v>2021</v>
      </c>
      <c r="AD32" s="395" t="s">
        <v>272</v>
      </c>
      <c r="AE32" s="396">
        <v>935</v>
      </c>
      <c r="AF32" s="397" t="s">
        <v>104</v>
      </c>
    </row>
    <row r="33" spans="1:32" x14ac:dyDescent="0.2">
      <c r="A33" s="234">
        <v>137525</v>
      </c>
      <c r="B33" s="237">
        <v>2020</v>
      </c>
      <c r="C33" s="234" t="s">
        <v>262</v>
      </c>
      <c r="D33" s="385"/>
      <c r="E33" s="293">
        <v>0</v>
      </c>
      <c r="F33" s="293">
        <v>0</v>
      </c>
      <c r="G33" s="246"/>
      <c r="H33" s="246"/>
      <c r="I33" s="246"/>
      <c r="J33" s="246"/>
      <c r="K33" s="246"/>
      <c r="L33" s="246"/>
      <c r="M33" s="246"/>
      <c r="N33" s="246"/>
      <c r="O33" s="246"/>
      <c r="P33" s="246"/>
      <c r="Q33" s="246"/>
      <c r="R33" s="246"/>
      <c r="S33" s="434">
        <f>SUM(G33:R33)</f>
        <v>0</v>
      </c>
      <c r="T33" s="345">
        <f t="shared" si="16"/>
        <v>0</v>
      </c>
      <c r="U33" s="279">
        <f t="shared" si="17"/>
        <v>0</v>
      </c>
      <c r="V33" s="236">
        <f t="shared" si="18"/>
        <v>0</v>
      </c>
      <c r="W33" s="236">
        <f t="shared" si="20"/>
        <v>2020</v>
      </c>
      <c r="X33" s="367" t="str">
        <f t="shared" si="20"/>
        <v>Celebration 1.5L</v>
      </c>
      <c r="Y33" s="221" t="s">
        <v>35</v>
      </c>
      <c r="AA33" s="221" t="s">
        <v>35</v>
      </c>
      <c r="AB33" s="393">
        <v>44512</v>
      </c>
      <c r="AC33" s="394">
        <v>2019</v>
      </c>
      <c r="AD33" s="395" t="s">
        <v>237</v>
      </c>
      <c r="AE33" s="396">
        <v>56</v>
      </c>
      <c r="AF33" s="397" t="s">
        <v>102</v>
      </c>
    </row>
    <row r="34" spans="1:32" x14ac:dyDescent="0.2">
      <c r="A34" s="234">
        <v>101638</v>
      </c>
      <c r="B34" s="237">
        <v>2020</v>
      </c>
      <c r="C34" s="234" t="s">
        <v>26</v>
      </c>
      <c r="D34" s="256">
        <v>23</v>
      </c>
      <c r="E34" s="293">
        <v>284</v>
      </c>
      <c r="F34" s="293">
        <v>0</v>
      </c>
      <c r="G34" s="246">
        <v>4</v>
      </c>
      <c r="H34" s="246">
        <v>3</v>
      </c>
      <c r="I34" s="246">
        <v>0</v>
      </c>
      <c r="J34" s="246">
        <v>0</v>
      </c>
      <c r="K34" s="246">
        <v>0</v>
      </c>
      <c r="L34" s="246">
        <v>0</v>
      </c>
      <c r="M34" s="246">
        <v>0</v>
      </c>
      <c r="N34" s="246"/>
      <c r="O34" s="246"/>
      <c r="P34" s="246"/>
      <c r="Q34" s="246"/>
      <c r="R34" s="246"/>
      <c r="S34" s="434">
        <f t="shared" ref="S34:S37" si="21">SUM(G34:R34)</f>
        <v>7</v>
      </c>
      <c r="T34" s="345">
        <f t="shared" si="16"/>
        <v>1</v>
      </c>
      <c r="U34" s="279">
        <f t="shared" si="17"/>
        <v>277</v>
      </c>
      <c r="V34" s="236">
        <f t="shared" si="18"/>
        <v>277</v>
      </c>
      <c r="W34" s="236">
        <f t="shared" si="20"/>
        <v>2020</v>
      </c>
      <c r="X34" s="367" t="str">
        <f t="shared" si="20"/>
        <v>Merlot</v>
      </c>
      <c r="Y34" s="221" t="s">
        <v>282</v>
      </c>
      <c r="AA34" s="221" t="s">
        <v>35</v>
      </c>
      <c r="AB34" s="393">
        <v>44516</v>
      </c>
      <c r="AC34" s="394">
        <v>2021</v>
      </c>
      <c r="AD34" s="395" t="s">
        <v>274</v>
      </c>
      <c r="AE34" s="396">
        <v>330</v>
      </c>
      <c r="AF34" s="397" t="s">
        <v>104</v>
      </c>
    </row>
    <row r="35" spans="1:32" x14ac:dyDescent="0.2">
      <c r="A35" s="234">
        <v>100465</v>
      </c>
      <c r="B35" s="237">
        <v>2020</v>
      </c>
      <c r="C35" s="234" t="s">
        <v>135</v>
      </c>
      <c r="D35" s="256">
        <v>21</v>
      </c>
      <c r="E35" s="293">
        <v>272</v>
      </c>
      <c r="F35" s="293">
        <v>0</v>
      </c>
      <c r="G35" s="246">
        <v>9</v>
      </c>
      <c r="H35" s="246">
        <v>1</v>
      </c>
      <c r="I35" s="246"/>
      <c r="J35" s="246">
        <v>0</v>
      </c>
      <c r="K35" s="246">
        <v>0</v>
      </c>
      <c r="L35" s="246">
        <v>0</v>
      </c>
      <c r="M35" s="246">
        <v>0</v>
      </c>
      <c r="N35" s="246"/>
      <c r="O35" s="246"/>
      <c r="P35" s="246"/>
      <c r="Q35" s="246"/>
      <c r="R35" s="246"/>
      <c r="S35" s="434">
        <f t="shared" si="21"/>
        <v>10</v>
      </c>
      <c r="T35" s="345">
        <f t="shared" si="16"/>
        <v>1.6666666666666667</v>
      </c>
      <c r="U35" s="279">
        <f t="shared" si="17"/>
        <v>157.19999999999999</v>
      </c>
      <c r="V35" s="236">
        <f t="shared" si="18"/>
        <v>262</v>
      </c>
      <c r="W35" s="236">
        <f t="shared" si="20"/>
        <v>2020</v>
      </c>
      <c r="X35" s="367" t="str">
        <f t="shared" si="20"/>
        <v>Meritage</v>
      </c>
      <c r="Y35" s="221" t="s">
        <v>35</v>
      </c>
      <c r="Z35" s="221" t="s">
        <v>35</v>
      </c>
      <c r="AA35" s="221" t="s">
        <v>35</v>
      </c>
      <c r="AB35" s="393">
        <v>44517</v>
      </c>
      <c r="AC35" s="394">
        <v>2021</v>
      </c>
      <c r="AD35" s="395" t="s">
        <v>275</v>
      </c>
      <c r="AE35" s="396">
        <v>550</v>
      </c>
      <c r="AF35" s="397" t="s">
        <v>104</v>
      </c>
    </row>
    <row r="36" spans="1:32" x14ac:dyDescent="0.2">
      <c r="A36" s="234">
        <v>102768</v>
      </c>
      <c r="B36" s="237">
        <v>2020</v>
      </c>
      <c r="C36" s="234" t="s">
        <v>131</v>
      </c>
      <c r="D36" s="256">
        <v>14</v>
      </c>
      <c r="E36" s="293">
        <v>419</v>
      </c>
      <c r="F36" s="293">
        <v>0</v>
      </c>
      <c r="G36" s="246">
        <v>7</v>
      </c>
      <c r="H36" s="246">
        <v>0</v>
      </c>
      <c r="I36" s="246">
        <v>0</v>
      </c>
      <c r="J36" s="246">
        <v>0</v>
      </c>
      <c r="K36" s="246">
        <v>3</v>
      </c>
      <c r="L36" s="246">
        <v>0</v>
      </c>
      <c r="M36" s="246">
        <v>0</v>
      </c>
      <c r="N36" s="246"/>
      <c r="O36" s="246"/>
      <c r="P36" s="246"/>
      <c r="Q36" s="246"/>
      <c r="R36" s="246"/>
      <c r="S36" s="434">
        <f t="shared" si="21"/>
        <v>10</v>
      </c>
      <c r="T36" s="345">
        <f t="shared" si="16"/>
        <v>1.4285714285714286</v>
      </c>
      <c r="U36" s="279">
        <f t="shared" si="17"/>
        <v>286.3</v>
      </c>
      <c r="V36" s="236">
        <f t="shared" si="18"/>
        <v>409</v>
      </c>
      <c r="W36" s="236">
        <f t="shared" si="20"/>
        <v>2020</v>
      </c>
      <c r="X36" s="367" t="str">
        <f t="shared" si="20"/>
        <v>Tannat</v>
      </c>
      <c r="Z36" s="221" t="s">
        <v>35</v>
      </c>
      <c r="AB36" s="393">
        <v>44517</v>
      </c>
      <c r="AC36" s="394">
        <v>2021</v>
      </c>
      <c r="AD36" s="395" t="s">
        <v>271</v>
      </c>
      <c r="AE36" s="396">
        <v>330</v>
      </c>
      <c r="AF36" s="397" t="s">
        <v>104</v>
      </c>
    </row>
    <row r="37" spans="1:32" x14ac:dyDescent="0.2">
      <c r="A37" s="386">
        <v>179590</v>
      </c>
      <c r="B37" s="237">
        <v>2020</v>
      </c>
      <c r="C37" s="234" t="s">
        <v>56</v>
      </c>
      <c r="D37" s="256">
        <v>0</v>
      </c>
      <c r="E37" s="293">
        <v>272</v>
      </c>
      <c r="F37" s="293">
        <v>0</v>
      </c>
      <c r="G37" s="246">
        <v>17</v>
      </c>
      <c r="H37" s="246">
        <v>10</v>
      </c>
      <c r="I37" s="246">
        <v>0</v>
      </c>
      <c r="J37" s="246">
        <v>9</v>
      </c>
      <c r="K37" s="246">
        <v>2</v>
      </c>
      <c r="L37" s="246">
        <v>8</v>
      </c>
      <c r="M37" s="246">
        <v>4</v>
      </c>
      <c r="N37" s="246"/>
      <c r="O37" s="246"/>
      <c r="P37" s="246"/>
      <c r="Q37" s="246"/>
      <c r="R37" s="246"/>
      <c r="S37" s="434">
        <f t="shared" si="21"/>
        <v>50</v>
      </c>
      <c r="T37" s="345">
        <f t="shared" si="16"/>
        <v>7.1428571428571432</v>
      </c>
      <c r="U37" s="279">
        <f t="shared" si="17"/>
        <v>31.08</v>
      </c>
      <c r="V37" s="236">
        <f t="shared" si="18"/>
        <v>222</v>
      </c>
      <c r="W37" s="236">
        <v>2019</v>
      </c>
      <c r="X37" s="367" t="str">
        <f>+C37</f>
        <v>Petit Verdot</v>
      </c>
      <c r="Z37" s="221" t="s">
        <v>35</v>
      </c>
      <c r="AB37" s="393">
        <v>44517</v>
      </c>
      <c r="AC37" s="394">
        <v>2021</v>
      </c>
      <c r="AD37" s="395" t="s">
        <v>276</v>
      </c>
      <c r="AE37" s="396">
        <v>330</v>
      </c>
      <c r="AF37" s="397" t="s">
        <v>104</v>
      </c>
    </row>
    <row r="38" spans="1:32" x14ac:dyDescent="0.2">
      <c r="A38" s="234">
        <v>163699</v>
      </c>
      <c r="B38" s="237">
        <v>2020</v>
      </c>
      <c r="C38" s="234" t="s">
        <v>246</v>
      </c>
      <c r="D38" s="256">
        <v>45</v>
      </c>
      <c r="E38" s="293">
        <v>292</v>
      </c>
      <c r="F38" s="293">
        <v>0</v>
      </c>
      <c r="G38" s="246">
        <v>0</v>
      </c>
      <c r="H38" s="246">
        <v>0</v>
      </c>
      <c r="I38" s="246">
        <v>0</v>
      </c>
      <c r="J38" s="246">
        <v>0</v>
      </c>
      <c r="K38" s="246">
        <v>0</v>
      </c>
      <c r="L38" s="246">
        <v>0</v>
      </c>
      <c r="M38" s="246">
        <v>0</v>
      </c>
      <c r="N38" s="246"/>
      <c r="O38" s="246"/>
      <c r="P38" s="246"/>
      <c r="Q38" s="246"/>
      <c r="R38" s="246"/>
      <c r="S38" s="434">
        <f t="shared" ref="S38:S39" si="22">SUM(G38:R38)</f>
        <v>0</v>
      </c>
      <c r="T38" s="345">
        <f t="shared" si="16"/>
        <v>0</v>
      </c>
      <c r="U38" s="279">
        <f t="shared" si="17"/>
        <v>0</v>
      </c>
      <c r="V38" s="236">
        <f t="shared" si="18"/>
        <v>292</v>
      </c>
      <c r="W38" s="236">
        <f t="shared" ref="W38:W39" si="23">+B38</f>
        <v>2020</v>
      </c>
      <c r="X38" s="367" t="str">
        <f>+C38</f>
        <v>Reserve</v>
      </c>
      <c r="AB38" s="393">
        <v>44517</v>
      </c>
      <c r="AC38" s="394">
        <v>2021</v>
      </c>
      <c r="AD38" s="395" t="s">
        <v>276</v>
      </c>
      <c r="AE38" s="396">
        <v>275</v>
      </c>
      <c r="AF38" s="397" t="s">
        <v>104</v>
      </c>
    </row>
    <row r="39" spans="1:32" x14ac:dyDescent="0.2">
      <c r="A39" s="234">
        <v>100643</v>
      </c>
      <c r="B39" s="237">
        <v>2020</v>
      </c>
      <c r="C39" s="234" t="s">
        <v>136</v>
      </c>
      <c r="D39" s="256">
        <v>32</v>
      </c>
      <c r="E39" s="293">
        <v>618</v>
      </c>
      <c r="F39" s="293">
        <v>0</v>
      </c>
      <c r="G39" s="246">
        <v>12</v>
      </c>
      <c r="H39" s="246">
        <v>3</v>
      </c>
      <c r="I39" s="246">
        <v>0</v>
      </c>
      <c r="J39" s="246">
        <v>0</v>
      </c>
      <c r="K39" s="246">
        <v>0</v>
      </c>
      <c r="L39" s="246">
        <v>1</v>
      </c>
      <c r="M39" s="246">
        <v>4</v>
      </c>
      <c r="N39" s="246"/>
      <c r="O39" s="246"/>
      <c r="P39" s="246"/>
      <c r="Q39" s="246"/>
      <c r="R39" s="246"/>
      <c r="S39" s="434">
        <f t="shared" si="22"/>
        <v>20</v>
      </c>
      <c r="T39" s="345">
        <f t="shared" si="16"/>
        <v>2.8571428571428572</v>
      </c>
      <c r="U39" s="279">
        <f t="shared" si="17"/>
        <v>209.29999999999998</v>
      </c>
      <c r="V39" s="236">
        <f t="shared" si="18"/>
        <v>598</v>
      </c>
      <c r="W39" s="236">
        <f t="shared" si="23"/>
        <v>2020</v>
      </c>
      <c r="X39" s="367" t="str">
        <f>+C39</f>
        <v>Kings Ransom</v>
      </c>
      <c r="AB39" s="393">
        <v>44518</v>
      </c>
      <c r="AC39" s="394">
        <v>2021</v>
      </c>
      <c r="AD39" s="395" t="s">
        <v>271</v>
      </c>
      <c r="AE39" s="396">
        <v>330</v>
      </c>
      <c r="AF39" s="397" t="s">
        <v>104</v>
      </c>
    </row>
    <row r="40" spans="1:32" x14ac:dyDescent="0.2">
      <c r="A40" s="250"/>
      <c r="B40" s="295" t="s">
        <v>133</v>
      </c>
      <c r="C40" s="250" t="s">
        <v>269</v>
      </c>
      <c r="D40" s="382"/>
      <c r="E40" s="433">
        <v>30</v>
      </c>
      <c r="F40" s="433">
        <v>0</v>
      </c>
      <c r="G40" s="236">
        <v>10</v>
      </c>
      <c r="H40" s="236">
        <v>10</v>
      </c>
      <c r="I40" s="2">
        <v>10</v>
      </c>
      <c r="J40" s="436"/>
      <c r="K40" s="436"/>
      <c r="L40" s="436"/>
      <c r="M40" s="436"/>
      <c r="N40" s="436"/>
      <c r="O40" s="436"/>
      <c r="P40" s="436"/>
      <c r="Q40" s="436"/>
      <c r="R40" s="436"/>
      <c r="S40" s="435">
        <f t="shared" ref="S40" si="24">SUM(G40:R40)</f>
        <v>30</v>
      </c>
      <c r="T40" s="408">
        <f t="shared" si="16"/>
        <v>10</v>
      </c>
      <c r="U40" s="343">
        <f t="shared" si="17"/>
        <v>0</v>
      </c>
      <c r="V40" s="236">
        <f t="shared" si="18"/>
        <v>0</v>
      </c>
      <c r="W40" s="427"/>
      <c r="X40" s="250" t="str">
        <f>+C40</f>
        <v>Sparkling ** don't include on tax report</v>
      </c>
      <c r="AB40" s="393">
        <v>44518</v>
      </c>
      <c r="AC40" s="394">
        <v>2021</v>
      </c>
      <c r="AD40" s="395" t="s">
        <v>277</v>
      </c>
      <c r="AE40" s="396">
        <v>550</v>
      </c>
      <c r="AF40" s="397" t="s">
        <v>104</v>
      </c>
    </row>
    <row r="41" spans="1:32" x14ac:dyDescent="0.2">
      <c r="A41" s="226"/>
      <c r="B41" s="409"/>
      <c r="C41" s="226"/>
      <c r="D41" s="226"/>
      <c r="E41" s="410"/>
      <c r="F41" s="410"/>
      <c r="G41" s="410"/>
      <c r="H41" s="410"/>
      <c r="I41" s="410"/>
      <c r="J41" s="410"/>
      <c r="K41" s="410"/>
      <c r="L41" s="410"/>
      <c r="M41" s="410"/>
      <c r="N41" s="410"/>
      <c r="O41" s="410"/>
      <c r="P41" s="410"/>
      <c r="Q41" s="410"/>
      <c r="R41" s="410"/>
      <c r="S41" s="410">
        <f t="shared" ref="S41:S61" si="25">SUM(G41:R41)</f>
        <v>0</v>
      </c>
      <c r="T41" s="411"/>
      <c r="U41" s="411">
        <f t="shared" si="17"/>
        <v>0</v>
      </c>
      <c r="V41" s="410">
        <f t="shared" ref="V41:V62" si="26">SUM(E41-S41)</f>
        <v>0</v>
      </c>
      <c r="W41" s="409"/>
      <c r="X41" s="226"/>
      <c r="AB41" s="393"/>
      <c r="AC41" s="394"/>
      <c r="AD41" s="395"/>
      <c r="AE41" s="396"/>
      <c r="AF41" s="397"/>
    </row>
    <row r="42" spans="1:32" x14ac:dyDescent="0.2">
      <c r="A42" s="234">
        <v>100464</v>
      </c>
      <c r="B42" s="237">
        <v>2021</v>
      </c>
      <c r="C42" s="234" t="s">
        <v>110</v>
      </c>
      <c r="D42" s="381">
        <v>23</v>
      </c>
      <c r="E42" s="293">
        <v>0</v>
      </c>
      <c r="F42" s="293">
        <v>411</v>
      </c>
      <c r="G42" s="246"/>
      <c r="H42" s="246"/>
      <c r="I42" s="246"/>
      <c r="J42" s="246">
        <v>13</v>
      </c>
      <c r="K42" s="246">
        <v>0</v>
      </c>
      <c r="L42" s="246">
        <v>1</v>
      </c>
      <c r="M42" s="246">
        <v>24</v>
      </c>
      <c r="N42" s="246"/>
      <c r="O42" s="246"/>
      <c r="P42" s="246"/>
      <c r="Q42" s="246"/>
      <c r="R42" s="246"/>
      <c r="S42" s="434">
        <f t="shared" ref="S42" si="27">SUM(G42:R42)</f>
        <v>38</v>
      </c>
      <c r="T42" s="345">
        <f t="shared" ref="T42:T55" si="28">IFERROR((AVERAGE(G42:R42)),0)</f>
        <v>9.5</v>
      </c>
      <c r="U42" s="279">
        <f t="shared" ref="U42:U55" si="29">IFERROR((V42/T42),0)</f>
        <v>39.263157894736842</v>
      </c>
      <c r="V42" s="236">
        <f t="shared" ref="V42:V55" si="30">E42+F42-S42</f>
        <v>373</v>
      </c>
      <c r="W42" s="236">
        <v>2021</v>
      </c>
      <c r="X42" s="234" t="s">
        <v>110</v>
      </c>
      <c r="Y42" s="221" t="s">
        <v>59</v>
      </c>
      <c r="Z42" s="221" t="s">
        <v>268</v>
      </c>
      <c r="AA42" s="221">
        <v>2021</v>
      </c>
      <c r="AB42" s="393"/>
      <c r="AC42" s="394"/>
      <c r="AD42" s="395"/>
      <c r="AE42" s="396"/>
      <c r="AF42" s="397"/>
    </row>
    <row r="43" spans="1:32" ht="15.75" x14ac:dyDescent="0.25">
      <c r="A43" s="250">
        <v>154310</v>
      </c>
      <c r="B43" s="406">
        <v>2021</v>
      </c>
      <c r="C43" s="250" t="s">
        <v>46</v>
      </c>
      <c r="D43" s="382">
        <v>19</v>
      </c>
      <c r="E43" s="252">
        <v>0</v>
      </c>
      <c r="F43" s="342">
        <v>200</v>
      </c>
      <c r="G43" s="407"/>
      <c r="H43" s="253"/>
      <c r="I43" s="253"/>
      <c r="J43" s="406">
        <v>18</v>
      </c>
      <c r="K43" s="406">
        <v>21</v>
      </c>
      <c r="L43" s="406">
        <v>56</v>
      </c>
      <c r="M43" s="406">
        <v>25</v>
      </c>
      <c r="N43" s="406"/>
      <c r="O43" s="406"/>
      <c r="P43" s="406"/>
      <c r="Q43" s="406"/>
      <c r="R43" s="406"/>
      <c r="S43" s="374">
        <f t="shared" ref="S43" si="31">SUM(G43:R43)</f>
        <v>120</v>
      </c>
      <c r="T43" s="408">
        <f t="shared" si="28"/>
        <v>30</v>
      </c>
      <c r="U43" s="343">
        <f t="shared" si="29"/>
        <v>2.6666666666666665</v>
      </c>
      <c r="V43" s="236">
        <f t="shared" si="30"/>
        <v>80</v>
      </c>
      <c r="W43" s="252">
        <v>2021</v>
      </c>
      <c r="X43" s="250" t="s">
        <v>46</v>
      </c>
      <c r="Y43" s="234"/>
      <c r="AB43" s="393">
        <v>44641</v>
      </c>
      <c r="AC43" s="394">
        <v>2021</v>
      </c>
      <c r="AD43" s="395" t="s">
        <v>286</v>
      </c>
      <c r="AE43" s="396">
        <v>200</v>
      </c>
      <c r="AF43" s="397" t="s">
        <v>102</v>
      </c>
    </row>
    <row r="44" spans="1:32" x14ac:dyDescent="0.2">
      <c r="A44" s="234">
        <v>101636</v>
      </c>
      <c r="B44" s="237">
        <v>2021</v>
      </c>
      <c r="C44" s="234" t="s">
        <v>31</v>
      </c>
      <c r="D44" s="256">
        <v>22</v>
      </c>
      <c r="E44" s="293">
        <v>0</v>
      </c>
      <c r="F44" s="293">
        <v>224</v>
      </c>
      <c r="G44" s="246"/>
      <c r="H44" s="246"/>
      <c r="I44" s="246"/>
      <c r="J44" s="246"/>
      <c r="K44" s="246"/>
      <c r="L44" s="246"/>
      <c r="M44" s="246"/>
      <c r="N44" s="246"/>
      <c r="O44" s="246"/>
      <c r="P44" s="246"/>
      <c r="Q44" s="246"/>
      <c r="R44" s="246"/>
      <c r="S44" s="434">
        <f t="shared" ref="S44:S46" si="32">SUM(G44:R44)</f>
        <v>0</v>
      </c>
      <c r="T44" s="345">
        <f t="shared" si="28"/>
        <v>0</v>
      </c>
      <c r="U44" s="279">
        <f t="shared" si="29"/>
        <v>0</v>
      </c>
      <c r="V44" s="236">
        <f t="shared" si="30"/>
        <v>224</v>
      </c>
      <c r="W44" s="236">
        <f t="shared" ref="W44:W51" si="33">+B44</f>
        <v>2021</v>
      </c>
      <c r="X44" s="367" t="str">
        <f t="shared" ref="X44:X51" si="34">+C44</f>
        <v>Viognier</v>
      </c>
      <c r="AB44" s="393"/>
      <c r="AC44" s="394" t="s">
        <v>35</v>
      </c>
      <c r="AD44" s="395"/>
      <c r="AE44" s="396"/>
      <c r="AF44" s="397"/>
    </row>
    <row r="45" spans="1:32" x14ac:dyDescent="0.2">
      <c r="A45" s="234">
        <v>97511</v>
      </c>
      <c r="B45" s="237">
        <v>2021</v>
      </c>
      <c r="C45" s="234" t="s">
        <v>25</v>
      </c>
      <c r="D45" s="385">
        <v>22</v>
      </c>
      <c r="E45" s="293">
        <v>0</v>
      </c>
      <c r="F45" s="293">
        <v>182</v>
      </c>
      <c r="G45" s="246"/>
      <c r="H45" s="246"/>
      <c r="I45" s="246"/>
      <c r="J45" s="246"/>
      <c r="K45" s="246"/>
      <c r="L45" s="246"/>
      <c r="M45" s="246"/>
      <c r="N45" s="246"/>
      <c r="O45" s="246"/>
      <c r="P45" s="246"/>
      <c r="Q45" s="246"/>
      <c r="R45" s="246"/>
      <c r="S45" s="434">
        <f t="shared" si="32"/>
        <v>0</v>
      </c>
      <c r="T45" s="345">
        <f t="shared" si="28"/>
        <v>0</v>
      </c>
      <c r="U45" s="279">
        <f t="shared" si="29"/>
        <v>0</v>
      </c>
      <c r="V45" s="236">
        <f t="shared" si="30"/>
        <v>182</v>
      </c>
      <c r="W45" s="236">
        <f t="shared" si="33"/>
        <v>2021</v>
      </c>
      <c r="X45" s="367" t="str">
        <f t="shared" si="34"/>
        <v>Chardonnay</v>
      </c>
      <c r="AB45" s="393"/>
      <c r="AC45" s="394"/>
      <c r="AD45" s="395"/>
      <c r="AE45" s="396"/>
      <c r="AF45" s="397"/>
    </row>
    <row r="46" spans="1:32" x14ac:dyDescent="0.2">
      <c r="A46" s="234">
        <v>137525</v>
      </c>
      <c r="B46" s="237">
        <v>2021</v>
      </c>
      <c r="C46" s="234" t="s">
        <v>192</v>
      </c>
      <c r="D46" s="385">
        <v>24</v>
      </c>
      <c r="E46" s="293">
        <v>0</v>
      </c>
      <c r="F46" s="293">
        <v>197</v>
      </c>
      <c r="G46" s="246"/>
      <c r="H46" s="246"/>
      <c r="I46" s="246"/>
      <c r="J46" s="246">
        <v>9</v>
      </c>
      <c r="K46" s="246">
        <v>0</v>
      </c>
      <c r="L46" s="246">
        <v>0</v>
      </c>
      <c r="M46" s="246">
        <v>2</v>
      </c>
      <c r="N46" s="246"/>
      <c r="O46" s="246"/>
      <c r="P46" s="246"/>
      <c r="Q46" s="246"/>
      <c r="R46" s="246"/>
      <c r="S46" s="434">
        <f t="shared" si="32"/>
        <v>11</v>
      </c>
      <c r="T46" s="345">
        <f t="shared" si="28"/>
        <v>2.75</v>
      </c>
      <c r="U46" s="279">
        <f t="shared" si="29"/>
        <v>67.63636363636364</v>
      </c>
      <c r="V46" s="236">
        <f t="shared" si="30"/>
        <v>186</v>
      </c>
      <c r="W46" s="236">
        <f t="shared" si="33"/>
        <v>2021</v>
      </c>
      <c r="X46" s="367" t="str">
        <f t="shared" si="34"/>
        <v>Celebration</v>
      </c>
      <c r="AB46" s="393">
        <v>44672</v>
      </c>
      <c r="AC46" s="394">
        <v>2021</v>
      </c>
      <c r="AD46" s="395" t="s">
        <v>270</v>
      </c>
      <c r="AE46" s="396">
        <v>197</v>
      </c>
      <c r="AF46" s="397" t="s">
        <v>102</v>
      </c>
    </row>
    <row r="47" spans="1:32" x14ac:dyDescent="0.2">
      <c r="A47" s="234">
        <v>137525</v>
      </c>
      <c r="B47" s="237">
        <v>2021</v>
      </c>
      <c r="C47" s="234" t="s">
        <v>262</v>
      </c>
      <c r="D47" s="385"/>
      <c r="E47" s="293">
        <v>0</v>
      </c>
      <c r="F47" s="293">
        <v>21</v>
      </c>
      <c r="G47" s="246"/>
      <c r="H47" s="246"/>
      <c r="I47" s="246"/>
      <c r="J47" s="237">
        <v>10</v>
      </c>
      <c r="K47" s="237">
        <v>7</v>
      </c>
      <c r="L47" s="237">
        <v>0</v>
      </c>
      <c r="M47" s="237">
        <v>0</v>
      </c>
      <c r="N47" s="237"/>
      <c r="O47" s="237"/>
      <c r="P47" s="237"/>
      <c r="Q47" s="237"/>
      <c r="R47" s="237"/>
      <c r="S47" s="434">
        <f>SUM(G47:R47)</f>
        <v>17</v>
      </c>
      <c r="T47" s="345">
        <f t="shared" si="28"/>
        <v>4.25</v>
      </c>
      <c r="U47" s="279">
        <f t="shared" si="29"/>
        <v>0.94117647058823528</v>
      </c>
      <c r="V47" s="236">
        <f t="shared" si="30"/>
        <v>4</v>
      </c>
      <c r="W47" s="236">
        <f t="shared" si="33"/>
        <v>2021</v>
      </c>
      <c r="X47" s="367" t="str">
        <f t="shared" si="34"/>
        <v>Celebration 1.5L</v>
      </c>
      <c r="AB47" s="393"/>
      <c r="AC47" s="394"/>
      <c r="AD47" s="395"/>
      <c r="AE47" s="396"/>
      <c r="AF47" s="397"/>
    </row>
    <row r="48" spans="1:32" x14ac:dyDescent="0.2">
      <c r="A48" s="234">
        <v>101638</v>
      </c>
      <c r="B48" s="237">
        <v>2021</v>
      </c>
      <c r="C48" s="234" t="s">
        <v>26</v>
      </c>
      <c r="D48" s="256">
        <v>23</v>
      </c>
      <c r="E48" s="293">
        <v>0</v>
      </c>
      <c r="F48" s="293"/>
      <c r="G48" s="246"/>
      <c r="H48" s="246"/>
      <c r="I48" s="246"/>
      <c r="J48" s="246"/>
      <c r="K48" s="246"/>
      <c r="L48" s="246"/>
      <c r="M48" s="246"/>
      <c r="N48" s="246"/>
      <c r="O48" s="246"/>
      <c r="P48" s="246"/>
      <c r="Q48" s="246"/>
      <c r="R48" s="246"/>
      <c r="S48" s="434">
        <f t="shared" ref="S48:S50" si="35">SUM(G48:R48)</f>
        <v>0</v>
      </c>
      <c r="T48" s="345">
        <f t="shared" si="28"/>
        <v>0</v>
      </c>
      <c r="U48" s="279">
        <f t="shared" si="29"/>
        <v>0</v>
      </c>
      <c r="V48" s="236">
        <f t="shared" si="30"/>
        <v>0</v>
      </c>
      <c r="W48" s="236">
        <f t="shared" si="33"/>
        <v>2021</v>
      </c>
      <c r="X48" s="367" t="str">
        <f t="shared" si="34"/>
        <v>Merlot</v>
      </c>
      <c r="Y48" s="221">
        <f>V13+V22+V34</f>
        <v>701</v>
      </c>
      <c r="Z48" s="221" t="s">
        <v>283</v>
      </c>
      <c r="AB48" s="393">
        <v>44672</v>
      </c>
      <c r="AC48" s="394">
        <v>2021</v>
      </c>
      <c r="AD48" s="395" t="s">
        <v>287</v>
      </c>
      <c r="AE48" s="396">
        <v>411</v>
      </c>
      <c r="AF48" s="397" t="s">
        <v>102</v>
      </c>
    </row>
    <row r="49" spans="1:32" x14ac:dyDescent="0.2">
      <c r="A49" s="234">
        <v>100465</v>
      </c>
      <c r="B49" s="237">
        <v>2021</v>
      </c>
      <c r="C49" s="234" t="s">
        <v>135</v>
      </c>
      <c r="D49" s="256">
        <v>21</v>
      </c>
      <c r="E49" s="293">
        <v>0</v>
      </c>
      <c r="F49" s="293"/>
      <c r="G49" s="246"/>
      <c r="H49" s="246"/>
      <c r="I49" s="246"/>
      <c r="J49" s="246"/>
      <c r="K49" s="246"/>
      <c r="L49" s="246"/>
      <c r="M49" s="246"/>
      <c r="N49" s="246"/>
      <c r="O49" s="246"/>
      <c r="P49" s="246"/>
      <c r="Q49" s="246"/>
      <c r="R49" s="246"/>
      <c r="S49" s="434">
        <f t="shared" si="35"/>
        <v>0</v>
      </c>
      <c r="T49" s="345">
        <f t="shared" si="28"/>
        <v>0</v>
      </c>
      <c r="U49" s="279">
        <f t="shared" si="29"/>
        <v>0</v>
      </c>
      <c r="V49" s="236">
        <f t="shared" si="30"/>
        <v>0</v>
      </c>
      <c r="W49" s="236">
        <f t="shared" si="33"/>
        <v>2021</v>
      </c>
      <c r="X49" s="367" t="str">
        <f t="shared" si="34"/>
        <v>Meritage</v>
      </c>
      <c r="Y49" s="221">
        <f>V35+V23+V14</f>
        <v>798</v>
      </c>
      <c r="Z49" s="221" t="s">
        <v>284</v>
      </c>
      <c r="AB49" s="393">
        <v>44672</v>
      </c>
      <c r="AC49" s="394">
        <v>2021</v>
      </c>
      <c r="AD49" s="395" t="s">
        <v>288</v>
      </c>
      <c r="AE49" s="396">
        <v>21</v>
      </c>
      <c r="AF49" s="397" t="s">
        <v>289</v>
      </c>
    </row>
    <row r="50" spans="1:32" x14ac:dyDescent="0.2">
      <c r="A50" s="234">
        <v>102768</v>
      </c>
      <c r="B50" s="237">
        <v>2021</v>
      </c>
      <c r="C50" s="234" t="s">
        <v>131</v>
      </c>
      <c r="D50" s="256">
        <v>14</v>
      </c>
      <c r="E50" s="293">
        <v>0</v>
      </c>
      <c r="F50" s="293"/>
      <c r="G50" s="246"/>
      <c r="H50" s="246"/>
      <c r="I50" s="246"/>
      <c r="J50" s="246"/>
      <c r="K50" s="246"/>
      <c r="L50" s="246"/>
      <c r="M50" s="246"/>
      <c r="N50" s="246"/>
      <c r="O50" s="246"/>
      <c r="P50" s="246"/>
      <c r="Q50" s="246"/>
      <c r="R50" s="246"/>
      <c r="S50" s="434">
        <f t="shared" si="35"/>
        <v>0</v>
      </c>
      <c r="T50" s="345">
        <f t="shared" si="28"/>
        <v>0</v>
      </c>
      <c r="U50" s="279">
        <f t="shared" si="29"/>
        <v>0</v>
      </c>
      <c r="V50" s="236">
        <f t="shared" si="30"/>
        <v>0</v>
      </c>
      <c r="W50" s="236">
        <f t="shared" si="33"/>
        <v>2021</v>
      </c>
      <c r="X50" s="367" t="str">
        <f t="shared" si="34"/>
        <v>Tannat</v>
      </c>
      <c r="Y50" s="221">
        <f>V36+V24</f>
        <v>584</v>
      </c>
      <c r="Z50" s="221" t="s">
        <v>263</v>
      </c>
      <c r="AB50" s="393"/>
      <c r="AC50" s="394"/>
      <c r="AD50" s="395"/>
      <c r="AE50" s="396"/>
      <c r="AF50" s="397"/>
    </row>
    <row r="51" spans="1:32" x14ac:dyDescent="0.2">
      <c r="A51" s="234">
        <v>100643</v>
      </c>
      <c r="B51" s="237">
        <v>2021</v>
      </c>
      <c r="C51" s="234" t="s">
        <v>136</v>
      </c>
      <c r="D51" s="256">
        <v>45</v>
      </c>
      <c r="E51" s="293">
        <v>0</v>
      </c>
      <c r="F51" s="293"/>
      <c r="G51" s="246"/>
      <c r="H51" s="246"/>
      <c r="I51" s="246"/>
      <c r="J51" s="246"/>
      <c r="K51" s="246"/>
      <c r="L51" s="246"/>
      <c r="M51" s="246"/>
      <c r="N51" s="246"/>
      <c r="O51" s="246"/>
      <c r="P51" s="246"/>
      <c r="Q51" s="246"/>
      <c r="R51" s="246"/>
      <c r="S51" s="434">
        <f t="shared" ref="S51" si="36">SUM(G51:R51)</f>
        <v>0</v>
      </c>
      <c r="T51" s="345">
        <f t="shared" si="28"/>
        <v>0</v>
      </c>
      <c r="U51" s="279">
        <f t="shared" si="29"/>
        <v>0</v>
      </c>
      <c r="V51" s="236">
        <f t="shared" si="30"/>
        <v>0</v>
      </c>
      <c r="W51" s="236">
        <f t="shared" si="33"/>
        <v>2021</v>
      </c>
      <c r="X51" s="367" t="str">
        <f t="shared" si="34"/>
        <v>Kings Ransom</v>
      </c>
      <c r="Y51" s="221">
        <f>V39+V27+V15</f>
        <v>949</v>
      </c>
      <c r="Z51" s="221" t="s">
        <v>285</v>
      </c>
      <c r="AB51" s="393"/>
      <c r="AC51" s="394"/>
      <c r="AD51" s="395"/>
      <c r="AE51" s="396"/>
      <c r="AF51" s="397"/>
    </row>
    <row r="52" spans="1:32" x14ac:dyDescent="0.2">
      <c r="A52" s="234">
        <v>178211</v>
      </c>
      <c r="B52" s="237">
        <v>2021</v>
      </c>
      <c r="C52" s="234" t="s">
        <v>290</v>
      </c>
      <c r="D52" s="256"/>
      <c r="E52" s="293">
        <v>0</v>
      </c>
      <c r="F52" s="293">
        <v>14</v>
      </c>
      <c r="G52" s="246"/>
      <c r="H52" s="246"/>
      <c r="I52" s="246"/>
      <c r="J52" s="246"/>
      <c r="K52" s="246"/>
      <c r="L52" s="246"/>
      <c r="M52" s="246">
        <v>9</v>
      </c>
      <c r="N52" s="246"/>
      <c r="O52" s="246"/>
      <c r="P52" s="246"/>
      <c r="Q52" s="246"/>
      <c r="R52" s="246"/>
      <c r="S52" s="434">
        <f t="shared" ref="S52:S54" si="37">SUM(G52:R52)</f>
        <v>9</v>
      </c>
      <c r="T52" s="345">
        <f t="shared" ref="T52:T54" si="38">IFERROR((AVERAGE(G52:R52)),0)</f>
        <v>9</v>
      </c>
      <c r="U52" s="279">
        <f t="shared" ref="U52:U54" si="39">IFERROR((V52/T52),0)</f>
        <v>0.55555555555555558</v>
      </c>
      <c r="V52" s="236">
        <f t="shared" ref="V52:V54" si="40">E52+F52-S52</f>
        <v>5</v>
      </c>
      <c r="W52" s="236">
        <f t="shared" ref="W52:W54" si="41">+B52</f>
        <v>2021</v>
      </c>
      <c r="X52" s="367" t="str">
        <f t="shared" ref="X52:X54" si="42">+C52</f>
        <v>Clearly White</v>
      </c>
      <c r="AB52" s="393"/>
      <c r="AC52" s="394"/>
      <c r="AD52" s="395"/>
      <c r="AE52" s="396"/>
      <c r="AF52" s="397"/>
    </row>
    <row r="53" spans="1:32" x14ac:dyDescent="0.2">
      <c r="A53" s="234">
        <v>179588</v>
      </c>
      <c r="B53" s="237">
        <v>2021</v>
      </c>
      <c r="C53" s="234" t="s">
        <v>292</v>
      </c>
      <c r="D53" s="256"/>
      <c r="E53" s="293">
        <v>0</v>
      </c>
      <c r="F53" s="293">
        <v>13</v>
      </c>
      <c r="G53" s="246"/>
      <c r="H53" s="246"/>
      <c r="I53" s="246"/>
      <c r="J53" s="246"/>
      <c r="K53" s="246"/>
      <c r="L53" s="246"/>
      <c r="M53" s="246">
        <v>8</v>
      </c>
      <c r="N53" s="246"/>
      <c r="O53" s="246"/>
      <c r="P53" s="246"/>
      <c r="Q53" s="246"/>
      <c r="R53" s="246"/>
      <c r="S53" s="434">
        <f t="shared" si="37"/>
        <v>8</v>
      </c>
      <c r="T53" s="345">
        <f t="shared" si="38"/>
        <v>8</v>
      </c>
      <c r="U53" s="279">
        <f t="shared" si="39"/>
        <v>0.625</v>
      </c>
      <c r="V53" s="236">
        <f t="shared" si="40"/>
        <v>5</v>
      </c>
      <c r="W53" s="236">
        <f t="shared" si="41"/>
        <v>2021</v>
      </c>
      <c r="X53" s="367" t="str">
        <f t="shared" si="42"/>
        <v>Clearly Rose</v>
      </c>
      <c r="AB53" s="393"/>
      <c r="AC53" s="394"/>
      <c r="AD53" s="395"/>
      <c r="AE53" s="396"/>
      <c r="AF53" s="397"/>
    </row>
    <row r="54" spans="1:32" x14ac:dyDescent="0.2">
      <c r="A54" s="234"/>
      <c r="B54" s="237">
        <v>2021</v>
      </c>
      <c r="C54" s="234" t="s">
        <v>291</v>
      </c>
      <c r="D54" s="256"/>
      <c r="E54" s="293">
        <v>0</v>
      </c>
      <c r="F54" s="293">
        <v>15</v>
      </c>
      <c r="G54" s="246"/>
      <c r="H54" s="246"/>
      <c r="I54" s="246"/>
      <c r="J54" s="246"/>
      <c r="K54" s="246"/>
      <c r="L54" s="246"/>
      <c r="M54" s="246">
        <v>10</v>
      </c>
      <c r="N54" s="246"/>
      <c r="O54" s="246"/>
      <c r="P54" s="246"/>
      <c r="Q54" s="246"/>
      <c r="R54" s="246"/>
      <c r="S54" s="434">
        <f t="shared" si="37"/>
        <v>10</v>
      </c>
      <c r="T54" s="345">
        <f t="shared" si="38"/>
        <v>10</v>
      </c>
      <c r="U54" s="279">
        <f t="shared" si="39"/>
        <v>0.5</v>
      </c>
      <c r="V54" s="236">
        <f t="shared" si="40"/>
        <v>5</v>
      </c>
      <c r="W54" s="236">
        <f t="shared" si="41"/>
        <v>2021</v>
      </c>
      <c r="X54" s="367" t="str">
        <f t="shared" si="42"/>
        <v>Clearly Sangria</v>
      </c>
      <c r="AB54" s="393"/>
      <c r="AC54" s="394"/>
      <c r="AD54" s="395"/>
      <c r="AE54" s="396"/>
      <c r="AF54" s="397"/>
    </row>
    <row r="55" spans="1:32" x14ac:dyDescent="0.2">
      <c r="A55" s="234"/>
      <c r="B55" s="295" t="s">
        <v>133</v>
      </c>
      <c r="C55" s="250" t="s">
        <v>269</v>
      </c>
      <c r="D55" s="382"/>
      <c r="E55" s="433">
        <v>132</v>
      </c>
      <c r="F55" s="433">
        <v>0</v>
      </c>
      <c r="G55" s="236">
        <v>0</v>
      </c>
      <c r="H55" s="236">
        <v>0</v>
      </c>
      <c r="I55" s="2">
        <v>3</v>
      </c>
      <c r="J55" s="213">
        <v>17</v>
      </c>
      <c r="K55" s="213">
        <v>9</v>
      </c>
      <c r="L55" s="213">
        <v>17</v>
      </c>
      <c r="M55" s="213">
        <v>16</v>
      </c>
      <c r="N55" s="213"/>
      <c r="O55" s="213"/>
      <c r="P55" s="213"/>
      <c r="Q55" s="213"/>
      <c r="R55" s="213"/>
      <c r="S55" s="435">
        <f t="shared" ref="S55" si="43">SUM(G55:R55)</f>
        <v>62</v>
      </c>
      <c r="T55" s="408">
        <f t="shared" si="28"/>
        <v>8.8571428571428577</v>
      </c>
      <c r="U55" s="343">
        <f t="shared" si="29"/>
        <v>7.9032258064516121</v>
      </c>
      <c r="V55" s="236">
        <f t="shared" si="30"/>
        <v>70</v>
      </c>
      <c r="W55" s="427"/>
      <c r="X55" s="250" t="str">
        <f>+C55</f>
        <v>Sparkling ** don't include on tax report</v>
      </c>
      <c r="AB55" s="393"/>
      <c r="AC55" s="394"/>
      <c r="AD55" s="395"/>
      <c r="AE55" s="396"/>
      <c r="AF55" s="397"/>
    </row>
    <row r="56" spans="1:32" ht="15.75" x14ac:dyDescent="0.25">
      <c r="A56" s="226"/>
      <c r="B56" s="409"/>
      <c r="C56" s="226"/>
      <c r="D56" s="226"/>
      <c r="E56" s="410"/>
      <c r="F56" s="410"/>
      <c r="G56" s="410"/>
      <c r="H56" s="410"/>
      <c r="I56" s="410"/>
      <c r="J56" s="410"/>
      <c r="K56" s="410"/>
      <c r="L56" s="410"/>
      <c r="M56" s="410"/>
      <c r="N56" s="410"/>
      <c r="O56" s="410"/>
      <c r="P56" s="410"/>
      <c r="Q56" s="410"/>
      <c r="R56" s="410"/>
      <c r="S56" s="410"/>
      <c r="T56" s="411"/>
      <c r="U56" s="411"/>
      <c r="V56" s="410"/>
      <c r="W56" s="409"/>
      <c r="X56" s="226"/>
      <c r="AB56" s="353"/>
      <c r="AC56" s="353"/>
      <c r="AD56" s="430" t="s">
        <v>182</v>
      </c>
      <c r="AE56" s="353"/>
    </row>
    <row r="57" spans="1:32" x14ac:dyDescent="0.2">
      <c r="A57" s="234"/>
      <c r="B57" s="233">
        <v>2017</v>
      </c>
      <c r="C57" s="234"/>
      <c r="D57" s="235"/>
      <c r="E57" s="263">
        <f>E10</f>
        <v>106</v>
      </c>
      <c r="F57" s="263"/>
      <c r="G57" s="263">
        <f>SUM(G10)</f>
        <v>9</v>
      </c>
      <c r="H57" s="263">
        <f t="shared" ref="H57:R57" si="44">SUM(H11:H15)</f>
        <v>76</v>
      </c>
      <c r="I57" s="263">
        <f t="shared" si="44"/>
        <v>90</v>
      </c>
      <c r="J57" s="263">
        <f t="shared" si="44"/>
        <v>82</v>
      </c>
      <c r="K57" s="263">
        <f t="shared" si="44"/>
        <v>95</v>
      </c>
      <c r="L57" s="263">
        <f t="shared" si="44"/>
        <v>78</v>
      </c>
      <c r="M57" s="263">
        <f>M10</f>
        <v>6</v>
      </c>
      <c r="N57" s="263">
        <f t="shared" si="44"/>
        <v>0</v>
      </c>
      <c r="O57" s="263">
        <f t="shared" si="44"/>
        <v>0</v>
      </c>
      <c r="P57" s="263">
        <f t="shared" si="44"/>
        <v>0</v>
      </c>
      <c r="Q57" s="263">
        <f t="shared" si="44"/>
        <v>0</v>
      </c>
      <c r="R57" s="263">
        <f t="shared" si="44"/>
        <v>0</v>
      </c>
      <c r="S57" s="374">
        <f t="shared" si="25"/>
        <v>436</v>
      </c>
      <c r="T57" s="263">
        <f t="shared" ref="T57:T62" si="45">AVERAGE(G57:R57)</f>
        <v>36.333333333333336</v>
      </c>
      <c r="U57" s="343">
        <f t="shared" si="17"/>
        <v>-9.0825688073394488</v>
      </c>
      <c r="V57" s="252">
        <f t="shared" si="26"/>
        <v>-330</v>
      </c>
      <c r="W57" s="233">
        <v>2017</v>
      </c>
      <c r="X57" s="234"/>
      <c r="AB57" s="393"/>
      <c r="AC57" s="394"/>
      <c r="AD57" s="395"/>
      <c r="AE57" s="396"/>
      <c r="AF57" s="397"/>
    </row>
    <row r="58" spans="1:32" x14ac:dyDescent="0.2">
      <c r="A58" s="234"/>
      <c r="B58" s="233">
        <v>2018</v>
      </c>
      <c r="C58" s="234"/>
      <c r="D58" s="235"/>
      <c r="E58" s="263">
        <f>SUM(E12:E16)</f>
        <v>812</v>
      </c>
      <c r="F58" s="263"/>
      <c r="G58" s="263">
        <f>SUM(G12:G16)</f>
        <v>44</v>
      </c>
      <c r="H58" s="263">
        <f t="shared" ref="H58:R58" si="46">SUM(H12:H16)</f>
        <v>82</v>
      </c>
      <c r="I58" s="263">
        <f t="shared" si="46"/>
        <v>95</v>
      </c>
      <c r="J58" s="263">
        <f t="shared" si="46"/>
        <v>89</v>
      </c>
      <c r="K58" s="263">
        <f t="shared" si="46"/>
        <v>105</v>
      </c>
      <c r="L58" s="263">
        <f t="shared" si="46"/>
        <v>83</v>
      </c>
      <c r="M58" s="263">
        <f>SUM(M12:M16)</f>
        <v>50</v>
      </c>
      <c r="N58" s="263">
        <f t="shared" si="46"/>
        <v>0</v>
      </c>
      <c r="O58" s="263">
        <f t="shared" si="46"/>
        <v>0</v>
      </c>
      <c r="P58" s="263">
        <f t="shared" si="46"/>
        <v>0</v>
      </c>
      <c r="Q58" s="263">
        <f t="shared" si="46"/>
        <v>0</v>
      </c>
      <c r="R58" s="263">
        <f t="shared" si="46"/>
        <v>0</v>
      </c>
      <c r="S58" s="374">
        <f t="shared" si="25"/>
        <v>548</v>
      </c>
      <c r="T58" s="263">
        <f t="shared" si="45"/>
        <v>45.666666666666664</v>
      </c>
      <c r="U58" s="343">
        <f t="shared" si="17"/>
        <v>5.781021897810219</v>
      </c>
      <c r="V58" s="252">
        <f t="shared" si="26"/>
        <v>264</v>
      </c>
      <c r="W58" s="233">
        <v>2018</v>
      </c>
      <c r="X58" s="234"/>
      <c r="AB58" s="393"/>
      <c r="AC58" s="394"/>
      <c r="AD58" s="395"/>
      <c r="AE58" s="396"/>
      <c r="AF58" s="397"/>
    </row>
    <row r="59" spans="1:32" ht="16.149999999999999" customHeight="1" x14ac:dyDescent="0.2">
      <c r="A59" s="234"/>
      <c r="B59" s="233">
        <v>2019</v>
      </c>
      <c r="C59" s="234"/>
      <c r="D59" s="256"/>
      <c r="E59" s="263">
        <f>SUM(E18:E27)</f>
        <v>2433</v>
      </c>
      <c r="F59" s="263"/>
      <c r="G59" s="263">
        <f t="shared" ref="G59:R59" si="47">SUM(G18:G27)</f>
        <v>54</v>
      </c>
      <c r="H59" s="263">
        <f t="shared" si="47"/>
        <v>112</v>
      </c>
      <c r="I59" s="263">
        <f t="shared" si="47"/>
        <v>196</v>
      </c>
      <c r="J59" s="263">
        <f t="shared" si="47"/>
        <v>85</v>
      </c>
      <c r="K59" s="263">
        <f t="shared" si="47"/>
        <v>54</v>
      </c>
      <c r="L59" s="263">
        <f t="shared" si="47"/>
        <v>93</v>
      </c>
      <c r="M59" s="263">
        <f>SUM(M18:M27)</f>
        <v>56</v>
      </c>
      <c r="N59" s="263">
        <f t="shared" si="47"/>
        <v>0</v>
      </c>
      <c r="O59" s="263">
        <f t="shared" si="47"/>
        <v>0</v>
      </c>
      <c r="P59" s="263">
        <f t="shared" si="47"/>
        <v>0</v>
      </c>
      <c r="Q59" s="263">
        <f t="shared" si="47"/>
        <v>0</v>
      </c>
      <c r="R59" s="263">
        <f t="shared" si="47"/>
        <v>0</v>
      </c>
      <c r="S59" s="374">
        <f t="shared" si="25"/>
        <v>650</v>
      </c>
      <c r="T59" s="263">
        <f t="shared" si="45"/>
        <v>54.166666666666664</v>
      </c>
      <c r="U59" s="343">
        <f t="shared" si="17"/>
        <v>32.916923076923077</v>
      </c>
      <c r="V59" s="252">
        <f t="shared" si="26"/>
        <v>1783</v>
      </c>
      <c r="W59" s="233">
        <v>2019</v>
      </c>
      <c r="X59" s="234"/>
      <c r="AB59" s="393"/>
      <c r="AC59" s="394"/>
      <c r="AD59" s="395"/>
      <c r="AE59" s="396"/>
      <c r="AF59" s="397"/>
    </row>
    <row r="60" spans="1:32" ht="16.149999999999999" customHeight="1" x14ac:dyDescent="0.2">
      <c r="A60" s="234"/>
      <c r="B60" s="233">
        <v>2020</v>
      </c>
      <c r="C60" s="234"/>
      <c r="D60" s="417"/>
      <c r="E60" s="263">
        <f>SUM(E29:E40)</f>
        <v>3023</v>
      </c>
      <c r="F60" s="263"/>
      <c r="G60" s="263">
        <f>SUM(G29:G40)</f>
        <v>67</v>
      </c>
      <c r="H60" s="263">
        <f t="shared" ref="H60:N60" si="48">SUM(H29:H39)</f>
        <v>27</v>
      </c>
      <c r="I60" s="263">
        <f t="shared" si="48"/>
        <v>20</v>
      </c>
      <c r="J60" s="263">
        <f t="shared" si="48"/>
        <v>59</v>
      </c>
      <c r="K60" s="263">
        <f t="shared" si="48"/>
        <v>103</v>
      </c>
      <c r="L60" s="263">
        <f t="shared" si="48"/>
        <v>152</v>
      </c>
      <c r="M60" s="263">
        <f>SUM(M29:M40)</f>
        <v>64</v>
      </c>
      <c r="N60" s="263">
        <f t="shared" si="48"/>
        <v>0</v>
      </c>
      <c r="O60" s="263">
        <f>SUM(O29:O40)</f>
        <v>0</v>
      </c>
      <c r="P60" s="263">
        <f>SUM(P29:P40)</f>
        <v>0</v>
      </c>
      <c r="Q60" s="263">
        <f>SUM(Q29:Q40)</f>
        <v>0</v>
      </c>
      <c r="R60" s="263">
        <f>SUM(R29:R40)</f>
        <v>0</v>
      </c>
      <c r="S60" s="374">
        <f t="shared" si="25"/>
        <v>492</v>
      </c>
      <c r="T60" s="263">
        <f t="shared" si="45"/>
        <v>41</v>
      </c>
      <c r="U60" s="343">
        <f t="shared" si="17"/>
        <v>61.731707317073173</v>
      </c>
      <c r="V60" s="252">
        <f t="shared" si="26"/>
        <v>2531</v>
      </c>
      <c r="W60" s="233">
        <v>2020</v>
      </c>
      <c r="X60" s="234"/>
      <c r="AB60" s="393"/>
      <c r="AC60" s="394"/>
      <c r="AD60" s="395"/>
      <c r="AE60" s="396"/>
      <c r="AF60" s="397"/>
    </row>
    <row r="61" spans="1:32" x14ac:dyDescent="0.2">
      <c r="A61" s="234"/>
      <c r="B61" s="233">
        <v>2021</v>
      </c>
      <c r="C61" s="234"/>
      <c r="D61" s="417"/>
      <c r="E61" s="263">
        <f>SUM(E42:E51)</f>
        <v>0</v>
      </c>
      <c r="F61" s="263"/>
      <c r="G61" s="263">
        <f t="shared" ref="G61:R61" si="49">SUM(G42:G51)</f>
        <v>0</v>
      </c>
      <c r="H61" s="263">
        <f t="shared" si="49"/>
        <v>0</v>
      </c>
      <c r="I61" s="263">
        <f t="shared" si="49"/>
        <v>0</v>
      </c>
      <c r="J61" s="263">
        <f t="shared" si="49"/>
        <v>50</v>
      </c>
      <c r="K61" s="263">
        <f t="shared" si="49"/>
        <v>28</v>
      </c>
      <c r="L61" s="263">
        <f t="shared" si="49"/>
        <v>57</v>
      </c>
      <c r="M61" s="263">
        <f>SUM(M42:M55)</f>
        <v>94</v>
      </c>
      <c r="N61" s="263">
        <f t="shared" si="49"/>
        <v>0</v>
      </c>
      <c r="O61" s="263">
        <f t="shared" si="49"/>
        <v>0</v>
      </c>
      <c r="P61" s="263">
        <f t="shared" si="49"/>
        <v>0</v>
      </c>
      <c r="Q61" s="263">
        <f t="shared" si="49"/>
        <v>0</v>
      </c>
      <c r="R61" s="263">
        <f t="shared" si="49"/>
        <v>0</v>
      </c>
      <c r="S61" s="374">
        <f t="shared" si="25"/>
        <v>229</v>
      </c>
      <c r="T61" s="263">
        <f t="shared" si="45"/>
        <v>19.083333333333332</v>
      </c>
      <c r="U61" s="343">
        <f t="shared" si="17"/>
        <v>54.969432314410483</v>
      </c>
      <c r="V61" s="252">
        <f>SUM(V42:V51)</f>
        <v>1049</v>
      </c>
      <c r="W61" s="233">
        <v>2021</v>
      </c>
      <c r="X61" s="234"/>
      <c r="AB61" s="393"/>
      <c r="AC61" s="394"/>
      <c r="AD61" s="395"/>
      <c r="AE61" s="396"/>
      <c r="AF61" s="397"/>
    </row>
    <row r="62" spans="1:32" ht="18" x14ac:dyDescent="0.25">
      <c r="A62" s="418"/>
      <c r="B62" s="419" t="s">
        <v>59</v>
      </c>
      <c r="C62" s="418"/>
      <c r="D62" s="420"/>
      <c r="E62" s="421">
        <f>SUM(E57:E60)</f>
        <v>6374</v>
      </c>
      <c r="F62" s="421"/>
      <c r="G62" s="421">
        <f>SUM(G57:G61)</f>
        <v>174</v>
      </c>
      <c r="H62" s="421">
        <f t="shared" ref="H62:R62" si="50">SUM(H57:H61)</f>
        <v>297</v>
      </c>
      <c r="I62" s="421">
        <f t="shared" si="50"/>
        <v>401</v>
      </c>
      <c r="J62" s="421">
        <f t="shared" si="50"/>
        <v>365</v>
      </c>
      <c r="K62" s="421">
        <f t="shared" si="50"/>
        <v>385</v>
      </c>
      <c r="L62" s="421">
        <f t="shared" si="50"/>
        <v>463</v>
      </c>
      <c r="M62" s="421">
        <f>SUM(M57:M61)</f>
        <v>270</v>
      </c>
      <c r="N62" s="421">
        <f t="shared" si="50"/>
        <v>0</v>
      </c>
      <c r="O62" s="421">
        <f t="shared" si="50"/>
        <v>0</v>
      </c>
      <c r="P62" s="421">
        <f t="shared" si="50"/>
        <v>0</v>
      </c>
      <c r="Q62" s="421">
        <f t="shared" si="50"/>
        <v>0</v>
      </c>
      <c r="R62" s="421">
        <f t="shared" si="50"/>
        <v>0</v>
      </c>
      <c r="S62" s="421">
        <f>SUM(G62:R62)</f>
        <v>2355</v>
      </c>
      <c r="T62" s="421">
        <f t="shared" si="45"/>
        <v>196.25</v>
      </c>
      <c r="U62" s="422">
        <f>V62/T62</f>
        <v>20.478980891719747</v>
      </c>
      <c r="V62" s="424">
        <f t="shared" si="26"/>
        <v>4019</v>
      </c>
      <c r="W62" s="419" t="s">
        <v>59</v>
      </c>
      <c r="X62" s="418"/>
      <c r="AB62" s="393"/>
      <c r="AC62" s="394"/>
      <c r="AD62" s="395"/>
      <c r="AE62" s="396"/>
      <c r="AF62" s="397"/>
    </row>
    <row r="63" spans="1:32" x14ac:dyDescent="0.2">
      <c r="A63" s="226"/>
      <c r="B63" s="269"/>
      <c r="C63" s="269"/>
      <c r="D63" s="226"/>
      <c r="E63" s="271"/>
      <c r="F63" s="271"/>
      <c r="G63" s="271"/>
      <c r="H63" s="271"/>
      <c r="I63" s="271"/>
      <c r="J63" s="271"/>
      <c r="K63" s="271"/>
      <c r="L63" s="272"/>
      <c r="M63" s="272"/>
      <c r="N63" s="272"/>
      <c r="O63" s="272"/>
      <c r="P63" s="272"/>
      <c r="Q63" s="272"/>
      <c r="R63" s="272"/>
      <c r="S63" s="272"/>
      <c r="T63" s="340"/>
      <c r="U63" s="341"/>
      <c r="V63" s="305"/>
      <c r="W63" s="269"/>
      <c r="X63" s="269"/>
      <c r="AB63" s="393"/>
      <c r="AC63" s="394"/>
      <c r="AD63" s="395"/>
      <c r="AE63" s="396"/>
      <c r="AF63" s="397"/>
    </row>
    <row r="64" spans="1:32" x14ac:dyDescent="0.2">
      <c r="A64" s="220" t="s">
        <v>294</v>
      </c>
      <c r="B64" s="237">
        <v>2021</v>
      </c>
      <c r="C64" s="234" t="s">
        <v>290</v>
      </c>
      <c r="D64" s="256"/>
      <c r="E64" s="293">
        <v>0</v>
      </c>
      <c r="F64" s="293">
        <v>21</v>
      </c>
      <c r="G64" s="246"/>
      <c r="H64" s="246"/>
      <c r="I64" s="246"/>
      <c r="J64" s="246"/>
      <c r="K64" s="246"/>
      <c r="L64" s="246"/>
      <c r="M64" s="237">
        <v>14</v>
      </c>
      <c r="N64" s="237"/>
      <c r="O64" s="237"/>
      <c r="P64" s="237"/>
      <c r="Q64" s="237"/>
      <c r="R64" s="237"/>
      <c r="S64" s="434">
        <f t="shared" ref="S64:S66" si="51">SUM(G64:R64)</f>
        <v>14</v>
      </c>
      <c r="T64" s="345">
        <f t="shared" ref="T64:T66" si="52">IFERROR((AVERAGE(G64:R64)),0)</f>
        <v>14</v>
      </c>
      <c r="U64" s="279">
        <f t="shared" ref="U64:U66" si="53">IFERROR((V64/T64),0)</f>
        <v>0.5</v>
      </c>
      <c r="V64" s="236">
        <f t="shared" ref="V64:V66" si="54">E64+F64-S64</f>
        <v>7</v>
      </c>
      <c r="W64" s="236">
        <f t="shared" ref="W64:W66" si="55">+B64</f>
        <v>2021</v>
      </c>
      <c r="X64" s="367" t="str">
        <f t="shared" ref="X64:X66" si="56">+C64</f>
        <v>Clearly White</v>
      </c>
      <c r="AB64" s="393"/>
      <c r="AC64" s="394"/>
      <c r="AD64" s="395"/>
      <c r="AE64" s="396"/>
      <c r="AF64" s="397"/>
    </row>
    <row r="65" spans="1:32" x14ac:dyDescent="0.2">
      <c r="A65" s="220" t="s">
        <v>295</v>
      </c>
      <c r="B65" s="237">
        <v>2021</v>
      </c>
      <c r="C65" s="234" t="s">
        <v>292</v>
      </c>
      <c r="D65" s="256"/>
      <c r="E65" s="293">
        <v>0</v>
      </c>
      <c r="F65" s="293">
        <v>20</v>
      </c>
      <c r="G65" s="246"/>
      <c r="H65" s="246"/>
      <c r="I65" s="246"/>
      <c r="J65" s="246"/>
      <c r="K65" s="246"/>
      <c r="L65" s="246"/>
      <c r="M65" s="237">
        <v>12</v>
      </c>
      <c r="N65" s="237"/>
      <c r="O65" s="237"/>
      <c r="P65" s="237"/>
      <c r="Q65" s="237"/>
      <c r="R65" s="237"/>
      <c r="S65" s="434">
        <f t="shared" si="51"/>
        <v>12</v>
      </c>
      <c r="T65" s="345">
        <f t="shared" si="52"/>
        <v>12</v>
      </c>
      <c r="U65" s="279">
        <f t="shared" si="53"/>
        <v>0.66666666666666663</v>
      </c>
      <c r="V65" s="236">
        <f t="shared" si="54"/>
        <v>8</v>
      </c>
      <c r="W65" s="236">
        <f t="shared" si="55"/>
        <v>2021</v>
      </c>
      <c r="X65" s="367" t="str">
        <f t="shared" si="56"/>
        <v>Clearly Rose</v>
      </c>
      <c r="AB65" s="393"/>
      <c r="AC65" s="394"/>
      <c r="AD65" s="395"/>
      <c r="AE65" s="396"/>
      <c r="AF65" s="397"/>
    </row>
    <row r="66" spans="1:32" s="423" customFormat="1" ht="18" x14ac:dyDescent="0.25">
      <c r="A66" s="220" t="s">
        <v>295</v>
      </c>
      <c r="B66" s="237">
        <v>2021</v>
      </c>
      <c r="C66" s="234" t="s">
        <v>293</v>
      </c>
      <c r="D66" s="256"/>
      <c r="E66" s="293">
        <v>0</v>
      </c>
      <c r="F66" s="293">
        <v>23</v>
      </c>
      <c r="G66" s="246"/>
      <c r="H66" s="246"/>
      <c r="I66" s="246"/>
      <c r="J66" s="246"/>
      <c r="K66" s="246"/>
      <c r="L66" s="246"/>
      <c r="M66" s="237">
        <v>16</v>
      </c>
      <c r="N66" s="237"/>
      <c r="O66" s="237"/>
      <c r="P66" s="237"/>
      <c r="Q66" s="237"/>
      <c r="R66" s="237"/>
      <c r="S66" s="434">
        <f t="shared" si="51"/>
        <v>16</v>
      </c>
      <c r="T66" s="345">
        <f t="shared" si="52"/>
        <v>16</v>
      </c>
      <c r="U66" s="279">
        <f t="shared" si="53"/>
        <v>0.4375</v>
      </c>
      <c r="V66" s="236">
        <f t="shared" si="54"/>
        <v>7</v>
      </c>
      <c r="W66" s="236">
        <f t="shared" si="55"/>
        <v>2021</v>
      </c>
      <c r="X66" s="367" t="str">
        <f t="shared" si="56"/>
        <v>Cleary Sangria</v>
      </c>
      <c r="Y66" s="426"/>
      <c r="Z66" s="426"/>
      <c r="AA66" s="426"/>
      <c r="AB66" s="393"/>
      <c r="AC66" s="394"/>
      <c r="AD66" s="395"/>
      <c r="AE66" s="396"/>
      <c r="AF66" s="397"/>
    </row>
    <row r="67" spans="1:32" x14ac:dyDescent="0.2">
      <c r="B67" s="365"/>
      <c r="C67" s="365"/>
      <c r="D67" s="366" t="s">
        <v>257</v>
      </c>
      <c r="E67" s="366" t="s">
        <v>4</v>
      </c>
      <c r="F67" s="366"/>
      <c r="G67" s="366" t="s">
        <v>5</v>
      </c>
      <c r="H67" s="366"/>
      <c r="I67" s="366"/>
      <c r="J67" s="365"/>
      <c r="K67" s="366"/>
      <c r="L67" s="366"/>
      <c r="M67" s="366"/>
      <c r="N67" s="366"/>
      <c r="O67" s="366"/>
      <c r="P67" s="366"/>
      <c r="Q67" s="366"/>
      <c r="R67" s="221"/>
      <c r="U67" s="221"/>
      <c r="W67" s="220"/>
      <c r="AB67" s="393"/>
      <c r="AC67" s="394"/>
      <c r="AD67" s="395"/>
      <c r="AE67" s="396"/>
      <c r="AF67" s="397"/>
    </row>
    <row r="68" spans="1:32" x14ac:dyDescent="0.2">
      <c r="B68"/>
      <c r="C68"/>
      <c r="D68"/>
      <c r="E68"/>
      <c r="F68"/>
      <c r="G68"/>
      <c r="H68" s="234"/>
      <c r="I68" s="234"/>
      <c r="J68" s="234"/>
      <c r="K68" s="234"/>
      <c r="L68" s="234"/>
      <c r="M68" s="234"/>
      <c r="N68" s="234"/>
      <c r="O68" s="234"/>
      <c r="P68" s="234"/>
      <c r="Q68" s="234"/>
      <c r="S68" s="374">
        <f>SUM(G61:R61)</f>
        <v>229</v>
      </c>
      <c r="U68" s="221"/>
      <c r="W68" s="220"/>
      <c r="AB68" s="393"/>
      <c r="AC68" s="394"/>
      <c r="AD68" s="395"/>
      <c r="AE68" s="396"/>
      <c r="AF68" s="397"/>
    </row>
    <row r="69" spans="1:32" x14ac:dyDescent="0.2">
      <c r="B69"/>
      <c r="C69"/>
      <c r="D69"/>
      <c r="E69"/>
      <c r="F69"/>
      <c r="G69"/>
      <c r="H69" s="234"/>
      <c r="I69" s="234"/>
      <c r="J69" s="234"/>
      <c r="K69" s="234"/>
      <c r="L69" s="234"/>
      <c r="M69" s="234"/>
      <c r="N69" s="234"/>
      <c r="O69" s="234"/>
      <c r="P69" s="234"/>
      <c r="Q69" s="234"/>
      <c r="U69" s="221"/>
      <c r="W69" s="220"/>
      <c r="AB69" s="393"/>
      <c r="AC69" s="394"/>
      <c r="AD69" s="395"/>
      <c r="AE69" s="396"/>
      <c r="AF69" s="397"/>
    </row>
    <row r="70" spans="1:32" x14ac:dyDescent="0.2">
      <c r="B70"/>
      <c r="C70"/>
      <c r="D70"/>
      <c r="E70"/>
      <c r="F70"/>
      <c r="G70"/>
      <c r="H70" s="234"/>
      <c r="I70" s="234"/>
      <c r="J70" s="234"/>
      <c r="K70" s="234"/>
      <c r="L70" s="234"/>
      <c r="M70" s="234"/>
      <c r="N70" s="234"/>
      <c r="O70" s="234"/>
      <c r="P70" s="234"/>
      <c r="Q70" s="234"/>
      <c r="U70" s="221"/>
      <c r="W70" s="220"/>
      <c r="AB70" s="393"/>
      <c r="AC70" s="394"/>
      <c r="AD70" s="395"/>
      <c r="AE70" s="396"/>
      <c r="AF70" s="397"/>
    </row>
    <row r="71" spans="1:32" x14ac:dyDescent="0.2">
      <c r="B71"/>
      <c r="C71"/>
      <c r="D71"/>
      <c r="E71"/>
      <c r="F71"/>
      <c r="G71"/>
      <c r="H71" s="234"/>
      <c r="I71" s="234"/>
      <c r="J71" s="234"/>
      <c r="K71" s="234"/>
      <c r="L71" s="234"/>
      <c r="M71" s="234"/>
      <c r="N71" s="234"/>
      <c r="O71" s="234"/>
      <c r="P71" s="234"/>
      <c r="Q71" s="234"/>
      <c r="U71" s="221"/>
      <c r="W71" s="220"/>
      <c r="AB71" s="393"/>
      <c r="AC71" s="394"/>
      <c r="AD71" s="395"/>
      <c r="AE71" s="396"/>
      <c r="AF71" s="397"/>
    </row>
    <row r="72" spans="1:32" ht="15.75" x14ac:dyDescent="0.25">
      <c r="B72"/>
      <c r="C72"/>
      <c r="D72"/>
      <c r="E72"/>
      <c r="F72"/>
      <c r="G72"/>
      <c r="H72" s="234"/>
      <c r="I72" s="234"/>
      <c r="J72" s="234"/>
      <c r="K72" s="234"/>
      <c r="L72" s="234"/>
      <c r="M72" s="234"/>
      <c r="N72" s="234"/>
      <c r="O72" s="234"/>
      <c r="P72" s="234"/>
      <c r="Q72" s="234"/>
      <c r="U72" s="221"/>
      <c r="W72" s="220"/>
      <c r="AB72" s="353"/>
      <c r="AC72" s="353"/>
      <c r="AD72" s="430" t="s">
        <v>182</v>
      </c>
      <c r="AE72" s="353"/>
    </row>
    <row r="73" spans="1:32" x14ac:dyDescent="0.2">
      <c r="B73"/>
      <c r="C73"/>
      <c r="D73"/>
      <c r="E73"/>
      <c r="F73"/>
      <c r="G73"/>
      <c r="H73" s="234"/>
      <c r="I73" s="234"/>
      <c r="J73" s="234"/>
      <c r="K73" s="234"/>
      <c r="L73" s="234"/>
      <c r="M73" s="234"/>
      <c r="N73" s="234"/>
      <c r="O73" s="234"/>
      <c r="P73" s="234"/>
      <c r="Q73" s="234"/>
      <c r="U73" s="221"/>
      <c r="W73" s="220"/>
      <c r="AB73" s="412"/>
      <c r="AC73" s="413"/>
      <c r="AD73" s="412"/>
      <c r="AE73" s="414"/>
      <c r="AF73" s="412"/>
    </row>
    <row r="74" spans="1:32" x14ac:dyDescent="0.2">
      <c r="B74"/>
      <c r="C74"/>
      <c r="D74"/>
      <c r="E74"/>
      <c r="F74"/>
      <c r="G74"/>
      <c r="H74" s="234"/>
      <c r="I74" s="234"/>
      <c r="J74" s="234"/>
      <c r="K74" s="234"/>
      <c r="L74" s="234"/>
      <c r="M74" s="234"/>
      <c r="N74" s="234"/>
      <c r="O74" s="234"/>
      <c r="P74" s="234"/>
      <c r="Q74" s="234"/>
      <c r="U74" s="221"/>
      <c r="W74" s="220"/>
      <c r="AB74" s="412"/>
      <c r="AC74" s="413"/>
      <c r="AD74" s="412"/>
      <c r="AE74" s="414"/>
      <c r="AF74" s="412"/>
    </row>
    <row r="75" spans="1:32" x14ac:dyDescent="0.2">
      <c r="B75"/>
      <c r="C75"/>
      <c r="D75"/>
      <c r="E75"/>
      <c r="F75"/>
      <c r="G75"/>
      <c r="H75" s="234"/>
      <c r="I75" s="234"/>
      <c r="J75" s="234"/>
      <c r="K75" s="234"/>
      <c r="L75" s="234"/>
      <c r="M75" s="234"/>
      <c r="N75" s="234"/>
      <c r="O75" s="234"/>
      <c r="P75" s="234"/>
      <c r="Q75" s="234"/>
      <c r="U75" s="221"/>
      <c r="W75" s="220"/>
      <c r="AB75" s="412"/>
      <c r="AC75" s="413"/>
      <c r="AD75" s="412"/>
      <c r="AE75" s="414"/>
      <c r="AF75" s="412"/>
    </row>
    <row r="76" spans="1:32" ht="18" x14ac:dyDescent="0.25">
      <c r="B76" s="234"/>
      <c r="C76" s="234"/>
      <c r="D76" s="234"/>
      <c r="E76" s="234"/>
      <c r="F76" s="234"/>
      <c r="G76" s="234"/>
      <c r="H76" s="234"/>
      <c r="I76" s="234"/>
      <c r="J76" s="234"/>
      <c r="K76" s="234"/>
      <c r="L76" s="234"/>
      <c r="M76" s="234"/>
      <c r="N76" s="234"/>
      <c r="O76" s="234"/>
      <c r="P76" s="234"/>
      <c r="Q76" s="234"/>
      <c r="U76" s="221"/>
      <c r="W76" s="220"/>
      <c r="AB76" s="412"/>
      <c r="AC76" s="413"/>
      <c r="AD76" s="415"/>
      <c r="AE76" s="414"/>
      <c r="AF76" s="416"/>
    </row>
    <row r="77" spans="1:32" ht="18" x14ac:dyDescent="0.25">
      <c r="B77" s="365" t="s">
        <v>35</v>
      </c>
      <c r="C77" s="365" t="s">
        <v>35</v>
      </c>
      <c r="D77" s="366"/>
      <c r="E77" s="366"/>
      <c r="F77" s="366"/>
      <c r="G77" s="366"/>
      <c r="H77" s="366"/>
      <c r="I77" s="366"/>
      <c r="J77" s="365"/>
      <c r="K77" s="366"/>
      <c r="L77" s="366"/>
      <c r="M77" s="366"/>
      <c r="N77" s="366"/>
      <c r="O77" s="366"/>
      <c r="P77" s="366"/>
      <c r="Q77" s="366"/>
      <c r="U77" s="221"/>
      <c r="W77" s="220"/>
      <c r="AB77" s="412"/>
      <c r="AC77" s="413"/>
      <c r="AD77" s="415"/>
      <c r="AE77" s="414"/>
      <c r="AF77" s="416"/>
    </row>
    <row r="78" spans="1:32" ht="18" x14ac:dyDescent="0.25">
      <c r="B78" s="234"/>
      <c r="C78" s="234"/>
      <c r="D78" s="234"/>
      <c r="E78" s="234"/>
      <c r="F78" s="234"/>
      <c r="G78" s="234"/>
      <c r="H78" s="234"/>
      <c r="I78" s="234"/>
      <c r="J78" s="234"/>
      <c r="K78" s="234"/>
      <c r="L78" s="234"/>
      <c r="M78" s="234"/>
      <c r="N78" s="234"/>
      <c r="O78" s="234"/>
      <c r="P78" s="234"/>
      <c r="Q78" s="234"/>
      <c r="U78" s="221"/>
      <c r="W78" s="220"/>
      <c r="AB78" s="412"/>
      <c r="AC78" s="413"/>
      <c r="AD78" s="415"/>
      <c r="AE78" s="414"/>
      <c r="AF78" s="416"/>
    </row>
    <row r="79" spans="1:32" ht="18" x14ac:dyDescent="0.25">
      <c r="B79" s="234"/>
      <c r="C79" s="234"/>
      <c r="D79" s="234"/>
      <c r="E79" s="234"/>
      <c r="F79" s="234"/>
      <c r="G79" s="234"/>
      <c r="H79" s="234"/>
      <c r="I79" s="234"/>
      <c r="J79" s="234"/>
      <c r="K79" s="234"/>
      <c r="L79" s="234"/>
      <c r="M79" s="234"/>
      <c r="N79" s="234"/>
      <c r="O79" s="234"/>
      <c r="P79" s="234"/>
      <c r="Q79" s="234"/>
      <c r="U79" s="221"/>
      <c r="W79" s="220"/>
      <c r="AB79" s="412"/>
      <c r="AC79" s="413"/>
      <c r="AD79" s="415"/>
      <c r="AE79" s="414"/>
      <c r="AF79" s="416"/>
    </row>
    <row r="80" spans="1:32" x14ac:dyDescent="0.2">
      <c r="B80" s="234"/>
      <c r="C80" s="234"/>
      <c r="D80" s="234"/>
      <c r="E80" s="234"/>
      <c r="F80" s="234"/>
      <c r="G80" s="234"/>
      <c r="H80" s="234"/>
      <c r="I80" s="234"/>
      <c r="J80" s="234"/>
      <c r="K80" s="234"/>
      <c r="L80" s="234"/>
      <c r="M80" s="234"/>
      <c r="N80" s="234"/>
      <c r="O80" s="234"/>
      <c r="P80" s="234"/>
      <c r="Q80" s="234"/>
      <c r="U80" s="221"/>
      <c r="W80" s="220"/>
      <c r="AB80" s="401"/>
      <c r="AC80" s="359"/>
      <c r="AD80" s="359"/>
      <c r="AE80" s="359"/>
    </row>
    <row r="81" spans="1:32" x14ac:dyDescent="0.2">
      <c r="B81" s="234"/>
      <c r="C81" s="234"/>
      <c r="D81" s="234"/>
      <c r="E81" s="234"/>
      <c r="F81" s="234"/>
      <c r="G81" s="234"/>
      <c r="H81" s="234"/>
      <c r="I81" s="234"/>
      <c r="J81" s="234"/>
      <c r="K81" s="234"/>
      <c r="L81" s="234"/>
      <c r="M81" s="234"/>
      <c r="N81" s="234"/>
      <c r="O81" s="234"/>
      <c r="P81" s="234"/>
      <c r="Q81" s="234"/>
      <c r="U81" s="221"/>
      <c r="W81" s="220"/>
      <c r="AB81" s="401"/>
      <c r="AC81" s="359"/>
      <c r="AD81" s="359"/>
      <c r="AE81" s="359"/>
    </row>
    <row r="82" spans="1:32" x14ac:dyDescent="0.2">
      <c r="B82" s="234"/>
      <c r="C82" s="234"/>
      <c r="D82" s="234"/>
      <c r="E82" s="234"/>
      <c r="F82" s="234"/>
      <c r="G82" s="234"/>
      <c r="H82" s="234"/>
      <c r="I82" s="234"/>
      <c r="J82" s="234"/>
      <c r="K82" s="234"/>
      <c r="L82" s="234"/>
      <c r="M82" s="234"/>
      <c r="N82" s="234"/>
      <c r="O82" s="234"/>
      <c r="P82" s="234"/>
      <c r="Q82" s="234"/>
      <c r="U82" s="221"/>
      <c r="W82" s="220"/>
      <c r="AB82" s="330"/>
      <c r="AC82" s="359"/>
      <c r="AD82" s="330"/>
      <c r="AE82" s="330"/>
    </row>
    <row r="83" spans="1:32" x14ac:dyDescent="0.2">
      <c r="B83" s="368"/>
      <c r="C83" s="368"/>
      <c r="D83" s="368"/>
      <c r="E83" s="368"/>
      <c r="F83" s="368"/>
      <c r="G83" s="368"/>
      <c r="H83" s="368"/>
      <c r="I83" s="368"/>
      <c r="J83" s="368"/>
      <c r="K83" s="368"/>
      <c r="L83" s="368"/>
      <c r="M83" s="368"/>
      <c r="N83" s="368"/>
      <c r="O83" s="368"/>
      <c r="P83" s="368"/>
      <c r="Q83" s="368"/>
      <c r="U83" s="221"/>
      <c r="W83" s="220"/>
      <c r="AB83" s="330"/>
      <c r="AC83" s="359"/>
      <c r="AD83" s="330"/>
      <c r="AE83" s="330"/>
    </row>
    <row r="84" spans="1:32" x14ac:dyDescent="0.2">
      <c r="B84" s="368"/>
      <c r="C84" s="368"/>
      <c r="D84" s="368"/>
      <c r="E84" s="368"/>
      <c r="F84" s="368"/>
      <c r="G84" s="368"/>
      <c r="H84" s="368"/>
      <c r="I84" s="368"/>
      <c r="J84" s="368"/>
      <c r="K84" s="368"/>
      <c r="L84" s="368"/>
      <c r="M84" s="368"/>
      <c r="N84" s="368"/>
      <c r="O84" s="368"/>
      <c r="P84" s="368"/>
      <c r="Q84" s="368"/>
      <c r="U84" s="221"/>
      <c r="W84" s="220"/>
      <c r="AB84" s="330"/>
      <c r="AC84" s="359"/>
      <c r="AD84" s="330"/>
      <c r="AE84" s="330"/>
    </row>
    <row r="85" spans="1:32" x14ac:dyDescent="0.2">
      <c r="D85" s="220"/>
      <c r="U85" s="221"/>
      <c r="W85" s="220"/>
      <c r="AB85" s="330"/>
      <c r="AC85" s="359"/>
      <c r="AD85" s="330"/>
      <c r="AE85" s="330"/>
    </row>
    <row r="86" spans="1:32" ht="15.75" x14ac:dyDescent="0.25">
      <c r="A86" s="278"/>
      <c r="B86" s="278"/>
      <c r="C86" s="278" t="s">
        <v>59</v>
      </c>
      <c r="D86" s="278">
        <f>SUM(D57:D85)</f>
        <v>0</v>
      </c>
      <c r="E86" s="278">
        <f>SUM(E68:E85)</f>
        <v>0</v>
      </c>
      <c r="F86" s="278"/>
      <c r="G86" s="278">
        <f>SUM(G68:G75)</f>
        <v>0</v>
      </c>
      <c r="H86" s="278">
        <f t="shared" ref="H86:Q86" si="57">SUM(H57:H85)</f>
        <v>594</v>
      </c>
      <c r="I86" s="428">
        <f>SUM(I57:I85)</f>
        <v>802</v>
      </c>
      <c r="J86" s="278">
        <f t="shared" si="57"/>
        <v>730</v>
      </c>
      <c r="K86" s="278">
        <f t="shared" si="57"/>
        <v>770</v>
      </c>
      <c r="L86" s="278">
        <f t="shared" si="57"/>
        <v>926</v>
      </c>
      <c r="M86" s="278">
        <f t="shared" si="57"/>
        <v>582</v>
      </c>
      <c r="N86" s="278">
        <f t="shared" si="57"/>
        <v>0</v>
      </c>
      <c r="O86" s="278">
        <f t="shared" si="57"/>
        <v>0</v>
      </c>
      <c r="P86" s="278">
        <f t="shared" si="57"/>
        <v>0</v>
      </c>
      <c r="Q86" s="278">
        <f t="shared" si="57"/>
        <v>0</v>
      </c>
      <c r="R86" s="278"/>
      <c r="S86" s="278"/>
      <c r="T86" s="278"/>
      <c r="U86" s="278"/>
      <c r="V86" s="1"/>
      <c r="W86" s="1"/>
      <c r="X86" s="278"/>
      <c r="AB86" s="330"/>
      <c r="AC86" s="359"/>
      <c r="AD86" s="330"/>
      <c r="AE86" s="330"/>
    </row>
    <row r="87" spans="1:32" x14ac:dyDescent="0.2">
      <c r="AB87" s="330"/>
      <c r="AC87" s="359"/>
      <c r="AD87" s="330"/>
      <c r="AE87" s="330"/>
    </row>
    <row r="88" spans="1:32" x14ac:dyDescent="0.2">
      <c r="AB88" s="330"/>
      <c r="AC88" s="359"/>
      <c r="AD88" s="330"/>
      <c r="AE88" s="330"/>
    </row>
    <row r="89" spans="1:32" x14ac:dyDescent="0.2">
      <c r="B89" s="365" t="s">
        <v>35</v>
      </c>
      <c r="C89" s="365" t="s">
        <v>35</v>
      </c>
      <c r="D89" s="366"/>
      <c r="E89" s="366" t="s">
        <v>244</v>
      </c>
      <c r="F89" s="366"/>
      <c r="G89" s="366" t="s">
        <v>135</v>
      </c>
      <c r="H89" s="366" t="s">
        <v>117</v>
      </c>
      <c r="I89" s="366" t="s">
        <v>238</v>
      </c>
      <c r="J89" s="366" t="s">
        <v>239</v>
      </c>
      <c r="K89" s="365" t="s">
        <v>240</v>
      </c>
      <c r="L89" s="366"/>
      <c r="M89" s="366" t="s">
        <v>241</v>
      </c>
      <c r="N89" s="366" t="s">
        <v>242</v>
      </c>
      <c r="O89" s="366" t="s">
        <v>243</v>
      </c>
      <c r="S89" s="221"/>
      <c r="T89" s="221"/>
      <c r="V89" s="220"/>
      <c r="W89" s="220"/>
      <c r="X89" s="330"/>
      <c r="AB89" s="330"/>
      <c r="AC89" s="359"/>
      <c r="AD89" s="330"/>
      <c r="AE89" s="330"/>
    </row>
    <row r="90" spans="1:32" s="278" customFormat="1" ht="15.75" x14ac:dyDescent="0.25">
      <c r="A90" s="220"/>
      <c r="B90" s="234">
        <v>2019</v>
      </c>
      <c r="C90" s="234" t="s">
        <v>26</v>
      </c>
      <c r="D90" s="234">
        <v>20</v>
      </c>
      <c r="E90" s="234">
        <v>14</v>
      </c>
      <c r="F90" s="234"/>
      <c r="G90" s="234">
        <v>5</v>
      </c>
      <c r="H90" s="234" t="s">
        <v>35</v>
      </c>
      <c r="I90" s="234" t="s">
        <v>35</v>
      </c>
      <c r="J90" s="234" t="s">
        <v>35</v>
      </c>
      <c r="K90" s="234">
        <v>1</v>
      </c>
      <c r="L90" s="234">
        <f t="shared" ref="L90:L97" si="58">SUM(E90:K90)</f>
        <v>20</v>
      </c>
      <c r="M90" s="234">
        <f>E100</f>
        <v>336</v>
      </c>
      <c r="N90" s="234">
        <f>M90</f>
        <v>336</v>
      </c>
      <c r="O90" s="234"/>
      <c r="P90" s="220"/>
      <c r="Q90" s="220"/>
      <c r="R90" s="220"/>
      <c r="S90" s="221"/>
      <c r="T90" s="221"/>
      <c r="U90" s="220"/>
      <c r="V90" s="220"/>
      <c r="W90" s="220"/>
      <c r="X90" s="330"/>
      <c r="Y90" s="1"/>
      <c r="Z90" s="1"/>
      <c r="AA90" s="1"/>
      <c r="AB90" s="330"/>
      <c r="AC90" s="359"/>
      <c r="AD90" s="330"/>
      <c r="AE90" s="330"/>
      <c r="AF90" s="220"/>
    </row>
    <row r="91" spans="1:32" x14ac:dyDescent="0.2">
      <c r="B91" s="234"/>
      <c r="C91" s="234" t="s">
        <v>131</v>
      </c>
      <c r="D91" s="234">
        <v>20</v>
      </c>
      <c r="E91" s="234"/>
      <c r="F91" s="234"/>
      <c r="G91" s="234"/>
      <c r="H91" s="234"/>
      <c r="I91" s="234">
        <v>18</v>
      </c>
      <c r="J91" s="234"/>
      <c r="K91" s="234">
        <v>2</v>
      </c>
      <c r="L91" s="234">
        <f t="shared" si="58"/>
        <v>20</v>
      </c>
      <c r="M91" s="234">
        <f>I100</f>
        <v>432</v>
      </c>
      <c r="N91" s="234">
        <f t="shared" ref="N91:N95" si="59">M91</f>
        <v>432</v>
      </c>
      <c r="O91" s="234"/>
      <c r="S91" s="221"/>
      <c r="T91" s="221"/>
      <c r="V91" s="220"/>
      <c r="W91" s="220"/>
      <c r="X91" s="330"/>
      <c r="AB91" s="330"/>
      <c r="AC91" s="359"/>
      <c r="AD91" s="330"/>
      <c r="AE91" s="330"/>
    </row>
    <row r="92" spans="1:32" ht="15.75" x14ac:dyDescent="0.25">
      <c r="B92" s="234"/>
      <c r="C92" s="234" t="s">
        <v>23</v>
      </c>
      <c r="D92" s="234">
        <v>17</v>
      </c>
      <c r="E92" s="234"/>
      <c r="F92" s="234"/>
      <c r="G92" s="234">
        <v>10</v>
      </c>
      <c r="H92" s="234"/>
      <c r="I92" s="234"/>
      <c r="J92" s="234"/>
      <c r="K92" s="402">
        <v>7</v>
      </c>
      <c r="L92" s="234">
        <f t="shared" si="58"/>
        <v>17</v>
      </c>
      <c r="M92" s="234" t="s">
        <v>35</v>
      </c>
      <c r="N92" s="234" t="str">
        <f t="shared" si="59"/>
        <v xml:space="preserve"> </v>
      </c>
      <c r="O92" s="234"/>
      <c r="P92" s="220" t="s">
        <v>245</v>
      </c>
      <c r="S92" s="221"/>
      <c r="T92" s="221"/>
      <c r="V92" s="220"/>
      <c r="W92" s="220"/>
      <c r="X92" s="330"/>
      <c r="AB92" s="330"/>
      <c r="AC92" s="359"/>
      <c r="AD92" s="330"/>
      <c r="AE92" s="330"/>
    </row>
    <row r="93" spans="1:32" x14ac:dyDescent="0.2">
      <c r="B93" s="234"/>
      <c r="C93" s="234" t="s">
        <v>24</v>
      </c>
      <c r="D93" s="234">
        <v>6</v>
      </c>
      <c r="E93" s="234"/>
      <c r="F93" s="234"/>
      <c r="G93" s="234"/>
      <c r="H93" s="234">
        <v>6</v>
      </c>
      <c r="I93" s="234"/>
      <c r="J93" s="234"/>
      <c r="K93" s="234"/>
      <c r="L93" s="234">
        <f t="shared" si="58"/>
        <v>6</v>
      </c>
      <c r="M93" s="234">
        <f>H100</f>
        <v>144</v>
      </c>
      <c r="N93" s="234">
        <f t="shared" si="59"/>
        <v>144</v>
      </c>
      <c r="O93" s="234"/>
      <c r="S93" s="221"/>
      <c r="T93" s="221"/>
      <c r="V93" s="220"/>
      <c r="W93" s="220"/>
      <c r="X93" s="330"/>
      <c r="Y93" s="359"/>
      <c r="Z93" s="359"/>
      <c r="AA93" s="359"/>
      <c r="AB93" s="330"/>
      <c r="AC93" s="359"/>
      <c r="AD93" s="330"/>
      <c r="AE93" s="330"/>
    </row>
    <row r="94" spans="1:32" x14ac:dyDescent="0.2">
      <c r="B94" s="234"/>
      <c r="C94" s="234" t="s">
        <v>56</v>
      </c>
      <c r="D94" s="234">
        <v>5</v>
      </c>
      <c r="E94" s="234"/>
      <c r="F94" s="234"/>
      <c r="G94" s="234">
        <v>3</v>
      </c>
      <c r="H94" s="234"/>
      <c r="I94" s="234"/>
      <c r="J94" s="234"/>
      <c r="K94" s="234">
        <v>2</v>
      </c>
      <c r="L94" s="234">
        <f t="shared" si="58"/>
        <v>5</v>
      </c>
      <c r="M94" s="234" t="s">
        <v>35</v>
      </c>
      <c r="N94" s="234" t="str">
        <f t="shared" si="59"/>
        <v xml:space="preserve"> </v>
      </c>
      <c r="O94" s="234"/>
      <c r="S94" s="221"/>
      <c r="T94" s="221"/>
      <c r="V94" s="220"/>
      <c r="W94" s="220"/>
      <c r="Y94" s="359"/>
      <c r="Z94" s="359"/>
      <c r="AA94" s="359"/>
      <c r="AB94" s="330"/>
      <c r="AC94" s="359"/>
      <c r="AD94" s="330"/>
      <c r="AE94" s="330"/>
    </row>
    <row r="95" spans="1:32" x14ac:dyDescent="0.2">
      <c r="B95" s="234"/>
      <c r="C95" s="234" t="s">
        <v>135</v>
      </c>
      <c r="D95" s="234">
        <v>8</v>
      </c>
      <c r="E95" s="234" t="s">
        <v>35</v>
      </c>
      <c r="F95" s="234"/>
      <c r="G95" s="234">
        <v>8</v>
      </c>
      <c r="H95" s="234"/>
      <c r="I95" s="234"/>
      <c r="J95" s="234"/>
      <c r="K95" s="234"/>
      <c r="L95" s="234">
        <f t="shared" si="58"/>
        <v>8</v>
      </c>
      <c r="M95" s="234">
        <f>G100</f>
        <v>624</v>
      </c>
      <c r="N95" s="234">
        <f t="shared" si="59"/>
        <v>624</v>
      </c>
      <c r="O95" s="234"/>
      <c r="S95" s="221"/>
      <c r="T95" s="221"/>
      <c r="V95" s="220"/>
      <c r="W95" s="220"/>
      <c r="Y95" s="359"/>
      <c r="Z95" s="359"/>
      <c r="AA95" s="359"/>
      <c r="AB95" s="330"/>
      <c r="AC95" s="359"/>
      <c r="AD95" s="330"/>
      <c r="AE95" s="330"/>
    </row>
    <row r="96" spans="1:32" x14ac:dyDescent="0.2">
      <c r="B96" s="234"/>
      <c r="C96" s="234" t="s">
        <v>136</v>
      </c>
      <c r="D96" s="234">
        <v>21</v>
      </c>
      <c r="E96" s="234"/>
      <c r="F96" s="234"/>
      <c r="G96" s="234"/>
      <c r="H96" s="234"/>
      <c r="I96" s="234"/>
      <c r="J96" s="234">
        <v>21</v>
      </c>
      <c r="K96" s="234" t="s">
        <v>35</v>
      </c>
      <c r="L96" s="234">
        <f t="shared" si="58"/>
        <v>21</v>
      </c>
      <c r="M96" s="234">
        <f>J100</f>
        <v>504</v>
      </c>
      <c r="N96" s="234"/>
      <c r="O96" s="234">
        <f>M96</f>
        <v>504</v>
      </c>
      <c r="S96" s="221"/>
      <c r="T96" s="221"/>
      <c r="V96" s="220"/>
      <c r="W96" s="220"/>
      <c r="Y96" s="359"/>
      <c r="Z96" s="359"/>
      <c r="AA96" s="359"/>
      <c r="AB96" s="330"/>
      <c r="AC96" s="359"/>
      <c r="AD96" s="330"/>
      <c r="AE96" s="330"/>
    </row>
    <row r="97" spans="2:31" x14ac:dyDescent="0.2">
      <c r="B97" s="234"/>
      <c r="C97" s="234" t="s">
        <v>246</v>
      </c>
      <c r="D97" s="234">
        <v>1</v>
      </c>
      <c r="E97" s="234"/>
      <c r="F97" s="234"/>
      <c r="G97" s="234"/>
      <c r="H97" s="234"/>
      <c r="I97" s="234"/>
      <c r="J97" s="234"/>
      <c r="K97" s="234">
        <v>1</v>
      </c>
      <c r="L97" s="234">
        <f t="shared" si="58"/>
        <v>1</v>
      </c>
      <c r="M97" s="234">
        <f>K100</f>
        <v>312</v>
      </c>
      <c r="N97" s="234"/>
      <c r="O97" s="234">
        <f>M97</f>
        <v>312</v>
      </c>
      <c r="S97" s="221"/>
      <c r="T97" s="221"/>
      <c r="V97" s="220"/>
      <c r="W97" s="220"/>
      <c r="Y97" s="359"/>
      <c r="Z97" s="359"/>
      <c r="AA97" s="359"/>
      <c r="AB97" s="330"/>
      <c r="AC97" s="359"/>
      <c r="AD97" s="330"/>
      <c r="AE97" s="330"/>
    </row>
    <row r="98" spans="2:31" x14ac:dyDescent="0.2">
      <c r="D98" s="220"/>
      <c r="V98" s="220"/>
      <c r="X98" s="221"/>
      <c r="AB98" s="330"/>
      <c r="AC98" s="359"/>
      <c r="AD98" s="330"/>
      <c r="AE98" s="330"/>
    </row>
    <row r="99" spans="2:31" ht="15.75" x14ac:dyDescent="0.25">
      <c r="B99" s="278"/>
      <c r="C99" s="278" t="s">
        <v>59</v>
      </c>
      <c r="D99" s="278">
        <f>SUM(D90:D98)</f>
        <v>98</v>
      </c>
      <c r="E99" s="220">
        <f>SUM(E90:E98)</f>
        <v>14</v>
      </c>
      <c r="G99" s="220">
        <f t="shared" ref="G99:O99" si="60">SUM(G90:G98)</f>
        <v>26</v>
      </c>
      <c r="H99" s="220">
        <f t="shared" si="60"/>
        <v>6</v>
      </c>
      <c r="I99" s="220">
        <f t="shared" si="60"/>
        <v>18</v>
      </c>
      <c r="J99" s="220">
        <f t="shared" si="60"/>
        <v>21</v>
      </c>
      <c r="K99" s="220">
        <f t="shared" si="60"/>
        <v>13</v>
      </c>
      <c r="L99" s="278">
        <f t="shared" si="60"/>
        <v>98</v>
      </c>
      <c r="M99" s="278">
        <f t="shared" si="60"/>
        <v>2352</v>
      </c>
      <c r="N99" s="278">
        <f t="shared" si="60"/>
        <v>1536</v>
      </c>
      <c r="O99" s="278">
        <f t="shared" si="60"/>
        <v>816</v>
      </c>
      <c r="P99" s="278" t="s">
        <v>35</v>
      </c>
      <c r="Q99" s="278" t="s">
        <v>35</v>
      </c>
      <c r="R99" s="278" t="s">
        <v>35</v>
      </c>
      <c r="S99" s="278"/>
      <c r="V99" s="220"/>
      <c r="X99" s="221"/>
      <c r="AB99" s="330"/>
      <c r="AC99" s="359"/>
      <c r="AD99" s="330"/>
      <c r="AE99" s="330"/>
    </row>
    <row r="100" spans="2:31" x14ac:dyDescent="0.2">
      <c r="D100" s="220" t="s">
        <v>241</v>
      </c>
      <c r="E100" s="220">
        <f>E99*24</f>
        <v>336</v>
      </c>
      <c r="G100" s="220">
        <f t="shared" ref="G100:K100" si="61">G99*24</f>
        <v>624</v>
      </c>
      <c r="H100" s="220">
        <f t="shared" si="61"/>
        <v>144</v>
      </c>
      <c r="I100" s="220">
        <f t="shared" si="61"/>
        <v>432</v>
      </c>
      <c r="J100" s="220">
        <f t="shared" si="61"/>
        <v>504</v>
      </c>
      <c r="K100" s="220">
        <f t="shared" si="61"/>
        <v>312</v>
      </c>
      <c r="AB100" s="330"/>
      <c r="AC100" s="359"/>
      <c r="AD100" s="330"/>
      <c r="AE100" s="330"/>
    </row>
    <row r="101" spans="2:31" x14ac:dyDescent="0.2">
      <c r="AB101" s="330"/>
      <c r="AC101" s="359"/>
      <c r="AD101" s="330"/>
      <c r="AE101" s="330"/>
    </row>
    <row r="102" spans="2:31" x14ac:dyDescent="0.2">
      <c r="AB102" s="330"/>
      <c r="AC102" s="359"/>
      <c r="AD102" s="330"/>
      <c r="AE102" s="330"/>
    </row>
    <row r="103" spans="2:31" x14ac:dyDescent="0.2">
      <c r="AB103" s="330"/>
      <c r="AC103" s="359"/>
      <c r="AD103" s="330"/>
      <c r="AE103" s="330"/>
    </row>
    <row r="104" spans="2:31" x14ac:dyDescent="0.2">
      <c r="AB104" s="330"/>
      <c r="AC104" s="359"/>
      <c r="AD104" s="330"/>
      <c r="AE104" s="330"/>
    </row>
    <row r="105" spans="2:31" x14ac:dyDescent="0.2">
      <c r="AB105" s="330"/>
      <c r="AC105" s="359"/>
      <c r="AD105" s="330"/>
      <c r="AE105" s="330"/>
    </row>
    <row r="106" spans="2:31" x14ac:dyDescent="0.2">
      <c r="AB106" s="330"/>
      <c r="AC106" s="359"/>
      <c r="AD106" s="330"/>
      <c r="AE106" s="330"/>
    </row>
    <row r="107" spans="2:31" x14ac:dyDescent="0.2">
      <c r="AB107" s="330"/>
      <c r="AC107" s="359"/>
      <c r="AD107" s="330"/>
      <c r="AE107" s="330"/>
    </row>
    <row r="108" spans="2:31" x14ac:dyDescent="0.2">
      <c r="AB108" s="330"/>
      <c r="AC108" s="359"/>
      <c r="AD108" s="330"/>
      <c r="AE108" s="330"/>
    </row>
    <row r="109" spans="2:31" x14ac:dyDescent="0.2">
      <c r="AB109" s="330"/>
      <c r="AC109" s="359"/>
      <c r="AD109" s="330"/>
      <c r="AE109" s="330"/>
    </row>
    <row r="110" spans="2:31" x14ac:dyDescent="0.2">
      <c r="AB110" s="330"/>
      <c r="AC110" s="359"/>
      <c r="AD110" s="330"/>
      <c r="AE110" s="330"/>
    </row>
    <row r="111" spans="2:31" x14ac:dyDescent="0.2">
      <c r="AB111" s="330"/>
      <c r="AC111" s="359"/>
      <c r="AD111" s="330"/>
      <c r="AE111" s="330"/>
    </row>
    <row r="112" spans="2:31" x14ac:dyDescent="0.2">
      <c r="AB112" s="330"/>
      <c r="AC112" s="359"/>
      <c r="AD112" s="330"/>
      <c r="AE112" s="330"/>
    </row>
    <row r="113" spans="28:32" x14ac:dyDescent="0.2">
      <c r="AB113" s="330"/>
      <c r="AC113" s="359"/>
      <c r="AD113" s="330"/>
      <c r="AE113" s="330"/>
    </row>
    <row r="114" spans="28:32" ht="15.75" x14ac:dyDescent="0.25">
      <c r="AB114" s="387"/>
      <c r="AC114" s="387"/>
      <c r="AD114" s="358"/>
      <c r="AE114" s="387"/>
      <c r="AF114" s="278"/>
    </row>
    <row r="115" spans="28:32" x14ac:dyDescent="0.2">
      <c r="AB115" s="330"/>
      <c r="AC115" s="330"/>
      <c r="AD115" s="359"/>
      <c r="AE115" s="330"/>
    </row>
    <row r="116" spans="28:32" x14ac:dyDescent="0.2">
      <c r="AB116" s="330"/>
      <c r="AC116" s="330"/>
      <c r="AD116" s="359"/>
      <c r="AE116" s="330"/>
    </row>
    <row r="117" spans="28:32" x14ac:dyDescent="0.2">
      <c r="AB117" s="330"/>
      <c r="AD117" s="220"/>
    </row>
    <row r="118" spans="28:32" x14ac:dyDescent="0.2">
      <c r="AB118" s="330"/>
      <c r="AD118" s="220"/>
    </row>
    <row r="119" spans="28:32" x14ac:dyDescent="0.2">
      <c r="AB119" s="330"/>
      <c r="AD119" s="220"/>
    </row>
    <row r="120" spans="28:32" x14ac:dyDescent="0.2">
      <c r="AB120" s="330"/>
      <c r="AD120" s="220"/>
    </row>
    <row r="121" spans="28:32" x14ac:dyDescent="0.2">
      <c r="AB121" s="330"/>
      <c r="AD121" s="220"/>
    </row>
    <row r="122" spans="28:32" x14ac:dyDescent="0.2">
      <c r="AD122" s="220"/>
    </row>
    <row r="123" spans="28:32" x14ac:dyDescent="0.2">
      <c r="AD123" s="220"/>
    </row>
    <row r="124" spans="28:32" x14ac:dyDescent="0.2">
      <c r="AD124" s="220"/>
    </row>
    <row r="125" spans="28:32" x14ac:dyDescent="0.2">
      <c r="AD125" s="220"/>
    </row>
    <row r="126" spans="28:32" x14ac:dyDescent="0.2">
      <c r="AD126" s="220"/>
      <c r="AE126" s="221"/>
    </row>
    <row r="127" spans="28:32" x14ac:dyDescent="0.2">
      <c r="AD127" s="220"/>
      <c r="AE127" s="221"/>
    </row>
  </sheetData>
  <mergeCells count="1">
    <mergeCell ref="AB22:AF2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9"/>
  <sheetViews>
    <sheetView topLeftCell="A21" zoomScale="110" zoomScaleNormal="110" workbookViewId="0">
      <selection activeCell="D21" sqref="D21"/>
    </sheetView>
  </sheetViews>
  <sheetFormatPr defaultRowHeight="12.75" x14ac:dyDescent="0.2"/>
  <cols>
    <col min="1" max="1" width="8" customWidth="1"/>
    <col min="2" max="2" width="1.28515625" customWidth="1"/>
    <col min="3" max="3" width="16.7109375" customWidth="1"/>
    <col min="4" max="4" width="10" customWidth="1"/>
    <col min="5" max="5" width="12.28515625" customWidth="1"/>
    <col min="6" max="16" width="6.7109375" customWidth="1"/>
    <col min="17" max="17" width="7.7109375" customWidth="1"/>
    <col min="18" max="18" width="8.42578125" customWidth="1"/>
    <col min="19" max="19" width="10.42578125" customWidth="1"/>
    <col min="20" max="20" width="10.28515625" customWidth="1"/>
    <col min="21" max="21" width="14" customWidth="1"/>
  </cols>
  <sheetData>
    <row r="1" spans="1:21" ht="20.25" x14ac:dyDescent="0.3">
      <c r="A1" s="60"/>
      <c r="B1" s="5"/>
      <c r="C1" s="440" t="s">
        <v>0</v>
      </c>
      <c r="D1" s="441"/>
      <c r="E1" s="441"/>
      <c r="F1" s="441"/>
      <c r="G1" s="441"/>
      <c r="H1" s="441"/>
      <c r="I1" s="441"/>
      <c r="J1" s="441"/>
      <c r="K1" s="441"/>
      <c r="L1" s="441"/>
      <c r="M1" s="441"/>
      <c r="N1" s="441"/>
      <c r="O1" s="441"/>
      <c r="P1" s="441"/>
      <c r="Q1" s="441"/>
      <c r="R1" s="442"/>
      <c r="S1" s="67"/>
      <c r="T1" s="5"/>
      <c r="U1" s="6"/>
    </row>
    <row r="2" spans="1:21" ht="48" thickBot="1" x14ac:dyDescent="0.3">
      <c r="A2" s="61" t="s">
        <v>3</v>
      </c>
      <c r="C2" s="62" t="s">
        <v>2</v>
      </c>
      <c r="D2" s="63" t="s">
        <v>38</v>
      </c>
      <c r="E2" s="64" t="s">
        <v>39</v>
      </c>
      <c r="F2" s="65" t="s">
        <v>4</v>
      </c>
      <c r="G2" s="65" t="s">
        <v>5</v>
      </c>
      <c r="H2" s="65" t="s">
        <v>6</v>
      </c>
      <c r="I2" s="65" t="s">
        <v>7</v>
      </c>
      <c r="J2" s="65" t="s">
        <v>8</v>
      </c>
      <c r="K2" s="65" t="s">
        <v>9</v>
      </c>
      <c r="L2" s="65" t="s">
        <v>10</v>
      </c>
      <c r="M2" s="65" t="s">
        <v>11</v>
      </c>
      <c r="N2" s="65" t="s">
        <v>12</v>
      </c>
      <c r="O2" s="65" t="s">
        <v>13</v>
      </c>
      <c r="P2" s="65" t="s">
        <v>14</v>
      </c>
      <c r="Q2" s="65" t="s">
        <v>15</v>
      </c>
      <c r="R2" s="66" t="s">
        <v>16</v>
      </c>
      <c r="S2" s="68" t="s">
        <v>40</v>
      </c>
      <c r="T2" s="64" t="s">
        <v>19</v>
      </c>
      <c r="U2" s="69" t="s">
        <v>41</v>
      </c>
    </row>
    <row r="3" spans="1:21" x14ac:dyDescent="0.2">
      <c r="A3" s="72">
        <v>2006</v>
      </c>
      <c r="C3" s="22" t="s">
        <v>22</v>
      </c>
      <c r="D3" s="24">
        <v>32.583333333333336</v>
      </c>
      <c r="E3" s="22">
        <v>27</v>
      </c>
      <c r="F3" s="58">
        <v>0</v>
      </c>
      <c r="G3" s="59"/>
      <c r="H3" s="59"/>
      <c r="I3" s="59"/>
      <c r="J3" s="59"/>
      <c r="K3" s="59"/>
      <c r="L3" s="59"/>
      <c r="M3" s="59"/>
      <c r="N3" s="59"/>
      <c r="O3" s="59"/>
      <c r="P3" s="59"/>
      <c r="Q3" s="59">
        <v>0</v>
      </c>
      <c r="R3" s="23">
        <f>SUM(F3:Q3)</f>
        <v>0</v>
      </c>
      <c r="S3" s="24">
        <f>AVERAGE(F3:Q3)</f>
        <v>0</v>
      </c>
      <c r="T3" s="25" t="e">
        <f>U3/S3</f>
        <v>#DIV/0!</v>
      </c>
      <c r="U3" s="73">
        <v>0</v>
      </c>
    </row>
    <row r="4" spans="1:21" x14ac:dyDescent="0.2">
      <c r="A4" s="74"/>
      <c r="B4" s="75"/>
      <c r="C4" s="43"/>
      <c r="D4" s="44"/>
      <c r="E4" s="43"/>
      <c r="F4" s="43"/>
      <c r="G4" s="43"/>
      <c r="H4" s="43"/>
      <c r="I4" s="43"/>
      <c r="J4" s="43"/>
      <c r="K4" s="43"/>
      <c r="L4" s="43"/>
      <c r="M4" s="43"/>
      <c r="N4" s="43"/>
      <c r="O4" s="43"/>
      <c r="P4" s="43"/>
      <c r="Q4" s="43"/>
      <c r="R4" s="43"/>
      <c r="S4" s="44"/>
      <c r="T4" s="45"/>
      <c r="U4" s="76"/>
    </row>
    <row r="5" spans="1:21" x14ac:dyDescent="0.2">
      <c r="A5" s="77">
        <v>2007</v>
      </c>
      <c r="C5" s="2" t="s">
        <v>22</v>
      </c>
      <c r="D5" s="11">
        <v>7.333333333333333</v>
      </c>
      <c r="E5" s="2">
        <v>514</v>
      </c>
      <c r="F5" s="4">
        <v>12</v>
      </c>
      <c r="G5" s="4">
        <v>10</v>
      </c>
      <c r="H5" s="4">
        <v>15</v>
      </c>
      <c r="I5" s="4">
        <v>4</v>
      </c>
      <c r="J5" s="4">
        <v>16</v>
      </c>
      <c r="K5" s="4">
        <v>16</v>
      </c>
      <c r="L5" s="4">
        <v>9</v>
      </c>
      <c r="M5" s="4">
        <v>2</v>
      </c>
      <c r="N5" s="4">
        <v>13</v>
      </c>
      <c r="O5" s="4">
        <v>0</v>
      </c>
      <c r="P5" s="4">
        <v>13</v>
      </c>
      <c r="Q5" s="4">
        <v>5</v>
      </c>
      <c r="R5" s="3">
        <f>SUM(F5:Q5)</f>
        <v>115</v>
      </c>
      <c r="S5" s="11">
        <f>AVERAGE(F5:Q5)</f>
        <v>9.5833333333333339</v>
      </c>
      <c r="T5" s="10">
        <f>U5/S5</f>
        <v>41.634782608695652</v>
      </c>
      <c r="U5" s="78">
        <f>SUM(E5-R5)</f>
        <v>399</v>
      </c>
    </row>
    <row r="6" spans="1:21" x14ac:dyDescent="0.2">
      <c r="A6" s="77">
        <v>2007</v>
      </c>
      <c r="C6" s="2" t="s">
        <v>21</v>
      </c>
      <c r="D6" s="11">
        <v>25.3</v>
      </c>
      <c r="E6" s="2">
        <v>0</v>
      </c>
      <c r="F6" s="4">
        <v>0</v>
      </c>
      <c r="G6" s="33"/>
      <c r="H6" s="33"/>
      <c r="I6" s="33"/>
      <c r="J6" s="33"/>
      <c r="K6" s="33"/>
      <c r="L6" s="33"/>
      <c r="M6" s="33"/>
      <c r="N6" s="33"/>
      <c r="O6" s="33"/>
      <c r="P6" s="33"/>
      <c r="Q6" s="33"/>
      <c r="R6" s="3">
        <f>SUM(F6:Q6)</f>
        <v>0</v>
      </c>
      <c r="S6" s="11">
        <f>AVERAGE(F6:Q6)</f>
        <v>0</v>
      </c>
      <c r="T6" s="10">
        <v>0</v>
      </c>
      <c r="U6" s="78">
        <f>SUM(E6-R6)</f>
        <v>0</v>
      </c>
    </row>
    <row r="7" spans="1:21" x14ac:dyDescent="0.2">
      <c r="A7" s="79">
        <v>2007</v>
      </c>
      <c r="C7" s="16" t="s">
        <v>24</v>
      </c>
      <c r="D7" s="18">
        <v>18.100000000000001</v>
      </c>
      <c r="E7" s="16">
        <v>303</v>
      </c>
      <c r="F7" s="19">
        <v>3</v>
      </c>
      <c r="G7" s="19">
        <v>13</v>
      </c>
      <c r="H7" s="19">
        <v>37</v>
      </c>
      <c r="I7" s="19">
        <v>13</v>
      </c>
      <c r="J7" s="19">
        <v>33</v>
      </c>
      <c r="K7" s="19">
        <v>22</v>
      </c>
      <c r="L7" s="19">
        <v>26</v>
      </c>
      <c r="M7" s="19">
        <v>30</v>
      </c>
      <c r="N7" s="19">
        <v>50</v>
      </c>
      <c r="O7" s="19">
        <v>37</v>
      </c>
      <c r="P7" s="37">
        <v>0</v>
      </c>
      <c r="Q7" s="37">
        <v>0</v>
      </c>
      <c r="R7" s="17">
        <f>SUM(F7:Q7)</f>
        <v>264</v>
      </c>
      <c r="S7" s="18">
        <f>AVERAGE(F7:Q7)</f>
        <v>22</v>
      </c>
      <c r="T7" s="20">
        <f>U7/S7</f>
        <v>0</v>
      </c>
      <c r="U7" s="94">
        <v>0</v>
      </c>
    </row>
    <row r="8" spans="1:21" x14ac:dyDescent="0.2">
      <c r="A8" s="2">
        <v>2007</v>
      </c>
      <c r="B8" s="2"/>
      <c r="C8" s="2" t="s">
        <v>27</v>
      </c>
      <c r="D8" s="11">
        <v>23.90909090909091</v>
      </c>
      <c r="E8" s="2">
        <v>56</v>
      </c>
      <c r="F8" s="4">
        <v>15</v>
      </c>
      <c r="G8" s="4">
        <v>20</v>
      </c>
      <c r="H8" s="4">
        <v>0</v>
      </c>
      <c r="I8" s="33"/>
      <c r="J8" s="33"/>
      <c r="K8" s="33"/>
      <c r="L8" s="33"/>
      <c r="M8" s="33"/>
      <c r="N8" s="33"/>
      <c r="O8" s="33"/>
      <c r="P8" s="33"/>
      <c r="Q8" s="33"/>
      <c r="R8" s="3">
        <f>SUM(F8:Q8)</f>
        <v>35</v>
      </c>
      <c r="S8" s="11">
        <f>AVERAGE(F8:Q8)</f>
        <v>11.666666666666666</v>
      </c>
      <c r="T8" s="10">
        <f>U8/S8</f>
        <v>0</v>
      </c>
      <c r="U8" s="101">
        <v>0</v>
      </c>
    </row>
    <row r="9" spans="1:21" x14ac:dyDescent="0.2">
      <c r="A9" s="2">
        <v>2007</v>
      </c>
      <c r="B9" s="2"/>
      <c r="C9" s="114" t="s">
        <v>42</v>
      </c>
      <c r="D9" s="102"/>
      <c r="E9" s="2">
        <v>259</v>
      </c>
      <c r="F9" s="50"/>
      <c r="G9" s="50"/>
      <c r="H9" s="50"/>
      <c r="I9" s="50"/>
      <c r="J9" s="50"/>
      <c r="K9" s="2">
        <v>27</v>
      </c>
      <c r="L9" s="2">
        <v>12</v>
      </c>
      <c r="M9" s="2">
        <v>16</v>
      </c>
      <c r="N9" s="2">
        <v>9</v>
      </c>
      <c r="O9" s="2">
        <v>24</v>
      </c>
      <c r="P9" s="2">
        <v>31</v>
      </c>
      <c r="Q9" s="2">
        <v>11</v>
      </c>
      <c r="R9" s="3">
        <f>SUM(F9:Q9)</f>
        <v>130</v>
      </c>
      <c r="S9" s="11">
        <f>AVERAGE(F9:Q9)</f>
        <v>18.571428571428573</v>
      </c>
      <c r="T9" s="10">
        <f>U9/S9</f>
        <v>6.9461538461538455</v>
      </c>
      <c r="U9" s="101">
        <f>SUM(E9-R9)</f>
        <v>129</v>
      </c>
    </row>
    <row r="10" spans="1:21" x14ac:dyDescent="0.2">
      <c r="A10" s="95"/>
      <c r="B10" s="75"/>
      <c r="C10" s="96"/>
      <c r="D10" s="97"/>
      <c r="E10" s="98"/>
      <c r="F10" s="98"/>
      <c r="G10" s="98"/>
      <c r="H10" s="98"/>
      <c r="I10" s="98"/>
      <c r="J10" s="98"/>
      <c r="K10" s="98"/>
      <c r="L10" s="98"/>
      <c r="M10" s="98"/>
      <c r="N10" s="98">
        <v>0</v>
      </c>
      <c r="O10" s="98"/>
      <c r="P10" s="98"/>
      <c r="Q10" s="98"/>
      <c r="R10" s="98"/>
      <c r="S10" s="97"/>
      <c r="T10" s="99"/>
      <c r="U10" s="100"/>
    </row>
    <row r="11" spans="1:21" x14ac:dyDescent="0.2">
      <c r="A11" s="79">
        <v>2008</v>
      </c>
      <c r="C11" s="2" t="s">
        <v>22</v>
      </c>
      <c r="D11" s="18">
        <v>0</v>
      </c>
      <c r="E11" s="16">
        <v>827</v>
      </c>
      <c r="F11" s="19">
        <v>3</v>
      </c>
      <c r="G11" s="19">
        <v>24</v>
      </c>
      <c r="H11" s="19">
        <v>80</v>
      </c>
      <c r="I11" s="19">
        <v>40</v>
      </c>
      <c r="J11" s="202">
        <v>29</v>
      </c>
      <c r="K11" s="19">
        <v>43</v>
      </c>
      <c r="L11" s="19">
        <v>65</v>
      </c>
      <c r="M11" s="19">
        <v>65</v>
      </c>
      <c r="N11" s="19">
        <v>41</v>
      </c>
      <c r="O11" s="19">
        <v>62</v>
      </c>
      <c r="P11" s="19">
        <v>66</v>
      </c>
      <c r="Q11" s="19">
        <v>41</v>
      </c>
      <c r="R11" s="3">
        <f t="shared" ref="R11:R24" si="0">SUM(F11:Q11)</f>
        <v>559</v>
      </c>
      <c r="S11" s="11">
        <f t="shared" ref="S11:S22" si="1">AVERAGE(F11:Q11)</f>
        <v>46.583333333333336</v>
      </c>
      <c r="T11" s="10">
        <f t="shared" ref="T11:T24" si="2">U11/S11</f>
        <v>5.7531305903398922</v>
      </c>
      <c r="U11" s="78">
        <f t="shared" ref="U11:U19" si="3">SUM(E11-R11)</f>
        <v>268</v>
      </c>
    </row>
    <row r="12" spans="1:21" x14ac:dyDescent="0.2">
      <c r="A12" s="79">
        <v>2008</v>
      </c>
      <c r="C12" s="2" t="s">
        <v>21</v>
      </c>
      <c r="D12" s="18">
        <v>0</v>
      </c>
      <c r="E12" s="16">
        <v>342</v>
      </c>
      <c r="F12" s="19">
        <v>47</v>
      </c>
      <c r="G12" s="19">
        <v>10</v>
      </c>
      <c r="H12" s="19">
        <v>31</v>
      </c>
      <c r="I12" s="19">
        <v>24</v>
      </c>
      <c r="J12" s="19">
        <v>29</v>
      </c>
      <c r="K12" s="19">
        <v>22</v>
      </c>
      <c r="L12" s="19">
        <v>33</v>
      </c>
      <c r="M12" s="19">
        <v>24</v>
      </c>
      <c r="N12" s="19">
        <v>55</v>
      </c>
      <c r="O12" s="19">
        <v>21</v>
      </c>
      <c r="P12" s="19">
        <v>32</v>
      </c>
      <c r="Q12" s="203">
        <v>14</v>
      </c>
      <c r="R12" s="3">
        <f t="shared" si="0"/>
        <v>342</v>
      </c>
      <c r="S12" s="11">
        <f t="shared" si="1"/>
        <v>28.5</v>
      </c>
      <c r="T12" s="10">
        <f t="shared" si="2"/>
        <v>0</v>
      </c>
      <c r="U12" s="78">
        <f t="shared" si="3"/>
        <v>0</v>
      </c>
    </row>
    <row r="13" spans="1:21" x14ac:dyDescent="0.2">
      <c r="A13" s="79">
        <v>2008</v>
      </c>
      <c r="C13" s="2" t="s">
        <v>23</v>
      </c>
      <c r="D13" s="18">
        <v>29.166666666666668</v>
      </c>
      <c r="E13" s="16">
        <v>349</v>
      </c>
      <c r="F13" s="19">
        <v>39</v>
      </c>
      <c r="G13" s="19">
        <v>43</v>
      </c>
      <c r="H13" s="19">
        <v>33</v>
      </c>
      <c r="I13" s="19">
        <v>17</v>
      </c>
      <c r="J13" s="19">
        <v>45</v>
      </c>
      <c r="K13" s="19">
        <v>8</v>
      </c>
      <c r="L13" s="19">
        <v>22</v>
      </c>
      <c r="M13" s="19">
        <v>37</v>
      </c>
      <c r="N13" s="19">
        <v>25</v>
      </c>
      <c r="O13" s="16">
        <v>34</v>
      </c>
      <c r="P13" s="16">
        <v>29</v>
      </c>
      <c r="Q13" s="16">
        <v>11</v>
      </c>
      <c r="R13" s="3">
        <f t="shared" si="0"/>
        <v>343</v>
      </c>
      <c r="S13" s="11">
        <f t="shared" si="1"/>
        <v>28.583333333333332</v>
      </c>
      <c r="T13" s="10">
        <f t="shared" si="2"/>
        <v>0.2099125364431487</v>
      </c>
      <c r="U13" s="78">
        <f t="shared" si="3"/>
        <v>6</v>
      </c>
    </row>
    <row r="14" spans="1:21" x14ac:dyDescent="0.2">
      <c r="A14" s="79">
        <v>2008</v>
      </c>
      <c r="C14" s="2" t="s">
        <v>24</v>
      </c>
      <c r="D14" s="18">
        <v>0</v>
      </c>
      <c r="E14" s="16">
        <v>206</v>
      </c>
      <c r="F14" s="56">
        <v>0</v>
      </c>
      <c r="G14" s="56">
        <v>0</v>
      </c>
      <c r="H14" s="56">
        <v>0</v>
      </c>
      <c r="I14" s="56">
        <v>3</v>
      </c>
      <c r="J14" s="204">
        <v>11</v>
      </c>
      <c r="K14" s="56">
        <v>0</v>
      </c>
      <c r="L14" s="56">
        <v>0</v>
      </c>
      <c r="M14" s="56">
        <v>0</v>
      </c>
      <c r="N14" s="56">
        <v>0</v>
      </c>
      <c r="O14" s="56">
        <v>0</v>
      </c>
      <c r="P14" s="16">
        <v>1</v>
      </c>
      <c r="Q14" s="16">
        <v>18</v>
      </c>
      <c r="R14" s="3">
        <f t="shared" si="0"/>
        <v>33</v>
      </c>
      <c r="S14" s="11">
        <f t="shared" si="1"/>
        <v>2.75</v>
      </c>
      <c r="T14" s="10">
        <f t="shared" si="2"/>
        <v>62.909090909090907</v>
      </c>
      <c r="U14" s="78">
        <f t="shared" si="3"/>
        <v>173</v>
      </c>
    </row>
    <row r="15" spans="1:21" x14ac:dyDescent="0.2">
      <c r="A15" s="79">
        <v>2008</v>
      </c>
      <c r="C15" s="2" t="s">
        <v>25</v>
      </c>
      <c r="D15" s="18">
        <v>48.666666666666664</v>
      </c>
      <c r="E15" s="16">
        <v>554</v>
      </c>
      <c r="F15" s="19">
        <v>75</v>
      </c>
      <c r="G15" s="19">
        <v>0</v>
      </c>
      <c r="H15" s="19">
        <v>54</v>
      </c>
      <c r="I15" s="19">
        <v>38</v>
      </c>
      <c r="J15" s="19">
        <v>55</v>
      </c>
      <c r="K15" s="19">
        <v>46</v>
      </c>
      <c r="L15" s="19">
        <v>122</v>
      </c>
      <c r="M15" s="19">
        <v>0</v>
      </c>
      <c r="N15" s="202">
        <v>54</v>
      </c>
      <c r="O15" s="202">
        <v>49</v>
      </c>
      <c r="P15" s="19">
        <v>38</v>
      </c>
      <c r="Q15" s="19">
        <v>23</v>
      </c>
      <c r="R15" s="3">
        <f t="shared" si="0"/>
        <v>554</v>
      </c>
      <c r="S15" s="11">
        <f t="shared" si="1"/>
        <v>46.166666666666664</v>
      </c>
      <c r="T15" s="10">
        <f t="shared" si="2"/>
        <v>0</v>
      </c>
      <c r="U15" s="78">
        <f t="shared" si="3"/>
        <v>0</v>
      </c>
    </row>
    <row r="16" spans="1:21" x14ac:dyDescent="0.2">
      <c r="A16" s="79">
        <v>2008</v>
      </c>
      <c r="C16" s="2" t="s">
        <v>28</v>
      </c>
      <c r="D16" s="18">
        <v>25.285714285714285</v>
      </c>
      <c r="E16" s="16">
        <v>173</v>
      </c>
      <c r="F16" s="19">
        <v>7</v>
      </c>
      <c r="G16" s="19">
        <v>9</v>
      </c>
      <c r="H16" s="19">
        <v>18</v>
      </c>
      <c r="I16" s="19">
        <v>12</v>
      </c>
      <c r="J16" s="19">
        <v>19</v>
      </c>
      <c r="K16" s="19">
        <v>19</v>
      </c>
      <c r="L16" s="19">
        <v>20</v>
      </c>
      <c r="M16" s="16">
        <v>17</v>
      </c>
      <c r="N16" s="16">
        <v>21</v>
      </c>
      <c r="O16" s="16">
        <v>20</v>
      </c>
      <c r="P16" s="37">
        <v>0</v>
      </c>
      <c r="Q16" s="37"/>
      <c r="R16" s="3">
        <f t="shared" si="0"/>
        <v>162</v>
      </c>
      <c r="S16" s="11">
        <f t="shared" si="1"/>
        <v>14.727272727272727</v>
      </c>
      <c r="T16" s="10">
        <f t="shared" si="2"/>
        <v>0</v>
      </c>
      <c r="U16" s="78">
        <v>0</v>
      </c>
    </row>
    <row r="17" spans="1:21" x14ac:dyDescent="0.2">
      <c r="A17" s="79">
        <v>2008</v>
      </c>
      <c r="C17" s="2" t="s">
        <v>29</v>
      </c>
      <c r="D17" s="18">
        <v>26</v>
      </c>
      <c r="E17" s="16">
        <v>76</v>
      </c>
      <c r="F17" s="19">
        <v>6</v>
      </c>
      <c r="G17" s="19">
        <v>8</v>
      </c>
      <c r="H17" s="37">
        <v>0</v>
      </c>
      <c r="I17" s="37">
        <v>0</v>
      </c>
      <c r="J17" s="37">
        <v>0</v>
      </c>
      <c r="K17" s="37">
        <v>0</v>
      </c>
      <c r="L17" s="37">
        <v>0</v>
      </c>
      <c r="M17" s="37">
        <v>0</v>
      </c>
      <c r="N17" s="37">
        <v>0</v>
      </c>
      <c r="O17" s="37"/>
      <c r="P17" s="37"/>
      <c r="Q17" s="37"/>
      <c r="R17" s="3">
        <f t="shared" si="0"/>
        <v>14</v>
      </c>
      <c r="S17" s="11">
        <f t="shared" si="1"/>
        <v>1.5555555555555556</v>
      </c>
      <c r="T17" s="10">
        <f t="shared" si="2"/>
        <v>0</v>
      </c>
      <c r="U17" s="78">
        <v>0</v>
      </c>
    </row>
    <row r="18" spans="1:21" x14ac:dyDescent="0.2">
      <c r="A18" s="79">
        <v>2008</v>
      </c>
      <c r="C18" s="2" t="s">
        <v>26</v>
      </c>
      <c r="D18" s="18">
        <v>22</v>
      </c>
      <c r="E18" s="16">
        <v>262</v>
      </c>
      <c r="F18" s="19">
        <v>10</v>
      </c>
      <c r="G18" s="19">
        <v>13</v>
      </c>
      <c r="H18" s="19">
        <v>83</v>
      </c>
      <c r="I18" s="19">
        <v>-38</v>
      </c>
      <c r="J18" s="19">
        <v>27</v>
      </c>
      <c r="K18" s="19">
        <v>17</v>
      </c>
      <c r="L18" s="19">
        <v>27</v>
      </c>
      <c r="M18" s="19">
        <v>22</v>
      </c>
      <c r="N18" s="19">
        <v>25</v>
      </c>
      <c r="O18" s="19">
        <v>30</v>
      </c>
      <c r="P18" s="19">
        <v>18</v>
      </c>
      <c r="Q18" s="19">
        <v>8</v>
      </c>
      <c r="R18" s="3">
        <f t="shared" si="0"/>
        <v>242</v>
      </c>
      <c r="S18" s="11">
        <f t="shared" si="1"/>
        <v>20.166666666666668</v>
      </c>
      <c r="T18" s="10">
        <f t="shared" si="2"/>
        <v>0.99173553719008256</v>
      </c>
      <c r="U18" s="78">
        <f t="shared" si="3"/>
        <v>20</v>
      </c>
    </row>
    <row r="19" spans="1:21" x14ac:dyDescent="0.2">
      <c r="A19" s="79">
        <v>2008</v>
      </c>
      <c r="C19" s="2" t="s">
        <v>27</v>
      </c>
      <c r="D19" s="18">
        <v>3.5</v>
      </c>
      <c r="E19" s="16">
        <v>233</v>
      </c>
      <c r="F19" s="19">
        <v>6</v>
      </c>
      <c r="G19" s="16">
        <v>0</v>
      </c>
      <c r="H19" s="16">
        <v>10</v>
      </c>
      <c r="I19" s="16">
        <v>15</v>
      </c>
      <c r="J19" s="16">
        <v>17</v>
      </c>
      <c r="K19" s="16">
        <v>21</v>
      </c>
      <c r="L19" s="16">
        <v>13</v>
      </c>
      <c r="M19" s="16">
        <v>20</v>
      </c>
      <c r="N19" s="16">
        <v>18</v>
      </c>
      <c r="O19" s="16">
        <v>34</v>
      </c>
      <c r="P19" s="16">
        <v>18</v>
      </c>
      <c r="Q19" s="16">
        <v>14</v>
      </c>
      <c r="R19" s="3">
        <f t="shared" si="0"/>
        <v>186</v>
      </c>
      <c r="S19" s="11">
        <f t="shared" si="1"/>
        <v>15.5</v>
      </c>
      <c r="T19" s="10">
        <f t="shared" si="2"/>
        <v>3.032258064516129</v>
      </c>
      <c r="U19" s="78">
        <f t="shared" si="3"/>
        <v>47</v>
      </c>
    </row>
    <row r="20" spans="1:21" x14ac:dyDescent="0.2">
      <c r="A20" s="79">
        <v>2008</v>
      </c>
      <c r="C20" s="2" t="s">
        <v>32</v>
      </c>
      <c r="D20" s="18">
        <v>8.4285714285714288</v>
      </c>
      <c r="E20" s="16">
        <v>121</v>
      </c>
      <c r="F20" s="19">
        <v>1</v>
      </c>
      <c r="G20" s="19">
        <v>1</v>
      </c>
      <c r="H20" s="19">
        <v>0</v>
      </c>
      <c r="I20" s="19">
        <v>1</v>
      </c>
      <c r="J20" s="37">
        <v>0</v>
      </c>
      <c r="K20" s="37">
        <v>0</v>
      </c>
      <c r="L20" s="37">
        <v>0</v>
      </c>
      <c r="M20" s="37">
        <v>0</v>
      </c>
      <c r="N20" s="37">
        <v>0</v>
      </c>
      <c r="O20" s="37"/>
      <c r="P20" s="37"/>
      <c r="Q20" s="37"/>
      <c r="R20" s="3">
        <f t="shared" si="0"/>
        <v>3</v>
      </c>
      <c r="S20" s="11">
        <f t="shared" si="1"/>
        <v>0.33333333333333331</v>
      </c>
      <c r="T20" s="10">
        <f t="shared" si="2"/>
        <v>0</v>
      </c>
      <c r="U20" s="78">
        <v>0</v>
      </c>
    </row>
    <row r="21" spans="1:21" x14ac:dyDescent="0.2">
      <c r="A21" s="79">
        <v>2008</v>
      </c>
      <c r="C21" s="2" t="s">
        <v>33</v>
      </c>
      <c r="D21" s="18">
        <v>44.4</v>
      </c>
      <c r="E21" s="16">
        <v>71</v>
      </c>
      <c r="F21" s="19">
        <v>12</v>
      </c>
      <c r="G21" s="19">
        <v>17</v>
      </c>
      <c r="H21" s="55">
        <v>32</v>
      </c>
      <c r="I21" s="55">
        <v>0</v>
      </c>
      <c r="J21" s="57"/>
      <c r="K21" s="57"/>
      <c r="L21" s="57"/>
      <c r="M21" s="57">
        <v>0</v>
      </c>
      <c r="N21" s="57">
        <v>0</v>
      </c>
      <c r="O21" s="57"/>
      <c r="P21" s="57"/>
      <c r="Q21" s="37"/>
      <c r="R21" s="3">
        <f t="shared" si="0"/>
        <v>61</v>
      </c>
      <c r="S21" s="11">
        <f t="shared" si="1"/>
        <v>10.166666666666666</v>
      </c>
      <c r="T21" s="10">
        <f t="shared" si="2"/>
        <v>0</v>
      </c>
      <c r="U21" s="78">
        <v>0</v>
      </c>
    </row>
    <row r="22" spans="1:21" x14ac:dyDescent="0.2">
      <c r="A22" s="79">
        <v>2008</v>
      </c>
      <c r="C22" s="2" t="s">
        <v>30</v>
      </c>
      <c r="D22" s="18">
        <v>41.555555555555557</v>
      </c>
      <c r="E22" s="16">
        <v>75</v>
      </c>
      <c r="F22" s="19">
        <v>10</v>
      </c>
      <c r="G22" s="19">
        <v>9</v>
      </c>
      <c r="H22" s="55">
        <v>18</v>
      </c>
      <c r="I22" s="55">
        <v>17</v>
      </c>
      <c r="J22" s="55">
        <v>0</v>
      </c>
      <c r="K22" s="55">
        <v>0</v>
      </c>
      <c r="L22" s="57"/>
      <c r="M22" s="57">
        <v>0</v>
      </c>
      <c r="N22" s="57">
        <v>0</v>
      </c>
      <c r="O22" s="57"/>
      <c r="P22" s="57"/>
      <c r="Q22" s="37"/>
      <c r="R22" s="3">
        <f t="shared" si="0"/>
        <v>54</v>
      </c>
      <c r="S22" s="11">
        <f t="shared" si="1"/>
        <v>6.75</v>
      </c>
      <c r="T22" s="10">
        <f t="shared" si="2"/>
        <v>0</v>
      </c>
      <c r="U22" s="78">
        <v>0</v>
      </c>
    </row>
    <row r="23" spans="1:21" x14ac:dyDescent="0.2">
      <c r="A23" s="79">
        <v>2008</v>
      </c>
      <c r="C23" s="2" t="s">
        <v>43</v>
      </c>
      <c r="D23" s="18">
        <v>30</v>
      </c>
      <c r="E23" s="16">
        <v>130</v>
      </c>
      <c r="F23" s="19">
        <v>9</v>
      </c>
      <c r="G23" s="19">
        <v>6</v>
      </c>
      <c r="H23" s="55">
        <v>21</v>
      </c>
      <c r="I23" s="55">
        <v>15</v>
      </c>
      <c r="J23" s="55">
        <v>36</v>
      </c>
      <c r="K23" s="55">
        <v>28</v>
      </c>
      <c r="L23" s="205" t="s">
        <v>35</v>
      </c>
      <c r="M23" s="205">
        <v>0</v>
      </c>
      <c r="N23" s="205">
        <v>0</v>
      </c>
      <c r="O23" s="205" t="s">
        <v>35</v>
      </c>
      <c r="P23" s="57"/>
      <c r="Q23" s="37"/>
      <c r="R23" s="3">
        <f t="shared" si="0"/>
        <v>115</v>
      </c>
      <c r="S23" s="11">
        <f>AVERAGE(F23:Q23)</f>
        <v>14.375</v>
      </c>
      <c r="T23" s="10">
        <f t="shared" si="2"/>
        <v>0</v>
      </c>
      <c r="U23" s="78">
        <v>0</v>
      </c>
    </row>
    <row r="24" spans="1:21" x14ac:dyDescent="0.2">
      <c r="A24" s="79">
        <v>2008</v>
      </c>
      <c r="C24" s="2" t="s">
        <v>31</v>
      </c>
      <c r="D24" s="18">
        <v>47.625</v>
      </c>
      <c r="E24" s="16">
        <v>272</v>
      </c>
      <c r="F24" s="19">
        <v>21</v>
      </c>
      <c r="G24" s="19">
        <v>20</v>
      </c>
      <c r="H24" s="55">
        <v>39</v>
      </c>
      <c r="I24" s="55">
        <v>33</v>
      </c>
      <c r="J24" s="55">
        <v>45</v>
      </c>
      <c r="K24" s="206">
        <v>24</v>
      </c>
      <c r="L24" s="207">
        <v>43</v>
      </c>
      <c r="M24" s="205">
        <v>0</v>
      </c>
      <c r="N24" s="205">
        <v>0</v>
      </c>
      <c r="O24" s="205"/>
      <c r="P24" s="205"/>
      <c r="Q24" s="37"/>
      <c r="R24" s="3">
        <f t="shared" si="0"/>
        <v>225</v>
      </c>
      <c r="S24" s="11">
        <f>AVERAGE(F24:Q24)</f>
        <v>25</v>
      </c>
      <c r="T24" s="10">
        <f t="shared" si="2"/>
        <v>0</v>
      </c>
      <c r="U24" s="78">
        <v>0</v>
      </c>
    </row>
    <row r="25" spans="1:21" x14ac:dyDescent="0.2">
      <c r="A25" s="80"/>
      <c r="B25" s="75"/>
      <c r="C25" s="46"/>
      <c r="D25" s="49"/>
      <c r="E25" s="46"/>
      <c r="F25" s="46"/>
      <c r="G25" s="46"/>
      <c r="H25" s="46"/>
      <c r="I25" s="46"/>
      <c r="J25" s="46"/>
      <c r="K25" s="46"/>
      <c r="L25" s="46"/>
      <c r="M25" s="46">
        <v>0</v>
      </c>
      <c r="N25" s="46"/>
      <c r="O25" s="46"/>
      <c r="P25" s="46"/>
      <c r="Q25" s="46"/>
      <c r="R25" s="46"/>
      <c r="S25" s="49"/>
      <c r="T25" s="115" t="s">
        <v>35</v>
      </c>
      <c r="U25" s="81"/>
    </row>
    <row r="26" spans="1:21" x14ac:dyDescent="0.2">
      <c r="A26" s="82">
        <v>2009</v>
      </c>
      <c r="C26" s="2" t="s">
        <v>22</v>
      </c>
      <c r="D26" s="70">
        <v>347</v>
      </c>
      <c r="E26" s="4">
        <v>0</v>
      </c>
      <c r="F26" s="50">
        <v>0</v>
      </c>
      <c r="G26" s="50"/>
      <c r="H26" s="50"/>
      <c r="I26" s="50"/>
      <c r="J26" s="50"/>
      <c r="K26" s="50"/>
      <c r="L26" s="50"/>
      <c r="M26" s="50">
        <v>0</v>
      </c>
      <c r="N26" s="50">
        <v>0</v>
      </c>
      <c r="O26" s="50"/>
      <c r="P26" s="50"/>
      <c r="Q26" s="50"/>
      <c r="R26" s="3">
        <f t="shared" ref="R26:R41" si="4">SUM(F26:Q26)</f>
        <v>0</v>
      </c>
      <c r="S26" s="11">
        <f t="shared" ref="S26:S41" si="5">AVERAGE(F26:Q26)</f>
        <v>0</v>
      </c>
      <c r="T26" s="10" t="e">
        <f t="shared" ref="T26:T41" si="6">U26/S26</f>
        <v>#DIV/0!</v>
      </c>
      <c r="U26" s="78">
        <f t="shared" ref="U26:U38" si="7">SUM(E26-R26)</f>
        <v>0</v>
      </c>
    </row>
    <row r="27" spans="1:21" x14ac:dyDescent="0.2">
      <c r="A27" s="82">
        <v>2009</v>
      </c>
      <c r="C27" s="2" t="s">
        <v>21</v>
      </c>
      <c r="D27" s="70">
        <v>455</v>
      </c>
      <c r="E27" s="4">
        <v>0</v>
      </c>
      <c r="F27" s="50">
        <v>0</v>
      </c>
      <c r="G27" s="50"/>
      <c r="H27" s="50"/>
      <c r="I27" s="50"/>
      <c r="J27" s="50"/>
      <c r="K27" s="50"/>
      <c r="L27" s="50"/>
      <c r="M27" s="50">
        <v>0</v>
      </c>
      <c r="N27" s="50">
        <v>0</v>
      </c>
      <c r="O27" s="50"/>
      <c r="P27" s="50"/>
      <c r="Q27" s="50"/>
      <c r="R27" s="3">
        <f t="shared" si="4"/>
        <v>0</v>
      </c>
      <c r="S27" s="11">
        <f t="shared" si="5"/>
        <v>0</v>
      </c>
      <c r="T27" s="10" t="e">
        <f t="shared" si="6"/>
        <v>#DIV/0!</v>
      </c>
      <c r="U27" s="78">
        <f t="shared" si="7"/>
        <v>0</v>
      </c>
    </row>
    <row r="28" spans="1:21" x14ac:dyDescent="0.2">
      <c r="A28" s="82">
        <v>2009</v>
      </c>
      <c r="C28" s="2" t="s">
        <v>23</v>
      </c>
      <c r="D28" s="70"/>
      <c r="E28" s="4">
        <v>714</v>
      </c>
      <c r="F28" s="50">
        <v>0</v>
      </c>
      <c r="G28" s="50"/>
      <c r="H28" s="50"/>
      <c r="I28" s="50"/>
      <c r="J28" s="50"/>
      <c r="K28" s="50"/>
      <c r="L28" s="50"/>
      <c r="M28" s="2">
        <v>20</v>
      </c>
      <c r="N28" s="2">
        <v>0</v>
      </c>
      <c r="O28" s="2">
        <v>13</v>
      </c>
      <c r="P28" s="2">
        <v>10</v>
      </c>
      <c r="Q28" s="2">
        <v>0</v>
      </c>
      <c r="R28" s="3">
        <f t="shared" si="4"/>
        <v>43</v>
      </c>
      <c r="S28" s="11">
        <f t="shared" si="5"/>
        <v>7.166666666666667</v>
      </c>
      <c r="T28" s="10">
        <f t="shared" si="6"/>
        <v>93.627906976744185</v>
      </c>
      <c r="U28" s="78">
        <f t="shared" si="7"/>
        <v>671</v>
      </c>
    </row>
    <row r="29" spans="1:21" x14ac:dyDescent="0.2">
      <c r="A29" s="82">
        <v>2009</v>
      </c>
      <c r="C29" s="2" t="s">
        <v>24</v>
      </c>
      <c r="D29" s="70">
        <v>242</v>
      </c>
      <c r="E29" s="4">
        <v>0</v>
      </c>
      <c r="F29" s="50">
        <v>0</v>
      </c>
      <c r="G29" s="50"/>
      <c r="H29" s="50"/>
      <c r="I29" s="50"/>
      <c r="J29" s="50"/>
      <c r="K29" s="50"/>
      <c r="L29" s="50"/>
      <c r="M29" s="50">
        <v>0</v>
      </c>
      <c r="N29" s="50">
        <v>0</v>
      </c>
      <c r="O29" s="50"/>
      <c r="P29" s="50"/>
      <c r="Q29" s="50"/>
      <c r="R29" s="3">
        <f t="shared" si="4"/>
        <v>0</v>
      </c>
      <c r="S29" s="11">
        <f t="shared" si="5"/>
        <v>0</v>
      </c>
      <c r="T29" s="10" t="e">
        <f t="shared" si="6"/>
        <v>#DIV/0!</v>
      </c>
      <c r="U29" s="78">
        <f t="shared" si="7"/>
        <v>0</v>
      </c>
    </row>
    <row r="30" spans="1:21" x14ac:dyDescent="0.2">
      <c r="A30" s="82">
        <v>2009</v>
      </c>
      <c r="C30" s="2" t="s">
        <v>25</v>
      </c>
      <c r="D30" s="70" t="s">
        <v>35</v>
      </c>
      <c r="E30" s="4">
        <v>556</v>
      </c>
      <c r="F30" s="50">
        <v>0</v>
      </c>
      <c r="G30" s="50"/>
      <c r="H30" s="50"/>
      <c r="I30" s="50"/>
      <c r="J30" s="50"/>
      <c r="K30" s="50"/>
      <c r="L30" s="50"/>
      <c r="M30" s="50">
        <v>0</v>
      </c>
      <c r="N30" s="4">
        <v>18</v>
      </c>
      <c r="O30" s="4">
        <v>0</v>
      </c>
      <c r="P30" s="4">
        <v>52</v>
      </c>
      <c r="Q30" s="4" t="s">
        <v>35</v>
      </c>
      <c r="R30" s="3">
        <f t="shared" si="4"/>
        <v>70</v>
      </c>
      <c r="S30" s="11">
        <f t="shared" si="5"/>
        <v>14</v>
      </c>
      <c r="T30" s="10">
        <f t="shared" si="6"/>
        <v>34.714285714285715</v>
      </c>
      <c r="U30" s="78">
        <f t="shared" si="7"/>
        <v>486</v>
      </c>
    </row>
    <row r="31" spans="1:21" x14ac:dyDescent="0.2">
      <c r="A31" s="82">
        <v>2009</v>
      </c>
      <c r="C31" s="2" t="s">
        <v>28</v>
      </c>
      <c r="D31" s="70"/>
      <c r="E31" s="4">
        <v>0</v>
      </c>
      <c r="F31" s="147">
        <v>0</v>
      </c>
      <c r="G31" s="33"/>
      <c r="H31" s="33"/>
      <c r="I31" s="33"/>
      <c r="J31" s="33"/>
      <c r="K31" s="33"/>
      <c r="L31" s="33"/>
      <c r="M31" s="33">
        <v>0</v>
      </c>
      <c r="N31" s="33">
        <v>0</v>
      </c>
      <c r="O31" s="33"/>
      <c r="P31" s="33"/>
      <c r="Q31" s="33"/>
      <c r="R31" s="3">
        <f t="shared" si="4"/>
        <v>0</v>
      </c>
      <c r="S31" s="11">
        <f t="shared" si="5"/>
        <v>0</v>
      </c>
      <c r="T31" s="10" t="e">
        <f t="shared" si="6"/>
        <v>#DIV/0!</v>
      </c>
      <c r="U31" s="78">
        <f t="shared" si="7"/>
        <v>0</v>
      </c>
    </row>
    <row r="32" spans="1:21" x14ac:dyDescent="0.2">
      <c r="A32" s="82">
        <v>2009</v>
      </c>
      <c r="C32" s="2" t="s">
        <v>29</v>
      </c>
      <c r="D32" s="70" t="s">
        <v>35</v>
      </c>
      <c r="E32" s="4">
        <v>250</v>
      </c>
      <c r="F32" s="50">
        <v>0</v>
      </c>
      <c r="G32" s="50"/>
      <c r="H32" s="50"/>
      <c r="I32" s="50"/>
      <c r="J32" s="50"/>
      <c r="K32" s="50"/>
      <c r="L32" s="50"/>
      <c r="M32" s="2">
        <v>3</v>
      </c>
      <c r="N32" s="4">
        <v>19</v>
      </c>
      <c r="O32" s="4">
        <v>73</v>
      </c>
      <c r="P32" s="4">
        <v>21</v>
      </c>
      <c r="Q32" s="4">
        <v>12</v>
      </c>
      <c r="R32" s="3">
        <f t="shared" si="4"/>
        <v>128</v>
      </c>
      <c r="S32" s="11">
        <f t="shared" si="5"/>
        <v>21.333333333333332</v>
      </c>
      <c r="T32" s="10">
        <f t="shared" si="6"/>
        <v>5.71875</v>
      </c>
      <c r="U32" s="78">
        <f t="shared" si="7"/>
        <v>122</v>
      </c>
    </row>
    <row r="33" spans="1:23" x14ac:dyDescent="0.2">
      <c r="A33" s="82">
        <v>2009</v>
      </c>
      <c r="C33" s="2" t="s">
        <v>26</v>
      </c>
      <c r="D33" s="70" t="s">
        <v>35</v>
      </c>
      <c r="E33" s="4">
        <v>457</v>
      </c>
      <c r="F33" s="50">
        <v>0</v>
      </c>
      <c r="G33" s="50"/>
      <c r="H33" s="50"/>
      <c r="I33" s="50"/>
      <c r="J33" s="50"/>
      <c r="K33" s="50"/>
      <c r="L33" s="50"/>
      <c r="M33" s="50">
        <v>0</v>
      </c>
      <c r="N33" s="50">
        <v>0</v>
      </c>
      <c r="O33" s="50">
        <v>0</v>
      </c>
      <c r="P33" s="50"/>
      <c r="Q33" s="50">
        <v>2</v>
      </c>
      <c r="R33" s="3">
        <f t="shared" si="4"/>
        <v>2</v>
      </c>
      <c r="S33" s="11">
        <f t="shared" si="5"/>
        <v>0.4</v>
      </c>
      <c r="T33" s="10">
        <f t="shared" si="6"/>
        <v>1137.5</v>
      </c>
      <c r="U33" s="78">
        <f t="shared" si="7"/>
        <v>455</v>
      </c>
    </row>
    <row r="34" spans="1:23" x14ac:dyDescent="0.2">
      <c r="A34" s="82">
        <v>2009</v>
      </c>
      <c r="C34" s="2" t="s">
        <v>27</v>
      </c>
      <c r="D34" s="70"/>
      <c r="E34" s="4">
        <v>222</v>
      </c>
      <c r="F34" s="50">
        <v>0</v>
      </c>
      <c r="G34" s="50"/>
      <c r="H34" s="50"/>
      <c r="I34" s="50"/>
      <c r="J34" s="50"/>
      <c r="K34" s="50"/>
      <c r="L34" s="50"/>
      <c r="M34" s="50">
        <v>0</v>
      </c>
      <c r="N34" s="50">
        <v>0</v>
      </c>
      <c r="O34" s="2">
        <v>5</v>
      </c>
      <c r="P34" s="2">
        <v>5</v>
      </c>
      <c r="Q34" s="2">
        <v>3</v>
      </c>
      <c r="R34" s="3">
        <f t="shared" si="4"/>
        <v>13</v>
      </c>
      <c r="S34" s="11">
        <f t="shared" si="5"/>
        <v>2.1666666666666665</v>
      </c>
      <c r="T34" s="10">
        <f t="shared" si="6"/>
        <v>96.461538461538467</v>
      </c>
      <c r="U34" s="78">
        <f t="shared" si="7"/>
        <v>209</v>
      </c>
    </row>
    <row r="35" spans="1:23" x14ac:dyDescent="0.2">
      <c r="A35" s="82">
        <v>2009</v>
      </c>
      <c r="C35" s="2" t="s">
        <v>32</v>
      </c>
      <c r="D35" s="70"/>
      <c r="E35" s="4">
        <v>251</v>
      </c>
      <c r="F35" s="50">
        <v>0</v>
      </c>
      <c r="G35" s="50"/>
      <c r="H35" s="50"/>
      <c r="I35" s="50"/>
      <c r="J35" s="50"/>
      <c r="K35" s="2">
        <v>10</v>
      </c>
      <c r="L35" s="2">
        <v>6</v>
      </c>
      <c r="M35" s="2">
        <v>20</v>
      </c>
      <c r="N35" s="2">
        <v>10</v>
      </c>
      <c r="O35" s="2">
        <v>8</v>
      </c>
      <c r="P35" s="2">
        <v>31</v>
      </c>
      <c r="Q35" s="2">
        <v>0</v>
      </c>
      <c r="R35" s="3">
        <f t="shared" si="4"/>
        <v>85</v>
      </c>
      <c r="S35" s="11">
        <f t="shared" si="5"/>
        <v>10.625</v>
      </c>
      <c r="T35" s="10">
        <f t="shared" si="6"/>
        <v>15.623529411764705</v>
      </c>
      <c r="U35" s="78">
        <f t="shared" si="7"/>
        <v>166</v>
      </c>
    </row>
    <row r="36" spans="1:23" x14ac:dyDescent="0.2">
      <c r="A36" s="82">
        <v>2009</v>
      </c>
      <c r="C36" s="2" t="s">
        <v>33</v>
      </c>
      <c r="D36" s="18">
        <v>44.4</v>
      </c>
      <c r="E36" s="16">
        <v>415</v>
      </c>
      <c r="F36" s="56">
        <v>0</v>
      </c>
      <c r="G36" s="56">
        <v>0</v>
      </c>
      <c r="H36" s="56">
        <v>0</v>
      </c>
      <c r="I36" s="19">
        <v>40</v>
      </c>
      <c r="J36" s="19">
        <v>55</v>
      </c>
      <c r="K36" s="19">
        <v>61</v>
      </c>
      <c r="L36" s="19">
        <v>48</v>
      </c>
      <c r="M36" s="19">
        <v>105</v>
      </c>
      <c r="N36" s="19">
        <v>56</v>
      </c>
      <c r="O36" s="19">
        <v>0</v>
      </c>
      <c r="P36" s="103"/>
      <c r="Q36" s="103"/>
      <c r="R36" s="3">
        <f>SUM(F36:Q36)</f>
        <v>365</v>
      </c>
      <c r="S36" s="11">
        <f>AVERAGE(F36:Q36)</f>
        <v>36.5</v>
      </c>
      <c r="T36" s="10">
        <f>U36/S36</f>
        <v>0</v>
      </c>
      <c r="U36" s="78">
        <v>0</v>
      </c>
    </row>
    <row r="37" spans="1:23" x14ac:dyDescent="0.2">
      <c r="A37" s="82">
        <v>2009</v>
      </c>
      <c r="C37" s="114" t="s">
        <v>44</v>
      </c>
      <c r="D37" s="70"/>
      <c r="E37" s="199" t="s">
        <v>35</v>
      </c>
      <c r="F37" s="33">
        <v>0</v>
      </c>
      <c r="G37" s="33"/>
      <c r="H37" s="33"/>
      <c r="I37" s="33"/>
      <c r="J37" s="33"/>
      <c r="K37" s="33"/>
      <c r="L37" s="33"/>
      <c r="M37" s="33">
        <v>0</v>
      </c>
      <c r="N37" s="33">
        <v>0</v>
      </c>
      <c r="O37" s="33"/>
      <c r="P37" s="33"/>
      <c r="Q37" s="33"/>
      <c r="R37" s="3">
        <v>60</v>
      </c>
      <c r="S37" s="11">
        <f t="shared" si="5"/>
        <v>0</v>
      </c>
      <c r="T37" s="10">
        <v>0</v>
      </c>
      <c r="U37" s="78">
        <v>0</v>
      </c>
    </row>
    <row r="38" spans="1:23" x14ac:dyDescent="0.2">
      <c r="A38" s="82">
        <v>2009</v>
      </c>
      <c r="C38" s="2" t="s">
        <v>43</v>
      </c>
      <c r="D38" s="70"/>
      <c r="E38" s="4">
        <v>0</v>
      </c>
      <c r="F38" s="33">
        <v>0</v>
      </c>
      <c r="G38" s="33"/>
      <c r="H38" s="33"/>
      <c r="I38" s="33"/>
      <c r="J38" s="33"/>
      <c r="K38" s="33"/>
      <c r="L38" s="33"/>
      <c r="M38" s="33">
        <v>0</v>
      </c>
      <c r="N38" s="33">
        <v>0</v>
      </c>
      <c r="O38" s="33"/>
      <c r="P38" s="33"/>
      <c r="Q38" s="33"/>
      <c r="R38" s="3">
        <f t="shared" si="4"/>
        <v>0</v>
      </c>
      <c r="S38" s="11">
        <f t="shared" si="5"/>
        <v>0</v>
      </c>
      <c r="T38" s="10" t="e">
        <f t="shared" si="6"/>
        <v>#DIV/0!</v>
      </c>
      <c r="U38" s="78">
        <f t="shared" si="7"/>
        <v>0</v>
      </c>
    </row>
    <row r="39" spans="1:23" x14ac:dyDescent="0.2">
      <c r="A39" s="82">
        <v>2009</v>
      </c>
      <c r="C39" s="2" t="s">
        <v>31</v>
      </c>
      <c r="D39" s="70"/>
      <c r="E39" s="4">
        <v>596</v>
      </c>
      <c r="F39" s="50">
        <v>0</v>
      </c>
      <c r="G39" s="50"/>
      <c r="H39" s="50"/>
      <c r="I39" s="50"/>
      <c r="J39" s="50"/>
      <c r="K39" s="50"/>
      <c r="L39" s="2">
        <v>3</v>
      </c>
      <c r="M39" s="2">
        <v>0</v>
      </c>
      <c r="N39" s="2">
        <v>58</v>
      </c>
      <c r="O39" s="2">
        <v>60</v>
      </c>
      <c r="P39" s="2">
        <v>50</v>
      </c>
      <c r="Q39" s="2">
        <v>28</v>
      </c>
      <c r="R39" s="3">
        <f>SUM(F39:Q39)</f>
        <v>199</v>
      </c>
      <c r="S39" s="11">
        <f>AVERAGE(F39:Q39)</f>
        <v>28.428571428571427</v>
      </c>
      <c r="T39" s="10">
        <f>U39/S39</f>
        <v>13.964824120603016</v>
      </c>
      <c r="U39" s="78">
        <f>SUM(E39-R39)</f>
        <v>397</v>
      </c>
    </row>
    <row r="40" spans="1:23" x14ac:dyDescent="0.2">
      <c r="A40" s="82">
        <v>2009</v>
      </c>
      <c r="C40" s="2" t="s">
        <v>45</v>
      </c>
      <c r="D40" s="208" t="s">
        <v>35</v>
      </c>
      <c r="E40" s="19">
        <v>287</v>
      </c>
      <c r="F40" s="56"/>
      <c r="G40" s="56"/>
      <c r="H40" s="56"/>
      <c r="I40" s="56"/>
      <c r="J40" s="56"/>
      <c r="K40" s="56"/>
      <c r="L40" s="16">
        <v>0</v>
      </c>
      <c r="M40" s="16">
        <v>25</v>
      </c>
      <c r="N40" s="16">
        <v>9</v>
      </c>
      <c r="O40" s="16">
        <v>11</v>
      </c>
      <c r="P40" s="16">
        <v>14</v>
      </c>
      <c r="Q40" s="16">
        <v>12</v>
      </c>
      <c r="R40" s="3">
        <f>SUM(F40:Q40)</f>
        <v>71</v>
      </c>
      <c r="S40" s="11">
        <f>AVERAGE(F40:Q40)</f>
        <v>11.833333333333334</v>
      </c>
      <c r="T40" s="10">
        <f>U40/S40</f>
        <v>18.253521126760564</v>
      </c>
      <c r="U40" s="78">
        <f>SUM(E40-R40)</f>
        <v>216</v>
      </c>
    </row>
    <row r="41" spans="1:23" x14ac:dyDescent="0.2">
      <c r="A41" s="82">
        <v>2009</v>
      </c>
      <c r="C41" s="199" t="s">
        <v>46</v>
      </c>
      <c r="D41" s="93" t="s">
        <v>47</v>
      </c>
      <c r="E41" s="16">
        <v>323</v>
      </c>
      <c r="F41" s="56">
        <v>0</v>
      </c>
      <c r="G41" s="56">
        <v>0</v>
      </c>
      <c r="H41" s="56">
        <v>0</v>
      </c>
      <c r="I41" s="19">
        <v>25</v>
      </c>
      <c r="J41" s="19">
        <v>40</v>
      </c>
      <c r="K41" s="19">
        <v>76</v>
      </c>
      <c r="L41" s="19">
        <v>52</v>
      </c>
      <c r="M41" s="19">
        <v>0</v>
      </c>
      <c r="N41" s="19">
        <v>40</v>
      </c>
      <c r="O41" s="19">
        <v>26</v>
      </c>
      <c r="P41" s="103"/>
      <c r="Q41" s="103">
        <v>0</v>
      </c>
      <c r="R41" s="3">
        <f t="shared" si="4"/>
        <v>259</v>
      </c>
      <c r="S41" s="11">
        <f t="shared" si="5"/>
        <v>23.545454545454547</v>
      </c>
      <c r="T41" s="10">
        <f t="shared" si="6"/>
        <v>0</v>
      </c>
      <c r="U41" s="78">
        <v>0</v>
      </c>
    </row>
    <row r="42" spans="1:23" x14ac:dyDescent="0.2">
      <c r="A42" s="80"/>
      <c r="B42" s="75"/>
      <c r="C42" s="46"/>
      <c r="D42" s="49"/>
      <c r="E42" s="46"/>
      <c r="F42" s="46"/>
      <c r="G42" s="46"/>
      <c r="H42" s="46"/>
      <c r="I42" s="46"/>
      <c r="J42" s="46"/>
      <c r="K42" s="46"/>
      <c r="L42" s="46"/>
      <c r="M42" s="46"/>
      <c r="N42" s="46"/>
      <c r="O42" s="46"/>
      <c r="P42" s="46"/>
      <c r="Q42" s="46"/>
      <c r="R42" s="46"/>
      <c r="S42" s="49"/>
      <c r="T42" s="115"/>
      <c r="U42" s="81"/>
    </row>
    <row r="43" spans="1:23" x14ac:dyDescent="0.2">
      <c r="A43" s="77">
        <v>2006</v>
      </c>
      <c r="C43" s="51" t="s">
        <v>16</v>
      </c>
      <c r="D43" s="11">
        <v>377</v>
      </c>
      <c r="E43" s="2">
        <f t="shared" ref="E43:Q43" si="8">SUM(E3)</f>
        <v>27</v>
      </c>
      <c r="F43" s="2">
        <f t="shared" si="8"/>
        <v>0</v>
      </c>
      <c r="G43" s="2">
        <f t="shared" si="8"/>
        <v>0</v>
      </c>
      <c r="H43" s="2">
        <f t="shared" si="8"/>
        <v>0</v>
      </c>
      <c r="I43" s="2">
        <f t="shared" si="8"/>
        <v>0</v>
      </c>
      <c r="J43" s="2">
        <f t="shared" si="8"/>
        <v>0</v>
      </c>
      <c r="K43" s="2">
        <f t="shared" si="8"/>
        <v>0</v>
      </c>
      <c r="L43" s="2">
        <f t="shared" si="8"/>
        <v>0</v>
      </c>
      <c r="M43" s="2">
        <f t="shared" si="8"/>
        <v>0</v>
      </c>
      <c r="N43" s="2">
        <f t="shared" si="8"/>
        <v>0</v>
      </c>
      <c r="O43" s="2">
        <f t="shared" si="8"/>
        <v>0</v>
      </c>
      <c r="P43" s="2">
        <f t="shared" si="8"/>
        <v>0</v>
      </c>
      <c r="Q43" s="2">
        <f t="shared" si="8"/>
        <v>0</v>
      </c>
      <c r="R43" s="3">
        <f>SUM(F43:Q43)</f>
        <v>0</v>
      </c>
      <c r="S43" s="11">
        <f>AVERAGE(F43:Q43)</f>
        <v>0</v>
      </c>
      <c r="T43" s="10" t="e">
        <f>U43/S43</f>
        <v>#DIV/0!</v>
      </c>
      <c r="U43" s="78">
        <f>SUM(E43-R43)</f>
        <v>27</v>
      </c>
    </row>
    <row r="44" spans="1:23" x14ac:dyDescent="0.2">
      <c r="A44" s="77">
        <v>2007</v>
      </c>
      <c r="C44" s="2"/>
      <c r="D44" s="54">
        <v>431.5</v>
      </c>
      <c r="E44" s="2">
        <f t="shared" ref="E44:Q44" si="9">SUM(E5:E8)</f>
        <v>873</v>
      </c>
      <c r="F44" s="2">
        <f t="shared" si="9"/>
        <v>30</v>
      </c>
      <c r="G44" s="2">
        <f t="shared" si="9"/>
        <v>43</v>
      </c>
      <c r="H44" s="2">
        <f t="shared" si="9"/>
        <v>52</v>
      </c>
      <c r="I44" s="2">
        <f t="shared" si="9"/>
        <v>17</v>
      </c>
      <c r="J44" s="2">
        <f t="shared" si="9"/>
        <v>49</v>
      </c>
      <c r="K44" s="2">
        <f t="shared" si="9"/>
        <v>38</v>
      </c>
      <c r="L44" s="2">
        <f t="shared" si="9"/>
        <v>35</v>
      </c>
      <c r="M44" s="2">
        <f t="shared" si="9"/>
        <v>32</v>
      </c>
      <c r="N44" s="2">
        <f t="shared" si="9"/>
        <v>63</v>
      </c>
      <c r="O44" s="2">
        <f t="shared" si="9"/>
        <v>37</v>
      </c>
      <c r="P44" s="2">
        <f t="shared" si="9"/>
        <v>13</v>
      </c>
      <c r="Q44" s="2">
        <f t="shared" si="9"/>
        <v>5</v>
      </c>
      <c r="R44" s="3">
        <f>SUM(F44:Q44)</f>
        <v>414</v>
      </c>
      <c r="S44" s="11">
        <f>AVERAGE(F44:Q44)</f>
        <v>34.5</v>
      </c>
      <c r="T44" s="10">
        <f>U44/S44</f>
        <v>13.304347826086957</v>
      </c>
      <c r="U44" s="78">
        <f>SUM(E44-R44)</f>
        <v>459</v>
      </c>
    </row>
    <row r="45" spans="1:23" x14ac:dyDescent="0.2">
      <c r="A45" s="77">
        <v>2008</v>
      </c>
      <c r="C45" s="2"/>
      <c r="D45" s="42">
        <v>352.25</v>
      </c>
      <c r="E45" s="2">
        <f t="shared" ref="E45:Q45" si="10">SUM(E11:E24)</f>
        <v>3691</v>
      </c>
      <c r="F45" s="2">
        <f t="shared" si="10"/>
        <v>246</v>
      </c>
      <c r="G45" s="2">
        <f t="shared" si="10"/>
        <v>160</v>
      </c>
      <c r="H45" s="2">
        <f t="shared" si="10"/>
        <v>419</v>
      </c>
      <c r="I45" s="2">
        <f t="shared" si="10"/>
        <v>177</v>
      </c>
      <c r="J45" s="2">
        <f t="shared" si="10"/>
        <v>313</v>
      </c>
      <c r="K45" s="2">
        <f t="shared" si="10"/>
        <v>228</v>
      </c>
      <c r="L45" s="2">
        <f t="shared" si="10"/>
        <v>345</v>
      </c>
      <c r="M45" s="2">
        <f t="shared" si="10"/>
        <v>185</v>
      </c>
      <c r="N45" s="2">
        <f t="shared" si="10"/>
        <v>239</v>
      </c>
      <c r="O45" s="2">
        <f t="shared" si="10"/>
        <v>250</v>
      </c>
      <c r="P45" s="2">
        <f t="shared" si="10"/>
        <v>202</v>
      </c>
      <c r="Q45" s="2">
        <f t="shared" si="10"/>
        <v>129</v>
      </c>
      <c r="R45" s="3">
        <f>SUM(F45:Q45)</f>
        <v>2893</v>
      </c>
      <c r="S45" s="11">
        <f>AVERAGE(F45:Q45)</f>
        <v>241.08333333333334</v>
      </c>
      <c r="T45" s="10">
        <f>U45/S45</f>
        <v>3.3100587625302453</v>
      </c>
      <c r="U45" s="78">
        <f>SUM(E45-R45)</f>
        <v>798</v>
      </c>
    </row>
    <row r="46" spans="1:23" x14ac:dyDescent="0.2">
      <c r="A46" s="77">
        <v>2009</v>
      </c>
      <c r="C46" s="2"/>
      <c r="D46" s="71"/>
      <c r="E46" s="2">
        <f t="shared" ref="E46:Q46" si="11">SUM(E26:E41)</f>
        <v>4071</v>
      </c>
      <c r="F46" s="2">
        <f t="shared" si="11"/>
        <v>0</v>
      </c>
      <c r="G46" s="2">
        <f t="shared" si="11"/>
        <v>0</v>
      </c>
      <c r="H46" s="2">
        <f t="shared" si="11"/>
        <v>0</v>
      </c>
      <c r="I46" s="2">
        <f t="shared" si="11"/>
        <v>65</v>
      </c>
      <c r="J46" s="2">
        <f t="shared" si="11"/>
        <v>95</v>
      </c>
      <c r="K46" s="2">
        <f t="shared" si="11"/>
        <v>147</v>
      </c>
      <c r="L46" s="2">
        <f t="shared" si="11"/>
        <v>109</v>
      </c>
      <c r="M46" s="2">
        <f t="shared" si="11"/>
        <v>173</v>
      </c>
      <c r="N46" s="2">
        <f t="shared" si="11"/>
        <v>210</v>
      </c>
      <c r="O46" s="2">
        <f t="shared" si="11"/>
        <v>196</v>
      </c>
      <c r="P46" s="2">
        <f t="shared" si="11"/>
        <v>183</v>
      </c>
      <c r="Q46" s="2">
        <f t="shared" si="11"/>
        <v>57</v>
      </c>
      <c r="R46" s="3">
        <f>SUM(F46:Q46)</f>
        <v>1235</v>
      </c>
      <c r="S46" s="11">
        <f>AVERAGE(F46:Q46)</f>
        <v>102.91666666666667</v>
      </c>
      <c r="T46" s="10">
        <f>U46/S46</f>
        <v>27.556275303643723</v>
      </c>
      <c r="U46" s="78">
        <f>SUM(E46-R46)</f>
        <v>2836</v>
      </c>
    </row>
    <row r="47" spans="1:23" x14ac:dyDescent="0.2">
      <c r="A47" s="83"/>
      <c r="B47" s="75"/>
      <c r="C47" s="47"/>
      <c r="D47" s="48"/>
      <c r="E47" s="47"/>
      <c r="F47" s="47"/>
      <c r="G47" s="47"/>
      <c r="H47" s="47"/>
      <c r="I47" s="47"/>
      <c r="J47" s="47"/>
      <c r="K47" s="47"/>
      <c r="L47" s="47"/>
      <c r="M47" s="47"/>
      <c r="N47" s="47"/>
      <c r="O47" s="47"/>
      <c r="P47" s="47"/>
      <c r="Q47" s="47"/>
      <c r="R47" s="47"/>
      <c r="S47" s="48"/>
      <c r="T47" s="209"/>
      <c r="U47" s="84"/>
      <c r="V47" s="52"/>
      <c r="W47" s="52"/>
    </row>
    <row r="48" spans="1:23" x14ac:dyDescent="0.2">
      <c r="A48" s="72"/>
      <c r="C48" s="53" t="s">
        <v>36</v>
      </c>
      <c r="D48" s="24">
        <v>486.25</v>
      </c>
      <c r="E48" s="22">
        <f t="shared" ref="E48:Q48" si="12">SUM(E3+E5+E6+E7+E8+E11+E12+E13+E14+E17+E18+E19+E20+Y23,E26+E27+E28+E29+E32+E33+E34+E35+E38)</f>
        <v>5210</v>
      </c>
      <c r="F48" s="22">
        <f t="shared" si="12"/>
        <v>142</v>
      </c>
      <c r="G48" s="22">
        <f t="shared" si="12"/>
        <v>142</v>
      </c>
      <c r="H48" s="22">
        <f t="shared" si="12"/>
        <v>289</v>
      </c>
      <c r="I48" s="22">
        <f t="shared" si="12"/>
        <v>79</v>
      </c>
      <c r="J48" s="22">
        <f t="shared" si="12"/>
        <v>207</v>
      </c>
      <c r="K48" s="22">
        <f t="shared" si="12"/>
        <v>159</v>
      </c>
      <c r="L48" s="22">
        <f t="shared" si="12"/>
        <v>201</v>
      </c>
      <c r="M48" s="22">
        <f t="shared" si="12"/>
        <v>243</v>
      </c>
      <c r="N48" s="22">
        <f t="shared" si="12"/>
        <v>256</v>
      </c>
      <c r="O48" s="22">
        <f t="shared" si="12"/>
        <v>317</v>
      </c>
      <c r="P48" s="22">
        <f t="shared" si="12"/>
        <v>244</v>
      </c>
      <c r="Q48" s="22">
        <f t="shared" si="12"/>
        <v>128</v>
      </c>
      <c r="R48" s="3">
        <f>SUM(F48:Q48)</f>
        <v>2407</v>
      </c>
      <c r="S48" s="11">
        <f>AVERAGE(F48:N48)</f>
        <v>190.88888888888889</v>
      </c>
      <c r="T48" s="10">
        <f>U48/S48</f>
        <v>14.683934807916183</v>
      </c>
      <c r="U48" s="78">
        <f>SUM(E48-R48)</f>
        <v>2803</v>
      </c>
    </row>
    <row r="49" spans="1:21" ht="13.5" thickBot="1" x14ac:dyDescent="0.25">
      <c r="A49" s="85"/>
      <c r="B49" s="86"/>
      <c r="C49" s="87" t="s">
        <v>37</v>
      </c>
      <c r="D49" s="88">
        <v>754.75</v>
      </c>
      <c r="E49" s="89" t="e">
        <f t="shared" ref="E49:Q49" si="13">SUM(E15+E16+E21+E22+E24+E30+E31+E36+E37+E39+E41)</f>
        <v>#VALUE!</v>
      </c>
      <c r="F49" s="89">
        <f t="shared" si="13"/>
        <v>125</v>
      </c>
      <c r="G49" s="89">
        <f t="shared" si="13"/>
        <v>55</v>
      </c>
      <c r="H49" s="89">
        <f t="shared" si="13"/>
        <v>161</v>
      </c>
      <c r="I49" s="89">
        <f t="shared" si="13"/>
        <v>165</v>
      </c>
      <c r="J49" s="89">
        <f t="shared" si="13"/>
        <v>214</v>
      </c>
      <c r="K49" s="89">
        <f t="shared" si="13"/>
        <v>226</v>
      </c>
      <c r="L49" s="89">
        <f t="shared" si="13"/>
        <v>288</v>
      </c>
      <c r="M49" s="89">
        <f t="shared" si="13"/>
        <v>122</v>
      </c>
      <c r="N49" s="89">
        <f t="shared" si="13"/>
        <v>247</v>
      </c>
      <c r="O49" s="89">
        <f t="shared" si="13"/>
        <v>155</v>
      </c>
      <c r="P49" s="89">
        <f t="shared" si="13"/>
        <v>140</v>
      </c>
      <c r="Q49" s="89" t="e">
        <f t="shared" si="13"/>
        <v>#VALUE!</v>
      </c>
      <c r="R49" s="90" t="e">
        <f>SUM(F49:Q49)</f>
        <v>#VALUE!</v>
      </c>
      <c r="S49" s="88">
        <f>AVERAGE(F49:N49)</f>
        <v>178.11111111111111</v>
      </c>
      <c r="T49" s="91" t="e">
        <f>U49/S49</f>
        <v>#VALUE!</v>
      </c>
      <c r="U49" s="92" t="e">
        <f>SUM(E49-R49)</f>
        <v>#VALUE!</v>
      </c>
    </row>
  </sheetData>
  <mergeCells count="1">
    <mergeCell ref="C1:R1"/>
  </mergeCells>
  <phoneticPr fontId="0" type="noConversion"/>
  <pageMargins left="0.25" right="0.25" top="0.75" bottom="0.75" header="0.3" footer="0.3"/>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V63"/>
  <sheetViews>
    <sheetView zoomScale="115" zoomScaleNormal="106" workbookViewId="0">
      <selection activeCell="A18" sqref="A18"/>
    </sheetView>
  </sheetViews>
  <sheetFormatPr defaultRowHeight="12.75" x14ac:dyDescent="0.2"/>
  <cols>
    <col min="1" max="1" width="6.28515625" customWidth="1"/>
    <col min="2" max="2" width="1.5703125" customWidth="1"/>
    <col min="3" max="3" width="17.28515625" customWidth="1"/>
    <col min="4" max="4" width="9.7109375" customWidth="1"/>
    <col min="5" max="5" width="12.5703125" customWidth="1"/>
    <col min="6" max="8" width="6.5703125" customWidth="1"/>
    <col min="9" max="9" width="6.7109375" customWidth="1"/>
    <col min="10" max="10" width="7" customWidth="1"/>
    <col min="11" max="11" width="6.7109375" customWidth="1"/>
    <col min="12" max="12" width="6.42578125" customWidth="1"/>
    <col min="13" max="13" width="7" customWidth="1"/>
    <col min="14" max="14" width="7.28515625" customWidth="1"/>
    <col min="15" max="15" width="6.7109375" customWidth="1"/>
    <col min="16" max="16" width="7" customWidth="1"/>
    <col min="17" max="17" width="6.7109375" customWidth="1"/>
    <col min="18" max="18" width="8.5703125" customWidth="1"/>
    <col min="19" max="19" width="10.7109375" customWidth="1"/>
    <col min="20" max="20" width="10.28515625" customWidth="1"/>
    <col min="21" max="21" width="13.28515625" customWidth="1"/>
  </cols>
  <sheetData>
    <row r="2" spans="1:22" ht="77.25" customHeight="1" x14ac:dyDescent="0.2"/>
    <row r="4" spans="1:22" ht="13.5" thickBot="1" x14ac:dyDescent="0.25"/>
    <row r="5" spans="1:22" ht="29.25" customHeight="1" thickBot="1" x14ac:dyDescent="0.35">
      <c r="A5" s="104" t="s">
        <v>0</v>
      </c>
      <c r="B5" s="105"/>
      <c r="C5" s="105"/>
      <c r="D5" s="105"/>
      <c r="E5" s="105"/>
      <c r="F5" s="105"/>
      <c r="G5" s="105"/>
      <c r="H5" s="105"/>
      <c r="I5" s="105"/>
      <c r="J5" s="105"/>
      <c r="K5" s="105"/>
      <c r="L5" s="105"/>
      <c r="M5" s="105"/>
      <c r="N5" s="105"/>
      <c r="O5" s="105"/>
      <c r="P5" s="105"/>
      <c r="Q5" s="105"/>
      <c r="R5" s="105"/>
      <c r="S5" s="105"/>
      <c r="T5" s="105"/>
      <c r="U5" s="106"/>
    </row>
    <row r="6" spans="1:22" ht="48" thickBot="1" x14ac:dyDescent="0.3">
      <c r="A6" s="61" t="s">
        <v>3</v>
      </c>
      <c r="C6" s="107" t="s">
        <v>2</v>
      </c>
      <c r="D6" s="108" t="s">
        <v>48</v>
      </c>
      <c r="E6" s="109" t="s">
        <v>49</v>
      </c>
      <c r="F6" s="110" t="s">
        <v>4</v>
      </c>
      <c r="G6" s="110" t="s">
        <v>5</v>
      </c>
      <c r="H6" s="110" t="s">
        <v>6</v>
      </c>
      <c r="I6" s="110" t="s">
        <v>7</v>
      </c>
      <c r="J6" s="110" t="s">
        <v>8</v>
      </c>
      <c r="K6" s="110" t="s">
        <v>9</v>
      </c>
      <c r="L6" s="110" t="s">
        <v>10</v>
      </c>
      <c r="M6" s="110" t="s">
        <v>11</v>
      </c>
      <c r="N6" s="110" t="s">
        <v>12</v>
      </c>
      <c r="O6" s="110" t="s">
        <v>13</v>
      </c>
      <c r="P6" s="110" t="s">
        <v>14</v>
      </c>
      <c r="Q6" s="110" t="s">
        <v>15</v>
      </c>
      <c r="R6" s="111" t="s">
        <v>16</v>
      </c>
      <c r="S6" s="112" t="s">
        <v>50</v>
      </c>
      <c r="T6" s="109" t="s">
        <v>19</v>
      </c>
      <c r="U6" s="113" t="s">
        <v>41</v>
      </c>
    </row>
    <row r="7" spans="1:22" x14ac:dyDescent="0.2">
      <c r="A7" s="82">
        <v>2009</v>
      </c>
      <c r="C7" s="2" t="s">
        <v>21</v>
      </c>
      <c r="D7" s="11">
        <v>22</v>
      </c>
      <c r="E7" s="4">
        <v>21</v>
      </c>
      <c r="F7" s="2">
        <v>21</v>
      </c>
      <c r="G7" s="2">
        <v>0</v>
      </c>
      <c r="H7" s="33"/>
      <c r="I7" s="33"/>
      <c r="J7" s="33"/>
      <c r="K7" s="33"/>
      <c r="L7" s="147"/>
      <c r="M7" s="33"/>
      <c r="N7" s="33"/>
      <c r="O7" s="33"/>
      <c r="P7" s="33"/>
      <c r="Q7" s="33"/>
      <c r="R7" s="3">
        <f>SUM(F7:Q7)</f>
        <v>21</v>
      </c>
      <c r="S7" s="11">
        <f>AVERAGE(F7:Q7)</f>
        <v>10.5</v>
      </c>
      <c r="T7" s="10">
        <f>U7/S7</f>
        <v>0</v>
      </c>
      <c r="U7" s="78">
        <f>SUM(E7-R7)</f>
        <v>0</v>
      </c>
    </row>
    <row r="8" spans="1:22" x14ac:dyDescent="0.2">
      <c r="A8" s="82">
        <v>2009</v>
      </c>
      <c r="C8" s="2" t="s">
        <v>23</v>
      </c>
      <c r="D8" s="11">
        <v>29</v>
      </c>
      <c r="E8" s="4">
        <v>118</v>
      </c>
      <c r="F8" s="2">
        <v>23</v>
      </c>
      <c r="G8" s="2">
        <v>17</v>
      </c>
      <c r="H8" s="2">
        <v>14</v>
      </c>
      <c r="I8" s="2">
        <v>34</v>
      </c>
      <c r="J8" s="2"/>
      <c r="K8" s="2"/>
      <c r="L8" s="33"/>
      <c r="M8" s="33"/>
      <c r="N8" s="33"/>
      <c r="O8" s="33"/>
      <c r="P8" s="33"/>
      <c r="Q8" s="33"/>
      <c r="R8" s="3">
        <f>SUM(F8:Q8)</f>
        <v>88</v>
      </c>
      <c r="S8" s="11">
        <f>AVERAGE(F8:Q8)</f>
        <v>22</v>
      </c>
      <c r="T8" s="10">
        <f>U8/S8</f>
        <v>1.3636363636363635</v>
      </c>
      <c r="U8" s="78">
        <f>SUM(E8-R8)</f>
        <v>30</v>
      </c>
    </row>
    <row r="9" spans="1:22" x14ac:dyDescent="0.2">
      <c r="A9" s="82">
        <v>2009</v>
      </c>
      <c r="C9" s="2" t="s">
        <v>26</v>
      </c>
      <c r="D9" s="11">
        <v>16</v>
      </c>
      <c r="E9" s="4">
        <v>13</v>
      </c>
      <c r="F9" s="2">
        <v>13</v>
      </c>
      <c r="G9" s="2">
        <v>0</v>
      </c>
      <c r="H9" s="33"/>
      <c r="I9" s="33"/>
      <c r="J9" s="33"/>
      <c r="K9" s="33"/>
      <c r="L9" s="33"/>
      <c r="M9" s="33"/>
      <c r="N9" s="33"/>
      <c r="O9" s="33"/>
      <c r="P9" s="33"/>
      <c r="Q9" s="33"/>
      <c r="R9" s="3">
        <f>SUM(F9:Q9)</f>
        <v>13</v>
      </c>
      <c r="S9" s="11">
        <f>AVERAGE(F9:Q9)</f>
        <v>6.5</v>
      </c>
      <c r="T9" s="10">
        <f>U9/S9</f>
        <v>0</v>
      </c>
      <c r="U9" s="78">
        <f>SUM(E9-R9)</f>
        <v>0</v>
      </c>
    </row>
    <row r="10" spans="1:22" x14ac:dyDescent="0.2">
      <c r="A10" s="80"/>
      <c r="B10" s="75"/>
      <c r="C10" s="46"/>
      <c r="D10" s="49"/>
      <c r="E10" s="46"/>
      <c r="F10" s="46"/>
      <c r="G10" s="46"/>
      <c r="H10" s="46"/>
      <c r="I10" s="46"/>
      <c r="J10" s="46"/>
      <c r="K10" s="46"/>
      <c r="L10" s="46"/>
      <c r="M10" s="46"/>
      <c r="N10" s="46"/>
      <c r="O10" s="46"/>
      <c r="P10" s="46"/>
      <c r="Q10" s="46"/>
      <c r="R10" s="46"/>
      <c r="S10" s="49"/>
      <c r="T10" s="115"/>
      <c r="U10" s="81"/>
    </row>
    <row r="11" spans="1:22" x14ac:dyDescent="0.2">
      <c r="A11" s="2">
        <v>2010</v>
      </c>
      <c r="C11" s="2" t="s">
        <v>25</v>
      </c>
      <c r="D11" s="102">
        <v>38</v>
      </c>
      <c r="E11" s="2">
        <v>255</v>
      </c>
      <c r="F11" s="114">
        <v>25</v>
      </c>
      <c r="G11" s="114">
        <v>29</v>
      </c>
      <c r="H11" s="114">
        <v>26</v>
      </c>
      <c r="I11" s="114">
        <v>38</v>
      </c>
      <c r="J11" s="114"/>
      <c r="K11" s="114"/>
      <c r="L11" s="114"/>
      <c r="M11" s="114"/>
      <c r="N11" s="114"/>
      <c r="O11" s="132"/>
      <c r="P11" s="114"/>
      <c r="Q11" s="114"/>
      <c r="R11" s="3">
        <f t="shared" ref="R11:R19" si="0">SUM(F11:Q11)</f>
        <v>118</v>
      </c>
      <c r="S11" s="11">
        <f t="shared" ref="S11:S19" si="1">AVERAGE(F11:Q11)</f>
        <v>29.5</v>
      </c>
      <c r="T11" s="10">
        <f t="shared" ref="T11:T19" si="2">U11/S11</f>
        <v>4.6440677966101696</v>
      </c>
      <c r="U11" s="78">
        <f t="shared" ref="U11:U19" si="3">SUM(E11-R11)</f>
        <v>137</v>
      </c>
    </row>
    <row r="12" spans="1:22" x14ac:dyDescent="0.2">
      <c r="A12" s="2">
        <v>2010</v>
      </c>
      <c r="C12" s="114" t="s">
        <v>51</v>
      </c>
      <c r="D12" s="102">
        <v>30</v>
      </c>
      <c r="E12" s="2">
        <v>84</v>
      </c>
      <c r="F12" s="114">
        <v>11</v>
      </c>
      <c r="G12" s="114">
        <v>10</v>
      </c>
      <c r="H12" s="114">
        <v>9</v>
      </c>
      <c r="I12" s="114">
        <v>17</v>
      </c>
      <c r="J12" s="147"/>
      <c r="K12" s="147"/>
      <c r="L12" s="147"/>
      <c r="M12" s="147"/>
      <c r="N12" s="147"/>
      <c r="O12" s="147"/>
      <c r="P12" s="147"/>
      <c r="Q12" s="147"/>
      <c r="R12" s="3">
        <f>SUM(F12:Q12)</f>
        <v>47</v>
      </c>
      <c r="S12" s="11">
        <f>AVERAGE(F12:Q12)</f>
        <v>11.75</v>
      </c>
      <c r="T12" s="10">
        <f>U12/S12</f>
        <v>3.1489361702127661</v>
      </c>
      <c r="U12" s="78">
        <f>SUM(E12-R12)</f>
        <v>37</v>
      </c>
      <c r="V12">
        <v>3</v>
      </c>
    </row>
    <row r="13" spans="1:22" x14ac:dyDescent="0.2">
      <c r="A13" s="2">
        <v>2010</v>
      </c>
      <c r="C13" s="2" t="s">
        <v>31</v>
      </c>
      <c r="D13" s="102">
        <v>31</v>
      </c>
      <c r="E13" s="2">
        <v>151</v>
      </c>
      <c r="F13" s="114">
        <v>19</v>
      </c>
      <c r="G13" s="114">
        <v>18</v>
      </c>
      <c r="H13" s="114">
        <v>16</v>
      </c>
      <c r="I13" s="114">
        <v>62</v>
      </c>
      <c r="J13" s="114"/>
      <c r="K13" s="114"/>
      <c r="L13" s="147"/>
      <c r="M13" s="147"/>
      <c r="N13" s="147"/>
      <c r="O13" s="147"/>
      <c r="P13" s="147"/>
      <c r="Q13" s="147"/>
      <c r="R13" s="3">
        <f t="shared" si="0"/>
        <v>115</v>
      </c>
      <c r="S13" s="11">
        <f>AVERAGE(F13:Q13)</f>
        <v>28.75</v>
      </c>
      <c r="T13" s="10">
        <f t="shared" si="2"/>
        <v>1.2521739130434784</v>
      </c>
      <c r="U13" s="78">
        <f>SUM(E13-R13)</f>
        <v>36</v>
      </c>
    </row>
    <row r="14" spans="1:22" x14ac:dyDescent="0.2">
      <c r="A14" s="2">
        <v>2010</v>
      </c>
      <c r="C14" s="114" t="s">
        <v>23</v>
      </c>
      <c r="D14" s="102">
        <v>29</v>
      </c>
      <c r="E14" s="2">
        <v>283</v>
      </c>
      <c r="F14" s="130">
        <v>13</v>
      </c>
      <c r="G14" s="130">
        <v>6</v>
      </c>
      <c r="H14" s="130">
        <v>4</v>
      </c>
      <c r="I14" s="130">
        <v>0</v>
      </c>
      <c r="J14" s="130"/>
      <c r="K14" s="130"/>
      <c r="L14" s="130"/>
      <c r="M14" s="130"/>
      <c r="N14" s="130"/>
      <c r="O14" s="130"/>
      <c r="P14" s="130"/>
      <c r="Q14" s="130"/>
      <c r="R14" s="3">
        <f t="shared" si="0"/>
        <v>23</v>
      </c>
      <c r="S14" s="11">
        <f t="shared" si="1"/>
        <v>5.75</v>
      </c>
      <c r="T14" s="10">
        <f t="shared" si="2"/>
        <v>45.217391304347828</v>
      </c>
      <c r="U14" s="78">
        <f t="shared" si="3"/>
        <v>260</v>
      </c>
    </row>
    <row r="15" spans="1:22" x14ac:dyDescent="0.2">
      <c r="A15" s="2">
        <v>2010</v>
      </c>
      <c r="C15" s="114" t="s">
        <v>26</v>
      </c>
      <c r="D15" s="102">
        <v>16</v>
      </c>
      <c r="E15" s="2">
        <v>308</v>
      </c>
      <c r="F15" s="131">
        <v>2</v>
      </c>
      <c r="G15" s="114">
        <v>12</v>
      </c>
      <c r="H15" s="114">
        <v>12</v>
      </c>
      <c r="I15" s="114">
        <v>6</v>
      </c>
      <c r="J15" s="114"/>
      <c r="K15" s="114"/>
      <c r="L15" s="114"/>
      <c r="M15" s="114"/>
      <c r="N15" s="114"/>
      <c r="O15" s="114"/>
      <c r="P15" s="114"/>
      <c r="Q15" s="114"/>
      <c r="R15" s="3">
        <f t="shared" si="0"/>
        <v>32</v>
      </c>
      <c r="S15" s="11">
        <f t="shared" si="1"/>
        <v>8</v>
      </c>
      <c r="T15" s="10">
        <f t="shared" si="2"/>
        <v>34.5</v>
      </c>
      <c r="U15" s="78">
        <f t="shared" si="3"/>
        <v>276</v>
      </c>
    </row>
    <row r="16" spans="1:22" x14ac:dyDescent="0.2">
      <c r="A16" s="2">
        <v>2010</v>
      </c>
      <c r="C16" s="114" t="s">
        <v>24</v>
      </c>
      <c r="D16" s="102">
        <v>25</v>
      </c>
      <c r="E16" s="2">
        <v>238</v>
      </c>
      <c r="F16" s="114">
        <v>16</v>
      </c>
      <c r="G16" s="114">
        <v>15</v>
      </c>
      <c r="H16" s="114">
        <v>18</v>
      </c>
      <c r="I16" s="114">
        <v>22</v>
      </c>
      <c r="J16" s="114"/>
      <c r="K16" s="114"/>
      <c r="L16" s="114"/>
      <c r="M16" s="114"/>
      <c r="N16" s="114"/>
      <c r="O16" s="114"/>
      <c r="P16" s="114"/>
      <c r="Q16" s="132"/>
      <c r="R16" s="3">
        <f t="shared" si="0"/>
        <v>71</v>
      </c>
      <c r="S16" s="11">
        <f t="shared" si="1"/>
        <v>17.75</v>
      </c>
      <c r="T16" s="10">
        <f t="shared" si="2"/>
        <v>9.408450704225352</v>
      </c>
      <c r="U16" s="78">
        <f t="shared" si="3"/>
        <v>167</v>
      </c>
    </row>
    <row r="17" spans="1:22" x14ac:dyDescent="0.2">
      <c r="A17" s="2">
        <v>2010</v>
      </c>
      <c r="C17" s="114" t="s">
        <v>27</v>
      </c>
      <c r="D17" s="102">
        <v>21</v>
      </c>
      <c r="E17" s="2">
        <v>301</v>
      </c>
      <c r="F17" s="114">
        <v>23</v>
      </c>
      <c r="G17" s="114">
        <v>22</v>
      </c>
      <c r="H17" s="114">
        <v>15</v>
      </c>
      <c r="I17" s="114">
        <v>15</v>
      </c>
      <c r="J17" s="114"/>
      <c r="K17" s="114"/>
      <c r="L17" s="114"/>
      <c r="M17" s="114"/>
      <c r="N17" s="114"/>
      <c r="O17" s="114"/>
      <c r="P17" s="114"/>
      <c r="Q17" s="114"/>
      <c r="R17" s="3">
        <f t="shared" si="0"/>
        <v>75</v>
      </c>
      <c r="S17" s="11">
        <f t="shared" si="1"/>
        <v>18.75</v>
      </c>
      <c r="T17" s="10">
        <f t="shared" si="2"/>
        <v>12.053333333333333</v>
      </c>
      <c r="U17" s="78">
        <f t="shared" si="3"/>
        <v>226</v>
      </c>
    </row>
    <row r="18" spans="1:22" x14ac:dyDescent="0.2">
      <c r="A18" s="2">
        <v>2010</v>
      </c>
      <c r="C18" s="2" t="s">
        <v>29</v>
      </c>
      <c r="D18" s="102">
        <v>12</v>
      </c>
      <c r="E18" s="2">
        <v>168</v>
      </c>
      <c r="F18" s="114">
        <v>16</v>
      </c>
      <c r="G18" s="114">
        <v>8</v>
      </c>
      <c r="H18" s="114">
        <v>7</v>
      </c>
      <c r="I18" s="114">
        <v>12</v>
      </c>
      <c r="J18" s="114"/>
      <c r="K18" s="114"/>
      <c r="L18" s="114"/>
      <c r="M18" s="114"/>
      <c r="N18" s="145"/>
      <c r="O18" s="114"/>
      <c r="P18" s="114"/>
      <c r="Q18" s="114"/>
      <c r="R18" s="3">
        <f t="shared" si="0"/>
        <v>43</v>
      </c>
      <c r="S18" s="11">
        <f t="shared" si="1"/>
        <v>10.75</v>
      </c>
      <c r="T18" s="10">
        <f t="shared" si="2"/>
        <v>11.627906976744185</v>
      </c>
      <c r="U18" s="78">
        <f t="shared" si="3"/>
        <v>125</v>
      </c>
      <c r="V18">
        <v>3</v>
      </c>
    </row>
    <row r="19" spans="1:22" x14ac:dyDescent="0.2">
      <c r="A19" s="2">
        <v>2010</v>
      </c>
      <c r="C19" s="114" t="s">
        <v>52</v>
      </c>
      <c r="D19" s="102">
        <v>22</v>
      </c>
      <c r="E19" s="2">
        <v>573</v>
      </c>
      <c r="F19" s="131">
        <v>8</v>
      </c>
      <c r="G19" s="130">
        <v>24</v>
      </c>
      <c r="H19" s="114">
        <v>27</v>
      </c>
      <c r="I19" s="114">
        <v>20</v>
      </c>
      <c r="J19" s="114"/>
      <c r="K19" s="114"/>
      <c r="L19" s="114"/>
      <c r="M19" s="114"/>
      <c r="N19" s="145"/>
      <c r="O19" s="114"/>
      <c r="P19" s="132"/>
      <c r="Q19" s="132"/>
      <c r="R19" s="3">
        <f t="shared" si="0"/>
        <v>79</v>
      </c>
      <c r="S19" s="11">
        <f t="shared" si="1"/>
        <v>19.75</v>
      </c>
      <c r="T19" s="10">
        <f t="shared" si="2"/>
        <v>25.0126582278481</v>
      </c>
      <c r="U19" s="78">
        <f t="shared" si="3"/>
        <v>494</v>
      </c>
      <c r="V19">
        <v>5</v>
      </c>
    </row>
    <row r="20" spans="1:22" x14ac:dyDescent="0.2">
      <c r="A20" s="2">
        <v>2010</v>
      </c>
      <c r="C20" s="114" t="s">
        <v>53</v>
      </c>
      <c r="D20" s="102">
        <v>37</v>
      </c>
      <c r="E20" s="2">
        <v>396</v>
      </c>
      <c r="F20" s="132">
        <v>43</v>
      </c>
      <c r="G20" s="114">
        <v>21</v>
      </c>
      <c r="H20" s="114">
        <v>9</v>
      </c>
      <c r="I20" s="114">
        <v>24</v>
      </c>
      <c r="J20" s="114"/>
      <c r="K20" s="114"/>
      <c r="L20" s="114"/>
      <c r="M20" s="114"/>
      <c r="N20" s="132"/>
      <c r="O20" s="114"/>
      <c r="P20" s="132"/>
      <c r="Q20" s="132"/>
      <c r="R20" s="3">
        <f>SUM(F20:Q20)</f>
        <v>97</v>
      </c>
      <c r="S20" s="11">
        <f>AVERAGE(F20:Q20)</f>
        <v>24.25</v>
      </c>
      <c r="T20" s="10">
        <f>U20/S20</f>
        <v>12.329896907216495</v>
      </c>
      <c r="U20" s="78">
        <f>SUM(E20-R20)</f>
        <v>299</v>
      </c>
    </row>
    <row r="21" spans="1:22" x14ac:dyDescent="0.2">
      <c r="A21" s="2">
        <v>2010</v>
      </c>
      <c r="C21" s="2" t="s">
        <v>45</v>
      </c>
      <c r="D21" s="102">
        <v>13</v>
      </c>
      <c r="E21" s="2">
        <v>210</v>
      </c>
      <c r="F21" s="132">
        <v>20</v>
      </c>
      <c r="G21" s="114">
        <v>6</v>
      </c>
      <c r="H21" s="114">
        <v>6</v>
      </c>
      <c r="I21" s="114">
        <v>14</v>
      </c>
      <c r="J21" s="114"/>
      <c r="K21" s="114"/>
      <c r="L21" s="114"/>
      <c r="M21" s="114"/>
      <c r="N21" s="114"/>
      <c r="O21" s="132"/>
      <c r="P21" s="132"/>
      <c r="Q21" s="132"/>
      <c r="R21" s="3">
        <f>SUM(F21:Q21)</f>
        <v>46</v>
      </c>
      <c r="S21" s="11">
        <f>AVERAGE(F21:Q21)</f>
        <v>11.5</v>
      </c>
      <c r="T21" s="10">
        <f>U21/S21</f>
        <v>14.260869565217391</v>
      </c>
      <c r="U21" s="78">
        <f>SUM(E21-R21)</f>
        <v>164</v>
      </c>
    </row>
    <row r="22" spans="1:22" x14ac:dyDescent="0.2">
      <c r="A22" s="135"/>
      <c r="B22" s="75"/>
      <c r="C22" s="46"/>
      <c r="D22" s="46"/>
      <c r="E22" s="46"/>
      <c r="F22" s="136">
        <v>1</v>
      </c>
      <c r="G22" s="137"/>
      <c r="H22" s="137"/>
      <c r="I22" s="137"/>
      <c r="J22" s="137"/>
      <c r="K22" s="137"/>
      <c r="L22" s="137"/>
      <c r="M22" s="137"/>
      <c r="N22" s="137"/>
      <c r="O22" s="136"/>
      <c r="P22" s="136"/>
      <c r="Q22" s="136"/>
      <c r="R22" s="46"/>
      <c r="S22" s="49"/>
      <c r="T22" s="133"/>
      <c r="U22" s="138"/>
    </row>
    <row r="23" spans="1:22" x14ac:dyDescent="0.2">
      <c r="A23" s="134">
        <v>2011</v>
      </c>
      <c r="C23" s="114" t="s">
        <v>46</v>
      </c>
      <c r="D23" s="102">
        <v>25</v>
      </c>
      <c r="E23" s="2">
        <v>281</v>
      </c>
      <c r="F23" s="132">
        <v>46</v>
      </c>
      <c r="G23" s="114">
        <v>25</v>
      </c>
      <c r="H23" s="114">
        <v>210</v>
      </c>
      <c r="I23" s="147"/>
      <c r="J23" s="147"/>
      <c r="K23" s="147"/>
      <c r="L23" s="147"/>
      <c r="M23" s="147"/>
      <c r="N23" s="147"/>
      <c r="O23" s="148"/>
      <c r="P23" s="148"/>
      <c r="Q23" s="148"/>
      <c r="R23" s="3">
        <f>SUM(F23:Q23)</f>
        <v>281</v>
      </c>
      <c r="S23" s="11">
        <f>AVERAGE(F23:Q23)</f>
        <v>93.666666666666671</v>
      </c>
      <c r="T23" s="10">
        <f>U23/S23</f>
        <v>0</v>
      </c>
      <c r="U23" s="78">
        <f>SUM(E23-R23)</f>
        <v>0</v>
      </c>
      <c r="V23" t="s">
        <v>54</v>
      </c>
    </row>
    <row r="24" spans="1:22" x14ac:dyDescent="0.2">
      <c r="A24" s="134">
        <v>2011</v>
      </c>
      <c r="C24" s="114" t="s">
        <v>25</v>
      </c>
      <c r="D24" s="102">
        <v>38</v>
      </c>
      <c r="E24" s="2">
        <v>535</v>
      </c>
      <c r="F24" s="132">
        <v>1</v>
      </c>
      <c r="G24" s="114">
        <v>0</v>
      </c>
      <c r="H24" s="114">
        <v>0</v>
      </c>
      <c r="I24" s="114">
        <v>4</v>
      </c>
      <c r="J24" s="114"/>
      <c r="K24" s="114"/>
      <c r="L24" s="114"/>
      <c r="M24" s="114"/>
      <c r="N24" s="114"/>
      <c r="O24" s="132"/>
      <c r="P24" s="132"/>
      <c r="Q24" s="132"/>
      <c r="R24" s="3">
        <f>SUM(F24:Q24)</f>
        <v>5</v>
      </c>
      <c r="S24" s="11">
        <f>AVERAGE(F24:Q24)</f>
        <v>1.25</v>
      </c>
      <c r="T24" s="10">
        <f>U24/S24</f>
        <v>424</v>
      </c>
      <c r="U24" s="78">
        <f>SUM(E24-R24)</f>
        <v>530</v>
      </c>
    </row>
    <row r="25" spans="1:22" x14ac:dyDescent="0.2">
      <c r="A25" s="134">
        <v>2011</v>
      </c>
      <c r="C25" s="2" t="s">
        <v>31</v>
      </c>
      <c r="D25" s="102">
        <v>31</v>
      </c>
      <c r="E25" s="2">
        <v>487</v>
      </c>
      <c r="F25" s="131">
        <v>1</v>
      </c>
      <c r="G25" s="130">
        <v>5</v>
      </c>
      <c r="H25" s="130">
        <v>3</v>
      </c>
      <c r="I25" s="130">
        <v>12</v>
      </c>
      <c r="J25" s="130"/>
      <c r="K25" s="130"/>
      <c r="L25" s="130"/>
      <c r="M25" s="130"/>
      <c r="N25" s="130"/>
      <c r="O25" s="131"/>
      <c r="P25" s="131"/>
      <c r="Q25" s="131"/>
      <c r="R25" s="3">
        <f t="shared" ref="R25:R41" si="4">SUM(F25:Q25)</f>
        <v>21</v>
      </c>
      <c r="S25" s="11">
        <f t="shared" ref="S25:S41" si="5">AVERAGE(F25:Q25)</f>
        <v>5.25</v>
      </c>
      <c r="T25" s="10">
        <f t="shared" ref="T25:T41" si="6">U25/S25</f>
        <v>88.761904761904759</v>
      </c>
      <c r="U25" s="78">
        <f t="shared" ref="U25:U41" si="7">SUM(E25-R25)</f>
        <v>466</v>
      </c>
    </row>
    <row r="26" spans="1:22" x14ac:dyDescent="0.2">
      <c r="A26" s="134">
        <v>2011</v>
      </c>
      <c r="C26" s="114" t="s">
        <v>33</v>
      </c>
      <c r="D26" s="102">
        <v>29</v>
      </c>
      <c r="E26" s="2">
        <v>147</v>
      </c>
      <c r="F26" s="131">
        <v>19</v>
      </c>
      <c r="G26" s="130">
        <v>0</v>
      </c>
      <c r="H26" s="130">
        <v>128</v>
      </c>
      <c r="I26" s="147"/>
      <c r="J26" s="147"/>
      <c r="K26" s="147"/>
      <c r="L26" s="147"/>
      <c r="M26" s="147"/>
      <c r="N26" s="147"/>
      <c r="O26" s="148"/>
      <c r="P26" s="148"/>
      <c r="Q26" s="148"/>
      <c r="R26" s="3">
        <f t="shared" si="4"/>
        <v>147</v>
      </c>
      <c r="S26" s="11">
        <f t="shared" si="5"/>
        <v>49</v>
      </c>
      <c r="T26" s="10">
        <f t="shared" si="6"/>
        <v>0</v>
      </c>
      <c r="U26" s="78">
        <f>SUM(E26-R26)</f>
        <v>0</v>
      </c>
      <c r="V26" t="s">
        <v>55</v>
      </c>
    </row>
    <row r="27" spans="1:22" x14ac:dyDescent="0.2">
      <c r="A27" s="134">
        <v>2011</v>
      </c>
      <c r="C27" s="114" t="s">
        <v>26</v>
      </c>
      <c r="D27" s="102">
        <v>16</v>
      </c>
      <c r="E27" s="2">
        <v>243</v>
      </c>
      <c r="F27" s="131">
        <v>2</v>
      </c>
      <c r="G27" s="130">
        <v>0</v>
      </c>
      <c r="H27" s="130">
        <v>0</v>
      </c>
      <c r="I27" s="130">
        <v>0</v>
      </c>
      <c r="J27" s="130"/>
      <c r="K27" s="130"/>
      <c r="L27" s="130"/>
      <c r="M27" s="130"/>
      <c r="N27" s="130"/>
      <c r="O27" s="131"/>
      <c r="P27" s="131"/>
      <c r="Q27" s="131"/>
      <c r="R27" s="3">
        <f t="shared" si="4"/>
        <v>2</v>
      </c>
      <c r="S27" s="11">
        <f t="shared" si="5"/>
        <v>0.5</v>
      </c>
      <c r="T27" s="10">
        <f t="shared" si="6"/>
        <v>482</v>
      </c>
      <c r="U27" s="78">
        <f t="shared" si="7"/>
        <v>241</v>
      </c>
    </row>
    <row r="28" spans="1:22" x14ac:dyDescent="0.2">
      <c r="A28" s="134">
        <v>2011</v>
      </c>
      <c r="C28" s="114" t="s">
        <v>23</v>
      </c>
      <c r="D28" s="102">
        <v>29</v>
      </c>
      <c r="E28" s="2">
        <v>179</v>
      </c>
      <c r="F28" s="131">
        <v>1</v>
      </c>
      <c r="G28" s="130">
        <v>0</v>
      </c>
      <c r="H28" s="130">
        <v>0</v>
      </c>
      <c r="I28" s="130">
        <v>0</v>
      </c>
      <c r="J28" s="130"/>
      <c r="K28" s="130"/>
      <c r="L28" s="130"/>
      <c r="M28" s="130"/>
      <c r="N28" s="130"/>
      <c r="O28" s="131"/>
      <c r="P28" s="131"/>
      <c r="Q28" s="131"/>
      <c r="R28" s="3">
        <f t="shared" si="4"/>
        <v>1</v>
      </c>
      <c r="S28" s="11">
        <f t="shared" si="5"/>
        <v>0.25</v>
      </c>
      <c r="T28" s="10">
        <f t="shared" si="6"/>
        <v>712</v>
      </c>
      <c r="U28" s="78">
        <f t="shared" si="7"/>
        <v>178</v>
      </c>
    </row>
    <row r="29" spans="1:22" x14ac:dyDescent="0.2">
      <c r="A29" s="134">
        <v>2011</v>
      </c>
      <c r="C29" s="2" t="s">
        <v>24</v>
      </c>
      <c r="D29" s="102">
        <v>25</v>
      </c>
      <c r="E29" s="2">
        <v>202</v>
      </c>
      <c r="F29" s="131">
        <v>5</v>
      </c>
      <c r="G29" s="130">
        <v>0</v>
      </c>
      <c r="H29" s="130">
        <v>3</v>
      </c>
      <c r="I29" s="130">
        <v>1</v>
      </c>
      <c r="J29" s="130"/>
      <c r="K29" s="130"/>
      <c r="L29" s="130"/>
      <c r="M29" s="130"/>
      <c r="N29" s="130"/>
      <c r="O29" s="131"/>
      <c r="P29" s="131"/>
      <c r="Q29" s="131"/>
      <c r="R29" s="3">
        <f t="shared" si="4"/>
        <v>9</v>
      </c>
      <c r="S29" s="11">
        <f t="shared" si="5"/>
        <v>2.25</v>
      </c>
      <c r="T29" s="10">
        <f t="shared" si="6"/>
        <v>85.777777777777771</v>
      </c>
      <c r="U29" s="78">
        <f t="shared" si="7"/>
        <v>193</v>
      </c>
    </row>
    <row r="30" spans="1:22" x14ac:dyDescent="0.2">
      <c r="A30" s="134">
        <v>2011</v>
      </c>
      <c r="C30" s="2" t="s">
        <v>56</v>
      </c>
      <c r="D30" s="102">
        <v>21</v>
      </c>
      <c r="E30" s="2">
        <v>171</v>
      </c>
      <c r="F30" s="131">
        <v>2</v>
      </c>
      <c r="G30" s="130">
        <v>6</v>
      </c>
      <c r="H30" s="130">
        <v>0</v>
      </c>
      <c r="I30" s="130">
        <v>0</v>
      </c>
      <c r="J30" s="130"/>
      <c r="K30" s="130"/>
      <c r="L30" s="130"/>
      <c r="M30" s="130"/>
      <c r="N30" s="130"/>
      <c r="O30" s="131"/>
      <c r="P30" s="131"/>
      <c r="Q30" s="131"/>
      <c r="R30" s="3">
        <f t="shared" si="4"/>
        <v>8</v>
      </c>
      <c r="S30" s="11">
        <f t="shared" si="5"/>
        <v>2</v>
      </c>
      <c r="T30" s="10">
        <f t="shared" si="6"/>
        <v>81.5</v>
      </c>
      <c r="U30" s="78">
        <f t="shared" si="7"/>
        <v>163</v>
      </c>
    </row>
    <row r="31" spans="1:22" x14ac:dyDescent="0.2">
      <c r="A31" s="134">
        <v>2011</v>
      </c>
      <c r="C31" s="2" t="s">
        <v>22</v>
      </c>
      <c r="D31" s="102">
        <v>37</v>
      </c>
      <c r="E31" s="2">
        <v>344</v>
      </c>
      <c r="F31" s="131">
        <v>1</v>
      </c>
      <c r="G31" s="130">
        <v>0</v>
      </c>
      <c r="H31" s="130">
        <v>11</v>
      </c>
      <c r="I31" s="130">
        <v>0</v>
      </c>
      <c r="J31" s="130"/>
      <c r="K31" s="130"/>
      <c r="L31" s="130"/>
      <c r="M31" s="130"/>
      <c r="N31" s="130"/>
      <c r="O31" s="131"/>
      <c r="P31" s="131"/>
      <c r="Q31" s="131"/>
      <c r="R31" s="3">
        <f t="shared" si="4"/>
        <v>12</v>
      </c>
      <c r="S31" s="11">
        <f t="shared" si="5"/>
        <v>3</v>
      </c>
      <c r="T31" s="10">
        <f t="shared" si="6"/>
        <v>110.66666666666667</v>
      </c>
      <c r="U31" s="78">
        <f t="shared" si="7"/>
        <v>332</v>
      </c>
    </row>
    <row r="32" spans="1:22" x14ac:dyDescent="0.2">
      <c r="A32" s="134">
        <v>2011</v>
      </c>
      <c r="C32" s="2" t="s">
        <v>57</v>
      </c>
      <c r="D32" s="102">
        <v>13</v>
      </c>
      <c r="E32" s="2">
        <v>359</v>
      </c>
      <c r="F32" s="131">
        <v>1</v>
      </c>
      <c r="G32" s="130">
        <v>4</v>
      </c>
      <c r="H32" s="130">
        <v>0</v>
      </c>
      <c r="I32" s="130">
        <v>0</v>
      </c>
      <c r="J32" s="130"/>
      <c r="K32" s="130"/>
      <c r="L32" s="130"/>
      <c r="M32" s="130"/>
      <c r="N32" s="130"/>
      <c r="O32" s="131"/>
      <c r="P32" s="131"/>
      <c r="Q32" s="131"/>
      <c r="R32" s="3">
        <f t="shared" si="4"/>
        <v>5</v>
      </c>
      <c r="S32" s="11">
        <f t="shared" si="5"/>
        <v>1.25</v>
      </c>
      <c r="T32" s="10">
        <f t="shared" si="6"/>
        <v>283.2</v>
      </c>
      <c r="U32" s="78">
        <f t="shared" si="7"/>
        <v>354</v>
      </c>
    </row>
    <row r="33" spans="1:21" x14ac:dyDescent="0.2">
      <c r="A33" s="80"/>
      <c r="B33" s="75"/>
      <c r="C33" s="46"/>
      <c r="D33" s="49"/>
      <c r="E33" s="46"/>
      <c r="F33" s="46"/>
      <c r="G33" s="46"/>
      <c r="H33" s="46"/>
      <c r="I33" s="46"/>
      <c r="J33" s="46"/>
      <c r="K33" s="46"/>
      <c r="L33" s="46"/>
      <c r="M33" s="46"/>
      <c r="N33" s="46"/>
      <c r="O33" s="46"/>
      <c r="P33" s="46"/>
      <c r="Q33" s="46"/>
      <c r="R33" s="46"/>
      <c r="S33" s="49"/>
      <c r="T33" s="133"/>
      <c r="U33" s="81"/>
    </row>
    <row r="34" spans="1:21" x14ac:dyDescent="0.2">
      <c r="A34" s="134">
        <v>2012</v>
      </c>
      <c r="C34" s="2" t="s">
        <v>33</v>
      </c>
      <c r="D34" s="102"/>
      <c r="E34" s="2">
        <v>547</v>
      </c>
      <c r="F34" s="131"/>
      <c r="G34" s="130">
        <v>1</v>
      </c>
      <c r="H34" s="130">
        <v>89</v>
      </c>
      <c r="I34" s="130">
        <v>54</v>
      </c>
      <c r="J34" s="130"/>
      <c r="K34" s="130"/>
      <c r="L34" s="130"/>
      <c r="M34" s="130"/>
      <c r="N34" s="130"/>
      <c r="O34" s="131"/>
      <c r="P34" s="131"/>
      <c r="Q34" s="131"/>
      <c r="R34" s="3">
        <f t="shared" si="4"/>
        <v>144</v>
      </c>
      <c r="S34" s="11">
        <f t="shared" si="5"/>
        <v>48</v>
      </c>
      <c r="T34" s="10">
        <f t="shared" si="6"/>
        <v>8.3958333333333339</v>
      </c>
      <c r="U34" s="78">
        <f t="shared" si="7"/>
        <v>403</v>
      </c>
    </row>
    <row r="35" spans="1:21" x14ac:dyDescent="0.2">
      <c r="A35" s="134">
        <v>2012</v>
      </c>
      <c r="C35" s="2" t="s">
        <v>58</v>
      </c>
      <c r="D35" s="102"/>
      <c r="E35" s="2">
        <v>332</v>
      </c>
      <c r="F35" s="131"/>
      <c r="G35" s="130"/>
      <c r="H35" s="130"/>
      <c r="I35" s="130">
        <v>37</v>
      </c>
      <c r="J35" s="130"/>
      <c r="K35" s="130"/>
      <c r="L35" s="130"/>
      <c r="M35" s="130"/>
      <c r="N35" s="130"/>
      <c r="O35" s="131"/>
      <c r="P35" s="131"/>
      <c r="Q35" s="131"/>
      <c r="R35" s="3">
        <f t="shared" si="4"/>
        <v>37</v>
      </c>
      <c r="S35" s="11">
        <f t="shared" si="5"/>
        <v>37</v>
      </c>
      <c r="T35" s="10">
        <f t="shared" si="6"/>
        <v>7.9729729729729728</v>
      </c>
      <c r="U35" s="78">
        <f t="shared" si="7"/>
        <v>295</v>
      </c>
    </row>
    <row r="36" spans="1:21" x14ac:dyDescent="0.2">
      <c r="A36" s="134"/>
      <c r="C36" s="2"/>
      <c r="D36" s="102"/>
      <c r="E36" s="2"/>
      <c r="F36" s="131"/>
      <c r="G36" s="130"/>
      <c r="H36" s="130"/>
      <c r="I36" s="130"/>
      <c r="J36" s="130"/>
      <c r="K36" s="130"/>
      <c r="L36" s="130"/>
      <c r="M36" s="130"/>
      <c r="N36" s="130"/>
      <c r="O36" s="131"/>
      <c r="P36" s="131"/>
      <c r="Q36" s="131"/>
      <c r="R36" s="3">
        <f t="shared" si="4"/>
        <v>0</v>
      </c>
      <c r="S36" s="11" t="e">
        <f t="shared" si="5"/>
        <v>#DIV/0!</v>
      </c>
      <c r="T36" s="10" t="e">
        <f t="shared" si="6"/>
        <v>#DIV/0!</v>
      </c>
      <c r="U36" s="78">
        <f t="shared" si="7"/>
        <v>0</v>
      </c>
    </row>
    <row r="37" spans="1:21" x14ac:dyDescent="0.2">
      <c r="A37" s="134"/>
      <c r="C37" s="2"/>
      <c r="D37" s="102"/>
      <c r="E37" s="2"/>
      <c r="F37" s="131"/>
      <c r="G37" s="130"/>
      <c r="H37" s="130"/>
      <c r="I37" s="130"/>
      <c r="J37" s="130"/>
      <c r="K37" s="130"/>
      <c r="L37" s="130"/>
      <c r="M37" s="130"/>
      <c r="N37" s="130"/>
      <c r="O37" s="131"/>
      <c r="P37" s="131"/>
      <c r="Q37" s="131"/>
      <c r="R37" s="3">
        <f t="shared" si="4"/>
        <v>0</v>
      </c>
      <c r="S37" s="11" t="e">
        <f t="shared" si="5"/>
        <v>#DIV/0!</v>
      </c>
      <c r="T37" s="10" t="e">
        <f t="shared" si="6"/>
        <v>#DIV/0!</v>
      </c>
      <c r="U37" s="78">
        <f t="shared" si="7"/>
        <v>0</v>
      </c>
    </row>
    <row r="38" spans="1:21" x14ac:dyDescent="0.2">
      <c r="A38" s="134"/>
      <c r="C38" s="2"/>
      <c r="D38" s="102"/>
      <c r="E38" s="2"/>
      <c r="F38" s="131"/>
      <c r="G38" s="130"/>
      <c r="H38" s="130"/>
      <c r="I38" s="130"/>
      <c r="J38" s="130"/>
      <c r="K38" s="130"/>
      <c r="L38" s="130"/>
      <c r="M38" s="130"/>
      <c r="N38" s="130"/>
      <c r="O38" s="131"/>
      <c r="P38" s="131"/>
      <c r="Q38" s="131"/>
      <c r="R38" s="3">
        <f t="shared" si="4"/>
        <v>0</v>
      </c>
      <c r="S38" s="11" t="e">
        <f t="shared" si="5"/>
        <v>#DIV/0!</v>
      </c>
      <c r="T38" s="10" t="e">
        <f t="shared" si="6"/>
        <v>#DIV/0!</v>
      </c>
      <c r="U38" s="78">
        <f t="shared" si="7"/>
        <v>0</v>
      </c>
    </row>
    <row r="39" spans="1:21" x14ac:dyDescent="0.2">
      <c r="A39" s="134"/>
      <c r="C39" s="2"/>
      <c r="D39" s="102"/>
      <c r="E39" s="2"/>
      <c r="F39" s="131"/>
      <c r="G39" s="130"/>
      <c r="H39" s="130"/>
      <c r="I39" s="130"/>
      <c r="J39" s="130"/>
      <c r="K39" s="130"/>
      <c r="L39" s="130"/>
      <c r="M39" s="130"/>
      <c r="N39" s="130"/>
      <c r="O39" s="131"/>
      <c r="P39" s="131"/>
      <c r="Q39" s="131"/>
      <c r="R39" s="3">
        <f t="shared" si="4"/>
        <v>0</v>
      </c>
      <c r="S39" s="11" t="e">
        <f t="shared" si="5"/>
        <v>#DIV/0!</v>
      </c>
      <c r="T39" s="10" t="e">
        <f t="shared" si="6"/>
        <v>#DIV/0!</v>
      </c>
      <c r="U39" s="78">
        <f t="shared" si="7"/>
        <v>0</v>
      </c>
    </row>
    <row r="40" spans="1:21" x14ac:dyDescent="0.2">
      <c r="A40" s="134"/>
      <c r="C40" s="2"/>
      <c r="D40" s="102"/>
      <c r="E40" s="2"/>
      <c r="F40" s="131"/>
      <c r="G40" s="130"/>
      <c r="H40" s="130"/>
      <c r="I40" s="130"/>
      <c r="J40" s="130"/>
      <c r="K40" s="130"/>
      <c r="L40" s="130"/>
      <c r="M40" s="130"/>
      <c r="N40" s="130"/>
      <c r="O40" s="131"/>
      <c r="P40" s="131"/>
      <c r="Q40" s="131"/>
      <c r="R40" s="3">
        <f t="shared" si="4"/>
        <v>0</v>
      </c>
      <c r="S40" s="11" t="e">
        <f t="shared" si="5"/>
        <v>#DIV/0!</v>
      </c>
      <c r="T40" s="10" t="e">
        <f t="shared" si="6"/>
        <v>#DIV/0!</v>
      </c>
      <c r="U40" s="78">
        <f t="shared" si="7"/>
        <v>0</v>
      </c>
    </row>
    <row r="41" spans="1:21" x14ac:dyDescent="0.2">
      <c r="A41" s="134"/>
      <c r="C41" s="2"/>
      <c r="D41" s="102"/>
      <c r="E41" s="2"/>
      <c r="F41" s="132" t="s">
        <v>35</v>
      </c>
      <c r="G41" s="114"/>
      <c r="H41" s="114"/>
      <c r="I41" s="114"/>
      <c r="J41" s="114"/>
      <c r="K41" s="114"/>
      <c r="L41" s="114"/>
      <c r="M41" s="114"/>
      <c r="N41" s="114"/>
      <c r="O41" s="132"/>
      <c r="P41" s="132"/>
      <c r="Q41" s="132"/>
      <c r="R41" s="3">
        <f t="shared" si="4"/>
        <v>0</v>
      </c>
      <c r="S41" s="11" t="e">
        <f t="shared" si="5"/>
        <v>#DIV/0!</v>
      </c>
      <c r="T41" s="10" t="e">
        <f t="shared" si="6"/>
        <v>#DIV/0!</v>
      </c>
      <c r="U41" s="78">
        <f t="shared" si="7"/>
        <v>0</v>
      </c>
    </row>
    <row r="42" spans="1:21" x14ac:dyDescent="0.2">
      <c r="A42" s="80"/>
      <c r="B42" s="75"/>
      <c r="C42" s="46"/>
      <c r="D42" s="49"/>
      <c r="E42" s="46"/>
      <c r="F42" s="46"/>
      <c r="G42" s="46"/>
      <c r="H42" s="46"/>
      <c r="I42" s="46"/>
      <c r="J42" s="46"/>
      <c r="K42" s="46"/>
      <c r="L42" s="46"/>
      <c r="M42" s="46"/>
      <c r="N42" s="46"/>
      <c r="O42" s="46"/>
      <c r="P42" s="46"/>
      <c r="Q42" s="46"/>
      <c r="R42" s="46"/>
      <c r="S42" s="49"/>
      <c r="T42" s="133"/>
      <c r="U42" s="81"/>
    </row>
    <row r="43" spans="1:21" x14ac:dyDescent="0.2">
      <c r="A43" s="77">
        <v>2009</v>
      </c>
      <c r="C43" s="2"/>
      <c r="D43" s="129"/>
      <c r="E43" s="11">
        <f t="shared" ref="E43:R43" si="8">SUM(E7:E9)</f>
        <v>152</v>
      </c>
      <c r="F43" s="11">
        <f t="shared" si="8"/>
        <v>57</v>
      </c>
      <c r="G43" s="11">
        <f t="shared" si="8"/>
        <v>17</v>
      </c>
      <c r="H43" s="11">
        <f t="shared" si="8"/>
        <v>14</v>
      </c>
      <c r="I43" s="11">
        <f t="shared" si="8"/>
        <v>34</v>
      </c>
      <c r="J43" s="11">
        <f t="shared" si="8"/>
        <v>0</v>
      </c>
      <c r="K43" s="11">
        <f t="shared" si="8"/>
        <v>0</v>
      </c>
      <c r="L43" s="11">
        <f t="shared" si="8"/>
        <v>0</v>
      </c>
      <c r="M43" s="11">
        <f t="shared" si="8"/>
        <v>0</v>
      </c>
      <c r="N43" s="11">
        <f t="shared" si="8"/>
        <v>0</v>
      </c>
      <c r="O43" s="11">
        <f t="shared" si="8"/>
        <v>0</v>
      </c>
      <c r="P43" s="11">
        <f t="shared" si="8"/>
        <v>0</v>
      </c>
      <c r="Q43" s="11">
        <f t="shared" si="8"/>
        <v>0</v>
      </c>
      <c r="R43" s="11">
        <f t="shared" si="8"/>
        <v>122</v>
      </c>
      <c r="S43" s="11">
        <f>AVERAGE(F43:Q43)</f>
        <v>10.166666666666666</v>
      </c>
      <c r="T43" s="10">
        <f>U43/S43</f>
        <v>2.9508196721311477</v>
      </c>
      <c r="U43" s="42">
        <f>SUM(U7:U9)</f>
        <v>30</v>
      </c>
    </row>
    <row r="44" spans="1:21" x14ac:dyDescent="0.2">
      <c r="A44" s="79">
        <v>2010</v>
      </c>
      <c r="C44" s="16"/>
      <c r="D44" s="139"/>
      <c r="E44" s="18">
        <f t="shared" ref="E44:R44" si="9">SUM(E11:E21)</f>
        <v>2967</v>
      </c>
      <c r="F44" s="18">
        <f t="shared" si="9"/>
        <v>196</v>
      </c>
      <c r="G44" s="18">
        <f t="shared" si="9"/>
        <v>171</v>
      </c>
      <c r="H44" s="18">
        <f t="shared" si="9"/>
        <v>149</v>
      </c>
      <c r="I44" s="18">
        <f t="shared" si="9"/>
        <v>230</v>
      </c>
      <c r="J44" s="18">
        <f t="shared" si="9"/>
        <v>0</v>
      </c>
      <c r="K44" s="18">
        <f t="shared" si="9"/>
        <v>0</v>
      </c>
      <c r="L44" s="18">
        <f t="shared" si="9"/>
        <v>0</v>
      </c>
      <c r="M44" s="18">
        <f t="shared" si="9"/>
        <v>0</v>
      </c>
      <c r="N44" s="18">
        <f t="shared" si="9"/>
        <v>0</v>
      </c>
      <c r="O44" s="18">
        <f t="shared" si="9"/>
        <v>0</v>
      </c>
      <c r="P44" s="18">
        <f t="shared" si="9"/>
        <v>0</v>
      </c>
      <c r="Q44" s="18">
        <f t="shared" si="9"/>
        <v>0</v>
      </c>
      <c r="R44" s="18">
        <f t="shared" si="9"/>
        <v>746</v>
      </c>
      <c r="S44" s="18">
        <f>AVERAGE(F44:Q44)</f>
        <v>62.166666666666664</v>
      </c>
      <c r="T44" s="20">
        <f>U44/S44</f>
        <v>35.726541554959788</v>
      </c>
      <c r="U44" s="54">
        <f>SUM(U11:U21)</f>
        <v>2221</v>
      </c>
    </row>
    <row r="45" spans="1:21" x14ac:dyDescent="0.2">
      <c r="A45" s="16">
        <v>2011</v>
      </c>
      <c r="B45" s="16"/>
      <c r="C45" s="16"/>
      <c r="D45" s="139"/>
      <c r="E45" s="18">
        <f>SUM(E23:E41)</f>
        <v>3827</v>
      </c>
      <c r="F45" s="18">
        <f>SUM(F23:F41)</f>
        <v>79</v>
      </c>
      <c r="G45" s="18">
        <f>SUM(G23:G41)</f>
        <v>41</v>
      </c>
      <c r="H45" s="18">
        <f>SUM(H23:H41)</f>
        <v>444</v>
      </c>
      <c r="I45" s="18">
        <f t="shared" ref="I45:Q45" si="10">SUM(I23:I41)</f>
        <v>108</v>
      </c>
      <c r="J45" s="18">
        <f t="shared" si="10"/>
        <v>0</v>
      </c>
      <c r="K45" s="18">
        <f t="shared" si="10"/>
        <v>0</v>
      </c>
      <c r="L45" s="18">
        <f t="shared" si="10"/>
        <v>0</v>
      </c>
      <c r="M45" s="18">
        <f t="shared" si="10"/>
        <v>0</v>
      </c>
      <c r="N45" s="18">
        <f t="shared" si="10"/>
        <v>0</v>
      </c>
      <c r="O45" s="18">
        <f t="shared" si="10"/>
        <v>0</v>
      </c>
      <c r="P45" s="18">
        <f t="shared" si="10"/>
        <v>0</v>
      </c>
      <c r="Q45" s="18">
        <f t="shared" si="10"/>
        <v>0</v>
      </c>
      <c r="R45" s="18">
        <f>SUM(R23:R41)</f>
        <v>672</v>
      </c>
      <c r="S45" s="18">
        <f>AVERAGE(F45:Q45)</f>
        <v>56</v>
      </c>
      <c r="T45" s="20">
        <f>U45/S45</f>
        <v>56.339285714285715</v>
      </c>
      <c r="U45" s="54">
        <f>SUM(U23:U41)</f>
        <v>3155</v>
      </c>
    </row>
    <row r="46" spans="1:21" x14ac:dyDescent="0.2">
      <c r="A46" s="2">
        <v>2012</v>
      </c>
      <c r="B46" s="2"/>
      <c r="C46" s="2"/>
      <c r="D46" s="129"/>
      <c r="E46" s="11"/>
      <c r="F46" s="11"/>
      <c r="G46" s="11"/>
      <c r="H46" s="11"/>
      <c r="I46" s="11"/>
      <c r="J46" s="11"/>
      <c r="K46" s="11"/>
      <c r="L46" s="11"/>
      <c r="M46" s="11"/>
      <c r="N46" s="11"/>
      <c r="O46" s="11"/>
      <c r="P46" s="11"/>
      <c r="Q46" s="11"/>
      <c r="R46" s="11"/>
      <c r="S46" s="11"/>
      <c r="T46" s="10"/>
      <c r="U46" s="11"/>
    </row>
    <row r="47" spans="1:21" x14ac:dyDescent="0.2">
      <c r="A47" s="146" t="s">
        <v>59</v>
      </c>
      <c r="B47" s="2"/>
      <c r="C47" s="2"/>
      <c r="D47" s="129"/>
      <c r="E47" s="11">
        <f t="shared" ref="E47:S47" si="11">SUM(E43:E46)</f>
        <v>6946</v>
      </c>
      <c r="F47" s="11">
        <f t="shared" si="11"/>
        <v>332</v>
      </c>
      <c r="G47" s="11">
        <f t="shared" si="11"/>
        <v>229</v>
      </c>
      <c r="H47" s="11">
        <f t="shared" si="11"/>
        <v>607</v>
      </c>
      <c r="I47" s="11">
        <f t="shared" si="11"/>
        <v>372</v>
      </c>
      <c r="J47" s="11">
        <f t="shared" si="11"/>
        <v>0</v>
      </c>
      <c r="K47" s="11">
        <f t="shared" si="11"/>
        <v>0</v>
      </c>
      <c r="L47" s="11">
        <f t="shared" si="11"/>
        <v>0</v>
      </c>
      <c r="M47" s="11">
        <f t="shared" si="11"/>
        <v>0</v>
      </c>
      <c r="N47" s="11">
        <f t="shared" si="11"/>
        <v>0</v>
      </c>
      <c r="O47" s="11">
        <f t="shared" si="11"/>
        <v>0</v>
      </c>
      <c r="P47" s="11">
        <f t="shared" si="11"/>
        <v>0</v>
      </c>
      <c r="Q47" s="11">
        <f t="shared" si="11"/>
        <v>0</v>
      </c>
      <c r="R47" s="11">
        <f t="shared" si="11"/>
        <v>1540</v>
      </c>
      <c r="S47" s="11">
        <f t="shared" si="11"/>
        <v>128.33333333333331</v>
      </c>
      <c r="T47" s="20">
        <f>U47/S47</f>
        <v>42.12467532467533</v>
      </c>
      <c r="U47" s="11">
        <f>SUM(U43:U46)</f>
        <v>5406</v>
      </c>
    </row>
    <row r="48" spans="1:21" x14ac:dyDescent="0.2">
      <c r="A48" s="140"/>
      <c r="B48" s="75"/>
      <c r="C48" s="141"/>
      <c r="D48" s="142"/>
      <c r="E48" s="141"/>
      <c r="F48" s="141"/>
      <c r="G48" s="141"/>
      <c r="H48" s="141"/>
      <c r="I48" s="141"/>
      <c r="J48" s="141"/>
      <c r="K48" s="141"/>
      <c r="L48" s="141"/>
      <c r="M48" s="141"/>
      <c r="N48" s="141"/>
      <c r="O48" s="141"/>
      <c r="P48" s="141"/>
      <c r="Q48" s="141"/>
      <c r="R48" s="141"/>
      <c r="S48" s="142"/>
      <c r="T48" s="143"/>
      <c r="U48" s="144"/>
    </row>
    <row r="49" spans="1:21" ht="13.5" thickBot="1" x14ac:dyDescent="0.25"/>
    <row r="50" spans="1:21" ht="39.75" customHeight="1" thickBot="1" x14ac:dyDescent="0.45">
      <c r="A50" s="116" t="s">
        <v>60</v>
      </c>
      <c r="B50" s="117"/>
      <c r="C50" s="117"/>
      <c r="D50" s="117"/>
      <c r="E50" s="118" t="s">
        <v>61</v>
      </c>
      <c r="F50" s="443" t="s">
        <v>62</v>
      </c>
      <c r="G50" s="444"/>
      <c r="H50" s="444"/>
      <c r="I50" s="444"/>
      <c r="J50" s="444"/>
      <c r="K50" s="444"/>
      <c r="L50" s="444"/>
      <c r="M50" s="444"/>
      <c r="N50" s="444"/>
      <c r="O50" s="444"/>
      <c r="P50" s="444"/>
      <c r="Q50" s="444"/>
      <c r="R50" s="119" t="s">
        <v>63</v>
      </c>
      <c r="S50" s="120"/>
      <c r="T50" s="120"/>
      <c r="U50" s="120"/>
    </row>
    <row r="51" spans="1:21" x14ac:dyDescent="0.2">
      <c r="A51" s="22"/>
      <c r="B51" s="22"/>
      <c r="C51" s="121"/>
      <c r="D51" s="22"/>
      <c r="E51" s="128"/>
      <c r="F51" s="22"/>
      <c r="G51" s="22"/>
      <c r="H51" s="22"/>
      <c r="I51" s="22"/>
      <c r="J51" s="22"/>
      <c r="K51" s="22"/>
      <c r="L51" s="22"/>
      <c r="M51" s="22"/>
      <c r="N51" s="22"/>
      <c r="O51" s="22"/>
      <c r="P51" s="22"/>
      <c r="Q51" s="123"/>
      <c r="R51" s="22"/>
    </row>
    <row r="52" spans="1:21" x14ac:dyDescent="0.2">
      <c r="A52" s="2"/>
      <c r="B52" s="2"/>
      <c r="C52" s="114"/>
      <c r="D52" s="2"/>
      <c r="E52" s="22"/>
      <c r="F52" s="2"/>
      <c r="G52" s="2"/>
      <c r="H52" s="2"/>
      <c r="I52" s="2"/>
      <c r="J52" s="2"/>
      <c r="K52" s="2"/>
      <c r="L52" s="2"/>
      <c r="M52" s="2"/>
      <c r="N52" s="2"/>
      <c r="O52" s="2"/>
      <c r="P52" s="2"/>
      <c r="Q52" s="15"/>
      <c r="R52" s="2"/>
    </row>
    <row r="53" spans="1:21" x14ac:dyDescent="0.2">
      <c r="A53" s="46"/>
      <c r="B53" s="46"/>
      <c r="C53" s="46"/>
      <c r="D53" s="46"/>
      <c r="E53" s="46"/>
      <c r="F53" s="46"/>
      <c r="G53" s="46"/>
      <c r="H53" s="46"/>
      <c r="I53" s="46"/>
      <c r="J53" s="46"/>
      <c r="K53" s="46"/>
      <c r="L53" s="46"/>
      <c r="M53" s="46"/>
      <c r="N53" s="46"/>
      <c r="O53" s="46"/>
      <c r="P53" s="46"/>
      <c r="Q53" s="124"/>
      <c r="R53" s="46"/>
    </row>
    <row r="54" spans="1:21" x14ac:dyDescent="0.2">
      <c r="A54" s="2"/>
      <c r="B54" s="2"/>
      <c r="C54" s="114"/>
      <c r="D54" s="2"/>
      <c r="E54" s="2"/>
      <c r="F54" s="2"/>
      <c r="G54" s="2"/>
      <c r="H54" s="2"/>
      <c r="I54" s="2"/>
      <c r="J54" s="2"/>
      <c r="K54" s="2"/>
      <c r="L54" s="2"/>
      <c r="M54" s="2"/>
      <c r="N54" s="2"/>
      <c r="O54" s="2"/>
      <c r="P54" s="2"/>
      <c r="Q54" s="15"/>
      <c r="R54" s="2"/>
    </row>
    <row r="55" spans="1:21" x14ac:dyDescent="0.2">
      <c r="A55" s="2"/>
      <c r="B55" s="2"/>
      <c r="C55" s="114"/>
      <c r="D55" s="2"/>
      <c r="E55" s="2"/>
      <c r="F55" s="2"/>
      <c r="G55" s="2"/>
      <c r="H55" s="2"/>
      <c r="I55" s="2"/>
      <c r="J55" s="2"/>
      <c r="K55" s="2"/>
      <c r="L55" s="2"/>
      <c r="M55" s="2"/>
      <c r="N55" s="2"/>
      <c r="O55" s="2"/>
      <c r="P55" s="2"/>
      <c r="Q55" s="15"/>
      <c r="R55" s="2"/>
    </row>
    <row r="56" spans="1:21" x14ac:dyDescent="0.2">
      <c r="A56" s="75"/>
      <c r="B56" s="75"/>
      <c r="C56" s="125"/>
      <c r="D56" s="75"/>
      <c r="E56" s="75"/>
      <c r="F56" s="75"/>
      <c r="G56" s="75"/>
      <c r="H56" s="75"/>
      <c r="I56" s="75"/>
      <c r="J56" s="75"/>
      <c r="K56" s="75"/>
      <c r="L56" s="75"/>
      <c r="M56" s="75"/>
      <c r="N56" s="75"/>
      <c r="O56" s="75"/>
      <c r="P56" s="75"/>
      <c r="Q56" s="75"/>
      <c r="R56" s="46"/>
    </row>
    <row r="57" spans="1:21" ht="12.75" customHeight="1" thickBot="1" x14ac:dyDescent="0.25">
      <c r="C57" s="126"/>
    </row>
    <row r="58" spans="1:21" ht="38.25" customHeight="1" thickBot="1" x14ac:dyDescent="0.45">
      <c r="A58" s="445" t="s">
        <v>60</v>
      </c>
      <c r="B58" s="446"/>
      <c r="C58" s="446"/>
      <c r="D58" s="447"/>
      <c r="E58" s="127" t="s">
        <v>64</v>
      </c>
      <c r="F58" s="443" t="s">
        <v>65</v>
      </c>
      <c r="G58" s="444"/>
      <c r="H58" s="444"/>
      <c r="I58" s="444"/>
      <c r="J58" s="444"/>
      <c r="K58" s="444"/>
      <c r="L58" s="444"/>
      <c r="M58" s="444"/>
      <c r="N58" s="444"/>
      <c r="O58" s="444"/>
      <c r="P58" s="444"/>
      <c r="Q58" s="448"/>
      <c r="R58" s="119" t="s">
        <v>66</v>
      </c>
    </row>
    <row r="59" spans="1:21" ht="15.75" x14ac:dyDescent="0.25">
      <c r="A59" s="22"/>
      <c r="B59" s="22"/>
      <c r="C59" s="121"/>
      <c r="D59" s="22"/>
      <c r="E59" s="122"/>
      <c r="F59" s="22"/>
      <c r="G59" s="22"/>
      <c r="H59" s="22"/>
      <c r="I59" s="22"/>
      <c r="J59" s="22"/>
      <c r="K59" s="22"/>
      <c r="L59" s="22"/>
      <c r="M59" s="22"/>
      <c r="N59" s="22"/>
      <c r="O59" s="22"/>
      <c r="P59" s="22"/>
      <c r="Q59" s="22"/>
      <c r="R59" s="22"/>
    </row>
    <row r="60" spans="1:21" x14ac:dyDescent="0.2">
      <c r="A60" s="2"/>
      <c r="B60" s="2"/>
      <c r="C60" s="114"/>
      <c r="D60" s="2"/>
      <c r="E60" s="22"/>
      <c r="F60" s="2"/>
      <c r="G60" s="2"/>
      <c r="H60" s="2"/>
      <c r="I60" s="2"/>
      <c r="J60" s="2"/>
      <c r="K60" s="2"/>
      <c r="L60" s="2"/>
      <c r="M60" s="2"/>
      <c r="N60" s="2"/>
      <c r="O60" s="2"/>
      <c r="P60" s="2"/>
      <c r="Q60" s="2"/>
      <c r="R60" s="2"/>
    </row>
    <row r="61" spans="1:21" x14ac:dyDescent="0.2">
      <c r="A61" s="46"/>
      <c r="B61" s="46"/>
      <c r="C61" s="46"/>
      <c r="D61" s="46"/>
      <c r="E61" s="46"/>
      <c r="F61" s="46"/>
      <c r="G61" s="46"/>
      <c r="H61" s="46"/>
      <c r="I61" s="46"/>
      <c r="J61" s="46"/>
      <c r="K61" s="46"/>
      <c r="L61" s="46"/>
      <c r="M61" s="46"/>
      <c r="N61" s="46"/>
      <c r="O61" s="46"/>
      <c r="P61" s="46"/>
      <c r="Q61" s="46"/>
      <c r="R61" s="46"/>
    </row>
    <row r="62" spans="1:21" x14ac:dyDescent="0.2">
      <c r="A62" s="2"/>
      <c r="B62" s="2"/>
      <c r="C62" s="114"/>
      <c r="D62" s="2"/>
      <c r="E62" s="2"/>
      <c r="F62" s="2"/>
      <c r="G62" s="2"/>
      <c r="H62" s="2"/>
      <c r="I62" s="2"/>
      <c r="J62" s="2"/>
      <c r="K62" s="2"/>
      <c r="L62" s="2"/>
      <c r="M62" s="2"/>
      <c r="N62" s="2"/>
      <c r="O62" s="2"/>
      <c r="P62" s="2"/>
      <c r="Q62" s="2"/>
      <c r="R62" s="2"/>
    </row>
    <row r="63" spans="1:21" x14ac:dyDescent="0.2">
      <c r="A63" s="2"/>
      <c r="B63" s="2"/>
      <c r="C63" s="114"/>
      <c r="D63" s="2"/>
      <c r="E63" s="2"/>
      <c r="F63" s="2"/>
      <c r="G63" s="2"/>
      <c r="H63" s="2"/>
      <c r="I63" s="2"/>
      <c r="J63" s="2"/>
      <c r="K63" s="2"/>
      <c r="L63" s="2"/>
      <c r="M63" s="2"/>
      <c r="N63" s="2"/>
      <c r="O63" s="2"/>
      <c r="P63" s="2"/>
      <c r="Q63" s="2"/>
      <c r="R63" s="2"/>
    </row>
  </sheetData>
  <mergeCells count="3">
    <mergeCell ref="F50:Q50"/>
    <mergeCell ref="A58:D58"/>
    <mergeCell ref="F58:Q58"/>
  </mergeCells>
  <phoneticPr fontId="0"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C36" sqref="C36"/>
    </sheetView>
  </sheetViews>
  <sheetFormatPr defaultRowHeight="12.75" x14ac:dyDescent="0.2"/>
  <sheetData/>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72"/>
  <sheetViews>
    <sheetView topLeftCell="A7" zoomScale="85" zoomScaleNormal="85" workbookViewId="0">
      <selection activeCell="A23" sqref="A23"/>
    </sheetView>
  </sheetViews>
  <sheetFormatPr defaultRowHeight="12.75" x14ac:dyDescent="0.2"/>
  <cols>
    <col min="3" max="3" width="16.7109375" bestFit="1" customWidth="1"/>
    <col min="5" max="5" width="12" customWidth="1"/>
    <col min="10" max="10" width="10" bestFit="1" customWidth="1"/>
    <col min="21" max="21" width="12.7109375" customWidth="1"/>
    <col min="24" max="24" width="9.7109375" customWidth="1"/>
  </cols>
  <sheetData>
    <row r="1" spans="1:25" x14ac:dyDescent="0.2">
      <c r="J1" t="s">
        <v>67</v>
      </c>
      <c r="K1" t="s">
        <v>68</v>
      </c>
    </row>
    <row r="2" spans="1:25" ht="27" customHeight="1" x14ac:dyDescent="0.2">
      <c r="D2" s="126" t="s">
        <v>69</v>
      </c>
      <c r="E2" s="164" t="s">
        <v>70</v>
      </c>
      <c r="J2" t="s">
        <v>71</v>
      </c>
      <c r="K2">
        <v>9200</v>
      </c>
      <c r="L2" t="s">
        <v>72</v>
      </c>
      <c r="M2" t="s">
        <v>73</v>
      </c>
    </row>
    <row r="3" spans="1:25" ht="27" customHeight="1" x14ac:dyDescent="0.2">
      <c r="D3" s="126" t="s">
        <v>74</v>
      </c>
      <c r="E3" s="164" t="s">
        <v>75</v>
      </c>
      <c r="J3" t="s">
        <v>76</v>
      </c>
      <c r="K3">
        <v>11087</v>
      </c>
      <c r="L3" t="s">
        <v>72</v>
      </c>
      <c r="M3" t="s">
        <v>77</v>
      </c>
    </row>
    <row r="4" spans="1:25" ht="15.75" x14ac:dyDescent="0.2">
      <c r="E4" s="164" t="s">
        <v>78</v>
      </c>
    </row>
    <row r="6" spans="1:25" ht="13.5" thickBot="1" x14ac:dyDescent="0.25"/>
    <row r="7" spans="1:25" ht="21" thickBot="1" x14ac:dyDescent="0.35">
      <c r="A7" s="155"/>
      <c r="B7" s="104" t="s">
        <v>0</v>
      </c>
      <c r="C7" s="105"/>
      <c r="D7" s="105"/>
      <c r="E7" s="105"/>
      <c r="F7" s="105"/>
      <c r="G7" s="105"/>
      <c r="H7" s="105"/>
      <c r="I7" s="105"/>
      <c r="J7" s="105"/>
      <c r="K7" s="105"/>
      <c r="L7" s="105"/>
      <c r="M7" s="105"/>
      <c r="N7" s="105"/>
      <c r="O7" s="105"/>
      <c r="P7" s="105"/>
      <c r="Q7" s="105"/>
      <c r="R7" s="105"/>
      <c r="S7" s="105"/>
      <c r="T7" s="105"/>
      <c r="U7" s="106"/>
    </row>
    <row r="8" spans="1:25" ht="48" thickBot="1" x14ac:dyDescent="0.3">
      <c r="A8" s="160" t="s">
        <v>79</v>
      </c>
      <c r="B8" s="156" t="s">
        <v>3</v>
      </c>
      <c r="C8" s="107" t="s">
        <v>2</v>
      </c>
      <c r="D8" s="108" t="s">
        <v>48</v>
      </c>
      <c r="E8" s="109" t="s">
        <v>80</v>
      </c>
      <c r="F8" s="110" t="s">
        <v>4</v>
      </c>
      <c r="G8" s="110" t="s">
        <v>5</v>
      </c>
      <c r="H8" s="110" t="s">
        <v>6</v>
      </c>
      <c r="I8" s="110" t="s">
        <v>7</v>
      </c>
      <c r="J8" s="110" t="s">
        <v>8</v>
      </c>
      <c r="K8" s="110" t="s">
        <v>9</v>
      </c>
      <c r="L8" s="110" t="s">
        <v>10</v>
      </c>
      <c r="M8" s="110" t="s">
        <v>11</v>
      </c>
      <c r="N8" s="110" t="s">
        <v>12</v>
      </c>
      <c r="O8" s="110" t="s">
        <v>13</v>
      </c>
      <c r="P8" s="110" t="s">
        <v>14</v>
      </c>
      <c r="Q8" s="110" t="s">
        <v>15</v>
      </c>
      <c r="R8" s="111" t="s">
        <v>16</v>
      </c>
      <c r="S8" s="112" t="s">
        <v>50</v>
      </c>
      <c r="T8" s="109" t="s">
        <v>19</v>
      </c>
      <c r="U8" s="113" t="s">
        <v>41</v>
      </c>
      <c r="X8" s="165" t="s">
        <v>81</v>
      </c>
      <c r="Y8" s="166" t="s">
        <v>16</v>
      </c>
    </row>
    <row r="9" spans="1:25" x14ac:dyDescent="0.2">
      <c r="A9" s="2"/>
      <c r="B9" s="157">
        <v>2009</v>
      </c>
      <c r="C9" s="2" t="s">
        <v>21</v>
      </c>
      <c r="D9" s="11">
        <v>22</v>
      </c>
      <c r="E9" s="4">
        <v>21</v>
      </c>
      <c r="F9" s="2">
        <v>21</v>
      </c>
      <c r="G9" s="2">
        <v>0</v>
      </c>
      <c r="H9" s="33"/>
      <c r="I9" s="33"/>
      <c r="J9" s="33"/>
      <c r="K9" s="33"/>
      <c r="L9" s="147"/>
      <c r="M9" s="33"/>
      <c r="N9" s="33"/>
      <c r="O9" s="33"/>
      <c r="P9" s="33"/>
      <c r="Q9" s="33"/>
      <c r="R9" s="3">
        <f>SUM(F9:Q9)</f>
        <v>21</v>
      </c>
      <c r="S9" s="11">
        <f>AVERAGE(F9:Q9)</f>
        <v>10.5</v>
      </c>
      <c r="T9" s="10">
        <f>U9/S9</f>
        <v>0</v>
      </c>
      <c r="U9" s="78">
        <f>SUM(E9-R9)</f>
        <v>0</v>
      </c>
    </row>
    <row r="10" spans="1:25" x14ac:dyDescent="0.2">
      <c r="A10" s="2"/>
      <c r="B10" s="157">
        <v>2009</v>
      </c>
      <c r="C10" s="2" t="s">
        <v>23</v>
      </c>
      <c r="D10" s="11">
        <v>29</v>
      </c>
      <c r="E10" s="4">
        <v>118</v>
      </c>
      <c r="F10" s="2">
        <v>23</v>
      </c>
      <c r="G10" s="2">
        <v>17</v>
      </c>
      <c r="H10" s="2">
        <v>14</v>
      </c>
      <c r="I10" s="2">
        <v>34</v>
      </c>
      <c r="J10" s="2">
        <v>28</v>
      </c>
      <c r="K10" s="2">
        <v>2</v>
      </c>
      <c r="L10" s="33"/>
      <c r="M10" s="33"/>
      <c r="N10" s="33"/>
      <c r="O10" s="33"/>
      <c r="P10" s="33"/>
      <c r="Q10" s="33"/>
      <c r="R10" s="3">
        <f>SUM(F10:Q10)</f>
        <v>118</v>
      </c>
      <c r="S10" s="11">
        <f>AVERAGE(F10:Q10)</f>
        <v>19.666666666666668</v>
      </c>
      <c r="T10" s="10">
        <f>U10/S10</f>
        <v>0</v>
      </c>
      <c r="U10" s="78">
        <f>SUM(E10-R10)</f>
        <v>0</v>
      </c>
    </row>
    <row r="11" spans="1:25" x14ac:dyDescent="0.2">
      <c r="A11" s="2"/>
      <c r="B11" s="157">
        <v>2009</v>
      </c>
      <c r="C11" s="2" t="s">
        <v>26</v>
      </c>
      <c r="D11" s="11">
        <v>16</v>
      </c>
      <c r="E11" s="4">
        <v>13</v>
      </c>
      <c r="F11" s="2">
        <v>13</v>
      </c>
      <c r="G11" s="2">
        <v>0</v>
      </c>
      <c r="H11" s="33"/>
      <c r="I11" s="33"/>
      <c r="J11" s="33"/>
      <c r="K11" s="33"/>
      <c r="L11" s="33"/>
      <c r="M11" s="33"/>
      <c r="N11" s="33"/>
      <c r="O11" s="33"/>
      <c r="P11" s="33"/>
      <c r="Q11" s="33"/>
      <c r="R11" s="3">
        <f>SUM(F11:Q11)</f>
        <v>13</v>
      </c>
      <c r="S11" s="11">
        <f>AVERAGE(F11:Q11)</f>
        <v>6.5</v>
      </c>
      <c r="T11" s="10">
        <f>U11/S11</f>
        <v>0</v>
      </c>
      <c r="U11" s="78">
        <f>SUM(E11-R11)</f>
        <v>0</v>
      </c>
    </row>
    <row r="12" spans="1:25" x14ac:dyDescent="0.2">
      <c r="A12" s="162"/>
      <c r="B12" s="135"/>
      <c r="C12" s="46"/>
      <c r="D12" s="49"/>
      <c r="E12" s="46"/>
      <c r="F12" s="46"/>
      <c r="G12" s="46"/>
      <c r="H12" s="46"/>
      <c r="I12" s="46"/>
      <c r="J12" s="46"/>
      <c r="K12" s="46"/>
      <c r="L12" s="46"/>
      <c r="M12" s="46"/>
      <c r="N12" s="46"/>
      <c r="O12" s="46"/>
      <c r="P12" s="46"/>
      <c r="Q12" s="46"/>
      <c r="R12" s="46"/>
      <c r="S12" s="49"/>
      <c r="T12" s="115"/>
      <c r="U12" s="81"/>
    </row>
    <row r="13" spans="1:25" x14ac:dyDescent="0.2">
      <c r="A13" s="2">
        <v>57630</v>
      </c>
      <c r="B13" s="134">
        <v>2010</v>
      </c>
      <c r="C13" s="2" t="s">
        <v>25</v>
      </c>
      <c r="D13" s="102">
        <v>38</v>
      </c>
      <c r="E13" s="2">
        <v>255</v>
      </c>
      <c r="F13" s="114">
        <v>25</v>
      </c>
      <c r="G13" s="114">
        <v>29</v>
      </c>
      <c r="H13" s="114">
        <v>26</v>
      </c>
      <c r="I13" s="114">
        <v>38</v>
      </c>
      <c r="J13" s="114">
        <v>35</v>
      </c>
      <c r="K13" s="114">
        <v>35</v>
      </c>
      <c r="L13" s="114">
        <v>48</v>
      </c>
      <c r="M13" s="114">
        <v>19</v>
      </c>
      <c r="N13" s="153"/>
      <c r="O13" s="154"/>
      <c r="P13" s="153"/>
      <c r="Q13" s="153"/>
      <c r="R13" s="3">
        <f t="shared" ref="R13:R21" si="0">SUM(F13:Q13)</f>
        <v>255</v>
      </c>
      <c r="S13" s="11">
        <f t="shared" ref="S13:S21" si="1">AVERAGE(F13:Q13)</f>
        <v>31.875</v>
      </c>
      <c r="T13" s="10">
        <f t="shared" ref="T13:T21" si="2">U13/S13</f>
        <v>0</v>
      </c>
      <c r="U13" s="78">
        <f t="shared" ref="U13:U21" si="3">SUM(E13-R13)</f>
        <v>0</v>
      </c>
    </row>
    <row r="14" spans="1:25" x14ac:dyDescent="0.2">
      <c r="A14" s="2">
        <v>65560</v>
      </c>
      <c r="B14" s="134">
        <v>2010</v>
      </c>
      <c r="C14" s="114" t="s">
        <v>51</v>
      </c>
      <c r="D14" s="102">
        <v>30</v>
      </c>
      <c r="E14" s="2">
        <v>84</v>
      </c>
      <c r="F14" s="114">
        <v>11</v>
      </c>
      <c r="G14" s="114">
        <v>10</v>
      </c>
      <c r="H14" s="114">
        <v>9</v>
      </c>
      <c r="I14" s="114">
        <v>17</v>
      </c>
      <c r="J14" s="149">
        <v>21</v>
      </c>
      <c r="K14" s="150"/>
      <c r="L14" s="147"/>
      <c r="M14" s="147"/>
      <c r="N14" s="152"/>
      <c r="O14" s="152"/>
      <c r="P14" s="152"/>
      <c r="Q14" s="152"/>
      <c r="R14" s="3">
        <f>SUM(F14:Q14)</f>
        <v>68</v>
      </c>
      <c r="S14" s="11">
        <f>AVERAGE(F14:Q14)</f>
        <v>13.6</v>
      </c>
      <c r="T14" s="10">
        <f>U14/S14</f>
        <v>0</v>
      </c>
      <c r="U14" s="78">
        <v>0</v>
      </c>
      <c r="V14" s="126" t="s">
        <v>35</v>
      </c>
    </row>
    <row r="15" spans="1:25" x14ac:dyDescent="0.2">
      <c r="A15" s="2">
        <v>57632</v>
      </c>
      <c r="B15" s="134">
        <v>2010</v>
      </c>
      <c r="C15" s="2" t="s">
        <v>31</v>
      </c>
      <c r="D15" s="102">
        <v>31</v>
      </c>
      <c r="E15" s="2">
        <v>151</v>
      </c>
      <c r="F15" s="114">
        <v>19</v>
      </c>
      <c r="G15" s="114">
        <v>18</v>
      </c>
      <c r="H15" s="114">
        <v>16</v>
      </c>
      <c r="I15" s="114">
        <v>62</v>
      </c>
      <c r="J15" s="114">
        <v>36</v>
      </c>
      <c r="K15" s="150"/>
      <c r="L15" s="147"/>
      <c r="M15" s="147"/>
      <c r="N15" s="147"/>
      <c r="O15" s="147"/>
      <c r="P15" s="147"/>
      <c r="Q15" s="147"/>
      <c r="R15" s="3">
        <f t="shared" si="0"/>
        <v>151</v>
      </c>
      <c r="S15" s="11">
        <f>AVERAGE(F15:Q15)</f>
        <v>30.2</v>
      </c>
      <c r="T15" s="10">
        <f t="shared" si="2"/>
        <v>0</v>
      </c>
      <c r="U15" s="78">
        <f>SUM(E15-R15)</f>
        <v>0</v>
      </c>
    </row>
    <row r="16" spans="1:25" x14ac:dyDescent="0.2">
      <c r="A16" s="2">
        <v>22382</v>
      </c>
      <c r="B16" s="134">
        <v>2010</v>
      </c>
      <c r="C16" s="114" t="s">
        <v>23</v>
      </c>
      <c r="D16" s="102">
        <v>29</v>
      </c>
      <c r="E16" s="2">
        <v>283</v>
      </c>
      <c r="F16" s="130">
        <v>13</v>
      </c>
      <c r="G16" s="130">
        <v>6</v>
      </c>
      <c r="H16" s="130">
        <v>4</v>
      </c>
      <c r="I16" s="130">
        <v>0</v>
      </c>
      <c r="J16" s="130">
        <v>0</v>
      </c>
      <c r="K16" s="149">
        <v>30</v>
      </c>
      <c r="L16" s="149">
        <v>34</v>
      </c>
      <c r="M16" s="149">
        <v>28</v>
      </c>
      <c r="N16" s="149">
        <v>44</v>
      </c>
      <c r="O16" s="149">
        <v>42</v>
      </c>
      <c r="P16" s="149">
        <v>24</v>
      </c>
      <c r="Q16" s="149">
        <v>22</v>
      </c>
      <c r="R16" s="3">
        <f t="shared" si="0"/>
        <v>247</v>
      </c>
      <c r="S16" s="11">
        <f t="shared" si="1"/>
        <v>20.583333333333332</v>
      </c>
      <c r="T16" s="10">
        <f t="shared" si="2"/>
        <v>1.7489878542510122</v>
      </c>
      <c r="U16" s="78">
        <f t="shared" si="3"/>
        <v>36</v>
      </c>
      <c r="X16">
        <v>3</v>
      </c>
      <c r="Y16" s="167">
        <f>U16+X16</f>
        <v>39</v>
      </c>
    </row>
    <row r="17" spans="1:25" x14ac:dyDescent="0.2">
      <c r="A17" s="2">
        <v>22834</v>
      </c>
      <c r="B17" s="134">
        <v>2010</v>
      </c>
      <c r="C17" s="114" t="s">
        <v>26</v>
      </c>
      <c r="D17" s="102">
        <v>16</v>
      </c>
      <c r="E17" s="2">
        <v>308</v>
      </c>
      <c r="F17" s="131">
        <v>2</v>
      </c>
      <c r="G17" s="114">
        <v>12</v>
      </c>
      <c r="H17" s="114">
        <v>12</v>
      </c>
      <c r="I17" s="114">
        <v>6</v>
      </c>
      <c r="J17" s="114">
        <v>30</v>
      </c>
      <c r="K17" s="114">
        <v>14</v>
      </c>
      <c r="L17" s="114">
        <v>20</v>
      </c>
      <c r="M17" s="114">
        <v>3</v>
      </c>
      <c r="N17" s="114">
        <v>19</v>
      </c>
      <c r="O17" s="114">
        <v>33</v>
      </c>
      <c r="P17" s="114">
        <v>22</v>
      </c>
      <c r="Q17" s="114">
        <v>59</v>
      </c>
      <c r="R17" s="3">
        <f t="shared" si="0"/>
        <v>232</v>
      </c>
      <c r="S17" s="11">
        <f t="shared" si="1"/>
        <v>19.333333333333332</v>
      </c>
      <c r="T17" s="10">
        <f t="shared" si="2"/>
        <v>3.931034482758621</v>
      </c>
      <c r="U17" s="78">
        <f t="shared" si="3"/>
        <v>76</v>
      </c>
      <c r="X17">
        <v>4</v>
      </c>
      <c r="Y17" s="167">
        <f t="shared" ref="Y17:Y50" si="4">U17+X17</f>
        <v>80</v>
      </c>
    </row>
    <row r="18" spans="1:25" x14ac:dyDescent="0.2">
      <c r="A18" s="2">
        <v>28361</v>
      </c>
      <c r="B18" s="134">
        <v>2010</v>
      </c>
      <c r="C18" s="114" t="s">
        <v>24</v>
      </c>
      <c r="D18" s="102">
        <v>25</v>
      </c>
      <c r="E18" s="2">
        <v>238</v>
      </c>
      <c r="F18" s="114">
        <v>16</v>
      </c>
      <c r="G18" s="114">
        <v>15</v>
      </c>
      <c r="H18" s="114">
        <v>18</v>
      </c>
      <c r="I18" s="114">
        <v>22</v>
      </c>
      <c r="J18" s="114">
        <v>25</v>
      </c>
      <c r="K18" s="114">
        <v>18</v>
      </c>
      <c r="L18" s="114">
        <v>21</v>
      </c>
      <c r="M18" s="114">
        <v>19</v>
      </c>
      <c r="N18" s="114">
        <v>30</v>
      </c>
      <c r="O18" s="114">
        <v>35</v>
      </c>
      <c r="P18" s="114">
        <v>13</v>
      </c>
      <c r="Q18" s="132">
        <v>6</v>
      </c>
      <c r="R18" s="3">
        <f t="shared" si="0"/>
        <v>238</v>
      </c>
      <c r="S18" s="11">
        <f t="shared" si="1"/>
        <v>19.833333333333332</v>
      </c>
      <c r="T18" s="10">
        <f t="shared" si="2"/>
        <v>0</v>
      </c>
      <c r="U18" s="78">
        <f t="shared" si="3"/>
        <v>0</v>
      </c>
      <c r="Y18" s="167">
        <f t="shared" si="4"/>
        <v>0</v>
      </c>
    </row>
    <row r="19" spans="1:25" x14ac:dyDescent="0.2">
      <c r="A19" s="2">
        <v>27736</v>
      </c>
      <c r="B19" s="134">
        <v>2010</v>
      </c>
      <c r="C19" s="114" t="s">
        <v>27</v>
      </c>
      <c r="D19" s="102">
        <v>21</v>
      </c>
      <c r="E19" s="2">
        <v>301</v>
      </c>
      <c r="F19" s="114">
        <v>23</v>
      </c>
      <c r="G19" s="114">
        <v>22</v>
      </c>
      <c r="H19" s="114">
        <v>15</v>
      </c>
      <c r="I19" s="114">
        <v>15</v>
      </c>
      <c r="J19" s="114">
        <v>45</v>
      </c>
      <c r="K19" s="114">
        <v>25</v>
      </c>
      <c r="L19" s="114">
        <v>27</v>
      </c>
      <c r="M19" s="114">
        <v>23</v>
      </c>
      <c r="N19" s="114">
        <v>38</v>
      </c>
      <c r="O19" s="114">
        <v>39</v>
      </c>
      <c r="P19" s="114">
        <v>20</v>
      </c>
      <c r="Q19" s="114">
        <v>9</v>
      </c>
      <c r="R19" s="3">
        <f t="shared" si="0"/>
        <v>301</v>
      </c>
      <c r="S19" s="11">
        <f t="shared" si="1"/>
        <v>25.083333333333332</v>
      </c>
      <c r="T19" s="10">
        <f t="shared" si="2"/>
        <v>0</v>
      </c>
      <c r="U19" s="78">
        <f t="shared" si="3"/>
        <v>0</v>
      </c>
      <c r="Y19" s="167">
        <f t="shared" si="4"/>
        <v>0</v>
      </c>
    </row>
    <row r="20" spans="1:25" x14ac:dyDescent="0.2">
      <c r="A20">
        <v>18004</v>
      </c>
      <c r="B20" s="134">
        <v>2010</v>
      </c>
      <c r="C20" s="2" t="s">
        <v>29</v>
      </c>
      <c r="D20" s="102">
        <v>12</v>
      </c>
      <c r="E20" s="2">
        <v>168</v>
      </c>
      <c r="F20" s="114">
        <v>16</v>
      </c>
      <c r="G20" s="114">
        <v>8</v>
      </c>
      <c r="H20" s="114">
        <v>7</v>
      </c>
      <c r="I20" s="114">
        <v>12</v>
      </c>
      <c r="J20" s="114">
        <v>11</v>
      </c>
      <c r="K20" s="114">
        <v>6</v>
      </c>
      <c r="L20" s="114">
        <v>12</v>
      </c>
      <c r="M20" s="114">
        <v>16</v>
      </c>
      <c r="N20" s="132">
        <v>13</v>
      </c>
      <c r="O20" s="114">
        <v>19</v>
      </c>
      <c r="P20" s="114">
        <v>8</v>
      </c>
      <c r="Q20" s="114">
        <v>8</v>
      </c>
      <c r="R20" s="3">
        <f t="shared" si="0"/>
        <v>136</v>
      </c>
      <c r="S20" s="11">
        <f t="shared" si="1"/>
        <v>11.333333333333334</v>
      </c>
      <c r="T20" s="10">
        <f t="shared" si="2"/>
        <v>2.8235294117647056</v>
      </c>
      <c r="U20" s="78">
        <f t="shared" si="3"/>
        <v>32</v>
      </c>
      <c r="V20" s="126" t="s">
        <v>35</v>
      </c>
      <c r="X20">
        <v>3</v>
      </c>
      <c r="Y20" s="167">
        <f t="shared" si="4"/>
        <v>35</v>
      </c>
    </row>
    <row r="21" spans="1:25" x14ac:dyDescent="0.2">
      <c r="A21" s="2">
        <v>34641</v>
      </c>
      <c r="B21" s="134">
        <v>2010</v>
      </c>
      <c r="C21" s="114" t="s">
        <v>52</v>
      </c>
      <c r="D21" s="102">
        <v>22</v>
      </c>
      <c r="E21" s="2">
        <v>573</v>
      </c>
      <c r="F21" s="131">
        <v>8</v>
      </c>
      <c r="G21" s="130">
        <v>24</v>
      </c>
      <c r="H21" s="114">
        <v>27</v>
      </c>
      <c r="I21" s="114">
        <v>20</v>
      </c>
      <c r="J21" s="114">
        <v>21</v>
      </c>
      <c r="K21" s="114">
        <v>20</v>
      </c>
      <c r="L21" s="114">
        <v>27</v>
      </c>
      <c r="M21" s="114">
        <v>21</v>
      </c>
      <c r="N21" s="132">
        <v>34</v>
      </c>
      <c r="O21" s="114">
        <v>53</v>
      </c>
      <c r="P21" s="132">
        <v>16</v>
      </c>
      <c r="Q21" s="132">
        <v>24</v>
      </c>
      <c r="R21" s="3">
        <f t="shared" si="0"/>
        <v>295</v>
      </c>
      <c r="S21" s="11">
        <f t="shared" si="1"/>
        <v>24.583333333333332</v>
      </c>
      <c r="T21" s="10">
        <f t="shared" si="2"/>
        <v>11.308474576271188</v>
      </c>
      <c r="U21" s="78">
        <f t="shared" si="3"/>
        <v>278</v>
      </c>
      <c r="V21" s="126" t="s">
        <v>35</v>
      </c>
      <c r="X21">
        <v>4</v>
      </c>
      <c r="Y21" s="167">
        <f t="shared" si="4"/>
        <v>282</v>
      </c>
    </row>
    <row r="22" spans="1:25" x14ac:dyDescent="0.2">
      <c r="A22" s="2">
        <v>22921</v>
      </c>
      <c r="B22" s="134">
        <v>2010</v>
      </c>
      <c r="C22" s="114" t="s">
        <v>53</v>
      </c>
      <c r="D22" s="102">
        <v>37</v>
      </c>
      <c r="E22" s="2">
        <v>396</v>
      </c>
      <c r="F22" s="132">
        <v>43</v>
      </c>
      <c r="G22" s="114">
        <v>21</v>
      </c>
      <c r="H22" s="114">
        <v>9</v>
      </c>
      <c r="I22" s="114">
        <v>24</v>
      </c>
      <c r="J22" s="114">
        <v>46</v>
      </c>
      <c r="K22" s="114">
        <v>0</v>
      </c>
      <c r="L22" s="114">
        <v>7</v>
      </c>
      <c r="M22" s="114">
        <v>10</v>
      </c>
      <c r="N22" s="132">
        <v>26</v>
      </c>
      <c r="O22" s="114">
        <v>47</v>
      </c>
      <c r="P22" s="132">
        <v>35</v>
      </c>
      <c r="Q22" s="132">
        <v>46</v>
      </c>
      <c r="R22" s="3">
        <f>SUM(F22:Q22)</f>
        <v>314</v>
      </c>
      <c r="S22" s="11">
        <f>AVERAGE(F22:Q22)</f>
        <v>26.166666666666668</v>
      </c>
      <c r="T22" s="10">
        <f>U22/S22</f>
        <v>3.1337579617834392</v>
      </c>
      <c r="U22" s="78">
        <f>SUM(E22-R22)</f>
        <v>82</v>
      </c>
      <c r="X22">
        <v>2</v>
      </c>
      <c r="Y22" s="167">
        <f t="shared" si="4"/>
        <v>84</v>
      </c>
    </row>
    <row r="23" spans="1:25" x14ac:dyDescent="0.2">
      <c r="A23" s="2">
        <v>38269</v>
      </c>
      <c r="B23" s="134">
        <v>2010</v>
      </c>
      <c r="C23" s="2" t="s">
        <v>45</v>
      </c>
      <c r="D23" s="102">
        <v>13</v>
      </c>
      <c r="E23" s="2">
        <v>210</v>
      </c>
      <c r="F23" s="132">
        <v>20</v>
      </c>
      <c r="G23" s="114">
        <v>6</v>
      </c>
      <c r="H23" s="114">
        <v>6</v>
      </c>
      <c r="I23" s="114">
        <v>14</v>
      </c>
      <c r="J23" s="114">
        <v>13</v>
      </c>
      <c r="K23" s="114">
        <v>13</v>
      </c>
      <c r="L23" s="114">
        <v>15</v>
      </c>
      <c r="M23" s="114">
        <v>3</v>
      </c>
      <c r="N23" s="114">
        <v>17</v>
      </c>
      <c r="O23" s="132">
        <v>16</v>
      </c>
      <c r="P23" s="132">
        <v>14</v>
      </c>
      <c r="Q23" s="132">
        <v>4</v>
      </c>
      <c r="R23" s="3">
        <f>SUM(F23:Q23)</f>
        <v>141</v>
      </c>
      <c r="S23" s="11">
        <f>AVERAGE(F23:Q23)</f>
        <v>11.75</v>
      </c>
      <c r="T23" s="10">
        <f>U23/S23</f>
        <v>5.8723404255319149</v>
      </c>
      <c r="U23" s="78">
        <f>SUM(E23-R23)</f>
        <v>69</v>
      </c>
      <c r="X23">
        <v>3</v>
      </c>
      <c r="Y23" s="167">
        <f t="shared" si="4"/>
        <v>72</v>
      </c>
    </row>
    <row r="24" spans="1:25" x14ac:dyDescent="0.2">
      <c r="A24" s="162"/>
      <c r="B24" s="135"/>
      <c r="C24" s="46"/>
      <c r="D24" s="46"/>
      <c r="E24" s="46"/>
      <c r="F24" s="136">
        <v>1</v>
      </c>
      <c r="G24" s="137"/>
      <c r="H24" s="137"/>
      <c r="I24" s="137"/>
      <c r="J24" s="137"/>
      <c r="K24" s="137"/>
      <c r="L24" s="137"/>
      <c r="M24" s="137"/>
      <c r="N24" s="137"/>
      <c r="O24" s="136"/>
      <c r="P24" s="136"/>
      <c r="Q24" s="136"/>
      <c r="R24" s="46"/>
      <c r="S24" s="49"/>
      <c r="T24" s="133"/>
      <c r="U24" s="138"/>
      <c r="Y24" s="167">
        <f t="shared" si="4"/>
        <v>0</v>
      </c>
    </row>
    <row r="25" spans="1:25" x14ac:dyDescent="0.2">
      <c r="A25" s="2">
        <v>11198</v>
      </c>
      <c r="B25" s="134">
        <v>2011</v>
      </c>
      <c r="C25" s="114" t="s">
        <v>46</v>
      </c>
      <c r="D25" s="102">
        <v>25</v>
      </c>
      <c r="E25" s="2">
        <v>281</v>
      </c>
      <c r="F25" s="132">
        <v>46</v>
      </c>
      <c r="G25" s="114">
        <v>25</v>
      </c>
      <c r="H25" s="114">
        <v>210</v>
      </c>
      <c r="I25" s="147"/>
      <c r="J25" s="147"/>
      <c r="K25" s="147"/>
      <c r="L25" s="147"/>
      <c r="M25" s="147"/>
      <c r="N25" s="147"/>
      <c r="O25" s="148"/>
      <c r="P25" s="148"/>
      <c r="Q25" s="148"/>
      <c r="R25" s="3">
        <f>SUM(F25:Q25)</f>
        <v>281</v>
      </c>
      <c r="S25" s="11">
        <f>AVERAGE(F25:Q25)</f>
        <v>93.666666666666671</v>
      </c>
      <c r="T25" s="10">
        <f>U25/S25</f>
        <v>0</v>
      </c>
      <c r="U25" s="78">
        <f>SUM(E25-R25)</f>
        <v>0</v>
      </c>
      <c r="Y25" s="167">
        <f t="shared" si="4"/>
        <v>0</v>
      </c>
    </row>
    <row r="26" spans="1:25" x14ac:dyDescent="0.2">
      <c r="A26">
        <v>57630</v>
      </c>
      <c r="B26" s="134">
        <v>2011</v>
      </c>
      <c r="C26" s="114" t="s">
        <v>25</v>
      </c>
      <c r="D26" s="102">
        <v>38</v>
      </c>
      <c r="E26" s="2">
        <v>535</v>
      </c>
      <c r="F26" s="130">
        <v>1</v>
      </c>
      <c r="G26" s="130">
        <v>0</v>
      </c>
      <c r="H26" s="130">
        <v>0</v>
      </c>
      <c r="I26" s="130">
        <v>4</v>
      </c>
      <c r="J26" s="130">
        <v>0</v>
      </c>
      <c r="K26" s="130">
        <v>0</v>
      </c>
      <c r="L26" s="130">
        <v>0</v>
      </c>
      <c r="M26" s="114">
        <v>0</v>
      </c>
      <c r="N26" s="114">
        <v>22</v>
      </c>
      <c r="O26" s="114">
        <v>24</v>
      </c>
      <c r="P26" s="114">
        <v>0</v>
      </c>
      <c r="Q26" s="114">
        <v>60</v>
      </c>
      <c r="R26" s="3">
        <f>SUM(F26:Q26)</f>
        <v>111</v>
      </c>
      <c r="S26" s="11">
        <f>AVERAGE(F26:Q26)</f>
        <v>9.25</v>
      </c>
      <c r="T26" s="10">
        <f>U26/S26</f>
        <v>45.837837837837839</v>
      </c>
      <c r="U26" s="78">
        <f>SUM(E26-R26)</f>
        <v>424</v>
      </c>
      <c r="V26">
        <v>65</v>
      </c>
      <c r="W26" t="s">
        <v>82</v>
      </c>
      <c r="X26">
        <v>6</v>
      </c>
      <c r="Y26" s="167">
        <f t="shared" si="4"/>
        <v>430</v>
      </c>
    </row>
    <row r="27" spans="1:25" x14ac:dyDescent="0.2">
      <c r="A27" s="2">
        <v>57632</v>
      </c>
      <c r="B27" s="134">
        <v>2011</v>
      </c>
      <c r="C27" s="2" t="s">
        <v>31</v>
      </c>
      <c r="D27" s="102">
        <v>31</v>
      </c>
      <c r="E27" s="2">
        <v>487</v>
      </c>
      <c r="F27" s="131">
        <v>1</v>
      </c>
      <c r="G27" s="130">
        <v>5</v>
      </c>
      <c r="H27" s="130">
        <v>3</v>
      </c>
      <c r="I27" s="130">
        <v>12</v>
      </c>
      <c r="J27" s="149">
        <v>18</v>
      </c>
      <c r="K27" s="149">
        <v>29</v>
      </c>
      <c r="L27" s="149">
        <v>41</v>
      </c>
      <c r="M27" s="149">
        <v>36</v>
      </c>
      <c r="N27" s="149">
        <v>143</v>
      </c>
      <c r="O27" s="151">
        <v>107</v>
      </c>
      <c r="P27" s="151">
        <v>0</v>
      </c>
      <c r="Q27" s="151">
        <v>0</v>
      </c>
      <c r="R27" s="3">
        <f t="shared" ref="R27:R48" si="5">SUM(F27:Q27)</f>
        <v>395</v>
      </c>
      <c r="S27" s="11">
        <f t="shared" ref="S27:S48" si="6">AVERAGE(F27:Q27)</f>
        <v>32.916666666666664</v>
      </c>
      <c r="T27" s="10">
        <f t="shared" ref="T27:T48" si="7">U27/S27</f>
        <v>2.7949367088607597</v>
      </c>
      <c r="U27" s="78">
        <f t="shared" ref="U27:U48" si="8">SUM(E27-R27)</f>
        <v>92</v>
      </c>
      <c r="Y27" s="167">
        <f t="shared" si="4"/>
        <v>92</v>
      </c>
    </row>
    <row r="28" spans="1:25" x14ac:dyDescent="0.2">
      <c r="A28">
        <v>57631</v>
      </c>
      <c r="B28" s="134">
        <v>2011</v>
      </c>
      <c r="C28" s="114" t="s">
        <v>33</v>
      </c>
      <c r="D28" s="102">
        <v>29</v>
      </c>
      <c r="E28" s="2">
        <v>147</v>
      </c>
      <c r="F28" s="131">
        <v>19</v>
      </c>
      <c r="G28" s="130">
        <v>0</v>
      </c>
      <c r="H28" s="130">
        <v>128</v>
      </c>
      <c r="I28" s="147"/>
      <c r="J28" s="147"/>
      <c r="K28" s="147"/>
      <c r="L28" s="147"/>
      <c r="M28" s="147"/>
      <c r="N28" s="147"/>
      <c r="O28" s="148"/>
      <c r="P28" s="148"/>
      <c r="Q28" s="148"/>
      <c r="R28" s="3">
        <f t="shared" si="5"/>
        <v>147</v>
      </c>
      <c r="S28" s="11">
        <f t="shared" si="6"/>
        <v>49</v>
      </c>
      <c r="T28" s="10">
        <f t="shared" si="7"/>
        <v>0</v>
      </c>
      <c r="U28" s="78">
        <f>SUM(E28-R28)</f>
        <v>0</v>
      </c>
      <c r="V28">
        <v>128</v>
      </c>
      <c r="W28" t="s">
        <v>83</v>
      </c>
      <c r="Y28" s="167">
        <f t="shared" si="4"/>
        <v>0</v>
      </c>
    </row>
    <row r="29" spans="1:25" x14ac:dyDescent="0.2">
      <c r="A29">
        <v>22384</v>
      </c>
      <c r="B29" s="134">
        <v>2011</v>
      </c>
      <c r="C29" s="114" t="s">
        <v>26</v>
      </c>
      <c r="D29" s="102">
        <v>16</v>
      </c>
      <c r="E29" s="2">
        <v>243</v>
      </c>
      <c r="F29" s="131">
        <v>2</v>
      </c>
      <c r="G29" s="130">
        <v>0</v>
      </c>
      <c r="H29" s="130">
        <v>0</v>
      </c>
      <c r="I29" s="130">
        <v>0</v>
      </c>
      <c r="J29" s="130">
        <v>0</v>
      </c>
      <c r="K29" s="130">
        <v>0</v>
      </c>
      <c r="L29" s="130">
        <v>0</v>
      </c>
      <c r="M29" s="130">
        <v>0</v>
      </c>
      <c r="N29" s="130">
        <v>0</v>
      </c>
      <c r="O29" s="131">
        <v>0</v>
      </c>
      <c r="P29" s="131"/>
      <c r="Q29" s="131"/>
      <c r="R29" s="3">
        <f t="shared" si="5"/>
        <v>2</v>
      </c>
      <c r="S29" s="11">
        <f t="shared" si="6"/>
        <v>0.2</v>
      </c>
      <c r="T29" s="10">
        <f t="shared" si="7"/>
        <v>1205</v>
      </c>
      <c r="U29" s="78">
        <f t="shared" si="8"/>
        <v>241</v>
      </c>
      <c r="Y29" s="167">
        <f t="shared" si="4"/>
        <v>241</v>
      </c>
    </row>
    <row r="30" spans="1:25" x14ac:dyDescent="0.2">
      <c r="A30">
        <v>22382</v>
      </c>
      <c r="B30" s="134">
        <v>2011</v>
      </c>
      <c r="C30" s="114" t="s">
        <v>23</v>
      </c>
      <c r="D30" s="102">
        <v>29</v>
      </c>
      <c r="E30" s="2">
        <v>179</v>
      </c>
      <c r="F30" s="131">
        <v>1</v>
      </c>
      <c r="G30" s="130">
        <v>0</v>
      </c>
      <c r="H30" s="130">
        <v>0</v>
      </c>
      <c r="I30" s="130">
        <v>0</v>
      </c>
      <c r="J30" s="130">
        <v>0</v>
      </c>
      <c r="K30" s="130">
        <v>0</v>
      </c>
      <c r="L30" s="130">
        <v>0</v>
      </c>
      <c r="M30" s="130">
        <v>0</v>
      </c>
      <c r="N30" s="130">
        <v>0</v>
      </c>
      <c r="O30" s="131">
        <v>0</v>
      </c>
      <c r="P30" s="131"/>
      <c r="Q30" s="131"/>
      <c r="R30" s="3">
        <f t="shared" si="5"/>
        <v>1</v>
      </c>
      <c r="S30" s="11">
        <f t="shared" si="6"/>
        <v>0.1</v>
      </c>
      <c r="T30" s="10">
        <f t="shared" si="7"/>
        <v>1780</v>
      </c>
      <c r="U30" s="78">
        <f t="shared" si="8"/>
        <v>178</v>
      </c>
      <c r="Y30" s="167">
        <f t="shared" si="4"/>
        <v>178</v>
      </c>
    </row>
    <row r="31" spans="1:25" x14ac:dyDescent="0.2">
      <c r="A31" s="2">
        <v>28361</v>
      </c>
      <c r="B31" s="134">
        <v>2011</v>
      </c>
      <c r="C31" s="2" t="s">
        <v>24</v>
      </c>
      <c r="D31" s="102">
        <v>25</v>
      </c>
      <c r="E31" s="2">
        <v>202</v>
      </c>
      <c r="F31" s="131">
        <v>5</v>
      </c>
      <c r="G31" s="130">
        <v>0</v>
      </c>
      <c r="H31" s="130">
        <v>3</v>
      </c>
      <c r="I31" s="130">
        <v>1</v>
      </c>
      <c r="J31" s="130">
        <v>3</v>
      </c>
      <c r="K31" s="130">
        <v>0</v>
      </c>
      <c r="L31" s="130">
        <v>0</v>
      </c>
      <c r="M31" s="130">
        <v>0</v>
      </c>
      <c r="N31" s="130">
        <v>0</v>
      </c>
      <c r="O31" s="131">
        <v>0</v>
      </c>
      <c r="P31" s="131"/>
      <c r="Q31" s="151">
        <v>16</v>
      </c>
      <c r="R31" s="3">
        <f t="shared" si="5"/>
        <v>28</v>
      </c>
      <c r="S31" s="11">
        <f t="shared" si="6"/>
        <v>2.5454545454545454</v>
      </c>
      <c r="T31" s="10">
        <f t="shared" si="7"/>
        <v>68.357142857142861</v>
      </c>
      <c r="U31" s="78">
        <f t="shared" si="8"/>
        <v>174</v>
      </c>
      <c r="X31">
        <v>1</v>
      </c>
      <c r="Y31" s="167">
        <f t="shared" si="4"/>
        <v>175</v>
      </c>
    </row>
    <row r="32" spans="1:25" x14ac:dyDescent="0.2">
      <c r="A32" s="2">
        <v>27736</v>
      </c>
      <c r="B32" s="134">
        <v>2011</v>
      </c>
      <c r="C32" s="2" t="s">
        <v>56</v>
      </c>
      <c r="D32" s="102">
        <v>21</v>
      </c>
      <c r="E32" s="2">
        <v>171</v>
      </c>
      <c r="F32" s="131">
        <v>2</v>
      </c>
      <c r="G32" s="130">
        <v>6</v>
      </c>
      <c r="H32" s="130">
        <v>0</v>
      </c>
      <c r="I32" s="130">
        <v>0</v>
      </c>
      <c r="J32" s="130">
        <v>0</v>
      </c>
      <c r="K32" s="130">
        <v>0</v>
      </c>
      <c r="L32" s="130">
        <v>0</v>
      </c>
      <c r="M32" s="130">
        <v>0</v>
      </c>
      <c r="N32" s="130">
        <v>0</v>
      </c>
      <c r="O32" s="131">
        <v>0</v>
      </c>
      <c r="P32" s="131"/>
      <c r="Q32" s="151">
        <v>10</v>
      </c>
      <c r="R32" s="3">
        <f t="shared" si="5"/>
        <v>18</v>
      </c>
      <c r="S32" s="11">
        <f t="shared" si="6"/>
        <v>1.6363636363636365</v>
      </c>
      <c r="T32" s="10">
        <f t="shared" si="7"/>
        <v>93.5</v>
      </c>
      <c r="U32" s="78">
        <f t="shared" si="8"/>
        <v>153</v>
      </c>
      <c r="X32">
        <v>4</v>
      </c>
      <c r="Y32" s="167">
        <f t="shared" si="4"/>
        <v>157</v>
      </c>
    </row>
    <row r="33" spans="1:25" x14ac:dyDescent="0.2">
      <c r="A33">
        <v>22921</v>
      </c>
      <c r="B33" s="134">
        <v>2011</v>
      </c>
      <c r="C33" s="2" t="s">
        <v>22</v>
      </c>
      <c r="D33" s="102">
        <v>37</v>
      </c>
      <c r="E33" s="2">
        <v>344</v>
      </c>
      <c r="F33" s="131">
        <v>1</v>
      </c>
      <c r="G33" s="130">
        <v>0</v>
      </c>
      <c r="H33" s="130">
        <v>11</v>
      </c>
      <c r="I33" s="130">
        <v>0</v>
      </c>
      <c r="J33" s="130">
        <v>0</v>
      </c>
      <c r="K33" s="130">
        <v>0</v>
      </c>
      <c r="L33" s="130">
        <v>0</v>
      </c>
      <c r="M33" s="130">
        <v>4</v>
      </c>
      <c r="N33" s="130">
        <v>0</v>
      </c>
      <c r="O33" s="131">
        <v>0</v>
      </c>
      <c r="P33" s="131"/>
      <c r="Q33" s="131"/>
      <c r="R33" s="3">
        <f t="shared" si="5"/>
        <v>16</v>
      </c>
      <c r="S33" s="11">
        <f t="shared" si="6"/>
        <v>1.6</v>
      </c>
      <c r="T33" s="10">
        <f t="shared" si="7"/>
        <v>205</v>
      </c>
      <c r="U33" s="78">
        <f t="shared" si="8"/>
        <v>328</v>
      </c>
      <c r="Y33" s="167">
        <f t="shared" si="4"/>
        <v>328</v>
      </c>
    </row>
    <row r="34" spans="1:25" ht="15.75" x14ac:dyDescent="0.25">
      <c r="A34" s="161">
        <v>26415</v>
      </c>
      <c r="B34" s="134">
        <v>2011</v>
      </c>
      <c r="C34" s="2" t="s">
        <v>57</v>
      </c>
      <c r="D34" s="102">
        <v>13</v>
      </c>
      <c r="E34" s="2">
        <v>359</v>
      </c>
      <c r="F34" s="131">
        <v>1</v>
      </c>
      <c r="G34" s="130">
        <v>4</v>
      </c>
      <c r="H34" s="130">
        <v>0</v>
      </c>
      <c r="I34" s="130">
        <v>0</v>
      </c>
      <c r="J34" s="130">
        <v>6</v>
      </c>
      <c r="K34" s="149">
        <v>14</v>
      </c>
      <c r="L34" s="149">
        <v>11</v>
      </c>
      <c r="M34" s="149">
        <v>13</v>
      </c>
      <c r="N34" s="149">
        <v>15</v>
      </c>
      <c r="O34" s="151">
        <v>16</v>
      </c>
      <c r="P34" s="151">
        <v>9</v>
      </c>
      <c r="Q34" s="151">
        <v>7</v>
      </c>
      <c r="R34" s="3">
        <f t="shared" si="5"/>
        <v>96</v>
      </c>
      <c r="S34" s="11">
        <f t="shared" si="6"/>
        <v>8</v>
      </c>
      <c r="T34" s="10">
        <f t="shared" si="7"/>
        <v>32.875</v>
      </c>
      <c r="U34" s="78">
        <f t="shared" si="8"/>
        <v>263</v>
      </c>
      <c r="X34">
        <v>3</v>
      </c>
      <c r="Y34" s="167">
        <f t="shared" si="4"/>
        <v>266</v>
      </c>
    </row>
    <row r="35" spans="1:25" x14ac:dyDescent="0.2">
      <c r="A35" s="162"/>
      <c r="B35" s="135"/>
      <c r="C35" s="46"/>
      <c r="D35" s="49"/>
      <c r="E35" s="46"/>
      <c r="F35" s="46"/>
      <c r="G35" s="46"/>
      <c r="H35" s="46"/>
      <c r="I35" s="46"/>
      <c r="J35" s="46"/>
      <c r="K35" s="46"/>
      <c r="L35" s="46"/>
      <c r="M35" s="46"/>
      <c r="N35" s="46"/>
      <c r="O35" s="46"/>
      <c r="P35" s="46"/>
      <c r="Q35" s="46"/>
      <c r="R35" s="46"/>
      <c r="S35" s="49"/>
      <c r="T35" s="133"/>
      <c r="U35" s="81"/>
      <c r="Y35" s="167">
        <f t="shared" si="4"/>
        <v>0</v>
      </c>
    </row>
    <row r="36" spans="1:25" x14ac:dyDescent="0.2">
      <c r="A36">
        <v>57631</v>
      </c>
      <c r="B36" s="134">
        <v>2012</v>
      </c>
      <c r="C36" s="2" t="s">
        <v>33</v>
      </c>
      <c r="D36" s="102"/>
      <c r="E36" s="2">
        <v>547</v>
      </c>
      <c r="F36" s="131"/>
      <c r="G36" s="130">
        <v>1</v>
      </c>
      <c r="H36" s="130">
        <v>89</v>
      </c>
      <c r="I36" s="130">
        <v>54</v>
      </c>
      <c r="J36" s="149">
        <v>64</v>
      </c>
      <c r="K36" s="149">
        <v>46</v>
      </c>
      <c r="L36" s="149">
        <v>72</v>
      </c>
      <c r="M36" s="149">
        <v>53</v>
      </c>
      <c r="N36" s="149">
        <v>66</v>
      </c>
      <c r="O36" s="151">
        <v>68</v>
      </c>
      <c r="P36" s="151">
        <v>34</v>
      </c>
      <c r="Q36" s="163"/>
      <c r="R36" s="3">
        <f t="shared" si="5"/>
        <v>547</v>
      </c>
      <c r="S36" s="11">
        <f t="shared" si="6"/>
        <v>54.7</v>
      </c>
      <c r="T36" s="10">
        <f t="shared" si="7"/>
        <v>0</v>
      </c>
      <c r="U36" s="78">
        <f t="shared" si="8"/>
        <v>0</v>
      </c>
      <c r="Y36" s="167">
        <f t="shared" si="4"/>
        <v>0</v>
      </c>
    </row>
    <row r="37" spans="1:25" x14ac:dyDescent="0.2">
      <c r="A37" s="2">
        <v>11198</v>
      </c>
      <c r="B37" s="134">
        <v>2012</v>
      </c>
      <c r="C37" s="2" t="s">
        <v>58</v>
      </c>
      <c r="D37" s="102"/>
      <c r="E37" s="2">
        <v>332</v>
      </c>
      <c r="F37" s="131"/>
      <c r="G37" s="130"/>
      <c r="H37" s="130"/>
      <c r="I37" s="130">
        <v>37</v>
      </c>
      <c r="J37" s="149">
        <v>29</v>
      </c>
      <c r="K37" s="149">
        <v>27</v>
      </c>
      <c r="L37" s="149">
        <v>32</v>
      </c>
      <c r="M37" s="149">
        <v>30</v>
      </c>
      <c r="N37" s="149">
        <v>33</v>
      </c>
      <c r="O37" s="151">
        <v>40</v>
      </c>
      <c r="P37" s="151">
        <v>21</v>
      </c>
      <c r="Q37" s="151">
        <v>13</v>
      </c>
      <c r="R37" s="3">
        <f t="shared" si="5"/>
        <v>262</v>
      </c>
      <c r="S37" s="11">
        <f t="shared" si="6"/>
        <v>29.111111111111111</v>
      </c>
      <c r="T37" s="10">
        <f t="shared" si="7"/>
        <v>2.4045801526717558</v>
      </c>
      <c r="U37" s="78">
        <f t="shared" si="8"/>
        <v>70</v>
      </c>
      <c r="X37">
        <v>4</v>
      </c>
      <c r="Y37" s="167">
        <f t="shared" si="4"/>
        <v>74</v>
      </c>
    </row>
    <row r="38" spans="1:25" x14ac:dyDescent="0.2">
      <c r="A38" s="2">
        <v>57632</v>
      </c>
      <c r="B38" s="134">
        <v>2012</v>
      </c>
      <c r="C38" s="114" t="s">
        <v>31</v>
      </c>
      <c r="D38" s="102"/>
      <c r="E38" s="2">
        <v>278</v>
      </c>
      <c r="F38" s="131"/>
      <c r="G38" s="130"/>
      <c r="H38" s="130"/>
      <c r="I38" s="130"/>
      <c r="J38" s="130"/>
      <c r="K38" s="130"/>
      <c r="L38" s="130"/>
      <c r="M38" s="130">
        <v>3</v>
      </c>
      <c r="N38" s="130">
        <v>0</v>
      </c>
      <c r="O38" s="131">
        <v>0</v>
      </c>
      <c r="P38" s="131"/>
      <c r="Q38" s="131"/>
      <c r="R38" s="3">
        <f t="shared" si="5"/>
        <v>3</v>
      </c>
      <c r="S38" s="11">
        <f t="shared" si="6"/>
        <v>1</v>
      </c>
      <c r="T38" s="10">
        <f t="shared" si="7"/>
        <v>275</v>
      </c>
      <c r="U38" s="78">
        <f t="shared" si="8"/>
        <v>275</v>
      </c>
      <c r="X38">
        <v>4</v>
      </c>
      <c r="Y38" s="167">
        <f t="shared" si="4"/>
        <v>279</v>
      </c>
    </row>
    <row r="39" spans="1:25" x14ac:dyDescent="0.2">
      <c r="A39">
        <v>57630</v>
      </c>
      <c r="B39" s="134">
        <v>2012</v>
      </c>
      <c r="C39" s="114" t="s">
        <v>25</v>
      </c>
      <c r="D39" s="102"/>
      <c r="E39" s="2">
        <v>334</v>
      </c>
      <c r="F39" s="131"/>
      <c r="G39" s="130"/>
      <c r="H39" s="130"/>
      <c r="I39" s="130"/>
      <c r="J39" s="130"/>
      <c r="K39" s="130"/>
      <c r="L39" s="130"/>
      <c r="M39" s="130">
        <v>1</v>
      </c>
      <c r="N39" s="130">
        <v>0</v>
      </c>
      <c r="O39" s="131">
        <v>0</v>
      </c>
      <c r="P39" s="131"/>
      <c r="Q39" s="131"/>
      <c r="R39" s="3">
        <f t="shared" si="5"/>
        <v>1</v>
      </c>
      <c r="S39" s="11">
        <f t="shared" si="6"/>
        <v>0.33333333333333331</v>
      </c>
      <c r="T39" s="10">
        <f t="shared" si="7"/>
        <v>999</v>
      </c>
      <c r="U39" s="78">
        <f t="shared" si="8"/>
        <v>333</v>
      </c>
      <c r="V39">
        <v>24</v>
      </c>
      <c r="W39" t="s">
        <v>82</v>
      </c>
      <c r="Y39" s="167">
        <f t="shared" si="4"/>
        <v>333</v>
      </c>
    </row>
    <row r="40" spans="1:25" x14ac:dyDescent="0.2">
      <c r="A40">
        <v>22384</v>
      </c>
      <c r="B40" s="134">
        <v>2012</v>
      </c>
      <c r="C40" s="114" t="s">
        <v>26</v>
      </c>
      <c r="D40" s="102"/>
      <c r="E40" s="2">
        <v>395</v>
      </c>
      <c r="F40" s="131"/>
      <c r="G40" s="130"/>
      <c r="H40" s="130"/>
      <c r="I40" s="130"/>
      <c r="J40" s="130"/>
      <c r="K40" s="130"/>
      <c r="L40" s="130"/>
      <c r="M40" s="130">
        <v>0</v>
      </c>
      <c r="N40" s="130">
        <v>0</v>
      </c>
      <c r="O40" s="131">
        <v>0</v>
      </c>
      <c r="P40" s="131"/>
      <c r="Q40" s="131"/>
      <c r="R40" s="3">
        <f t="shared" si="5"/>
        <v>0</v>
      </c>
      <c r="S40" s="11">
        <f t="shared" si="6"/>
        <v>0</v>
      </c>
      <c r="T40" s="10" t="e">
        <f t="shared" si="7"/>
        <v>#DIV/0!</v>
      </c>
      <c r="U40" s="78">
        <f t="shared" si="8"/>
        <v>395</v>
      </c>
      <c r="X40">
        <v>1</v>
      </c>
      <c r="Y40" s="167">
        <f t="shared" si="4"/>
        <v>396</v>
      </c>
    </row>
    <row r="41" spans="1:25" x14ac:dyDescent="0.2">
      <c r="A41">
        <v>22382</v>
      </c>
      <c r="B41" s="134">
        <v>2012</v>
      </c>
      <c r="C41" s="114" t="s">
        <v>23</v>
      </c>
      <c r="D41" s="102"/>
      <c r="E41" s="2">
        <v>449</v>
      </c>
      <c r="F41" s="131"/>
      <c r="G41" s="130"/>
      <c r="H41" s="130"/>
      <c r="I41" s="130"/>
      <c r="J41" s="130"/>
      <c r="K41" s="130"/>
      <c r="L41" s="130"/>
      <c r="M41" s="130">
        <v>0</v>
      </c>
      <c r="N41" s="130">
        <v>0</v>
      </c>
      <c r="O41" s="131">
        <v>0</v>
      </c>
      <c r="P41" s="131"/>
      <c r="Q41" s="131"/>
      <c r="R41" s="3">
        <f t="shared" si="5"/>
        <v>0</v>
      </c>
      <c r="S41" s="11">
        <f t="shared" si="6"/>
        <v>0</v>
      </c>
      <c r="T41" s="10" t="e">
        <f t="shared" si="7"/>
        <v>#DIV/0!</v>
      </c>
      <c r="U41" s="78">
        <f t="shared" si="8"/>
        <v>449</v>
      </c>
      <c r="Y41" s="167">
        <f t="shared" si="4"/>
        <v>449</v>
      </c>
    </row>
    <row r="42" spans="1:25" x14ac:dyDescent="0.2">
      <c r="A42">
        <v>27736</v>
      </c>
      <c r="B42" s="134">
        <v>2012</v>
      </c>
      <c r="C42" s="114" t="s">
        <v>56</v>
      </c>
      <c r="D42" s="102"/>
      <c r="E42" s="2">
        <v>392</v>
      </c>
      <c r="F42" s="131"/>
      <c r="G42" s="130"/>
      <c r="H42" s="130"/>
      <c r="I42" s="130"/>
      <c r="J42" s="130"/>
      <c r="K42" s="130"/>
      <c r="L42" s="130"/>
      <c r="M42" s="130">
        <v>0</v>
      </c>
      <c r="N42" s="130">
        <v>0</v>
      </c>
      <c r="O42" s="131">
        <v>0</v>
      </c>
      <c r="P42" s="131"/>
      <c r="Q42" s="131"/>
      <c r="R42" s="3">
        <f>SUM(F42:Q42)</f>
        <v>0</v>
      </c>
      <c r="S42" s="11">
        <f t="shared" si="6"/>
        <v>0</v>
      </c>
      <c r="T42" s="10" t="e">
        <f t="shared" si="7"/>
        <v>#DIV/0!</v>
      </c>
      <c r="U42" s="78">
        <f t="shared" si="8"/>
        <v>392</v>
      </c>
      <c r="X42">
        <v>1</v>
      </c>
      <c r="Y42" s="167">
        <f t="shared" si="4"/>
        <v>393</v>
      </c>
    </row>
    <row r="43" spans="1:25" x14ac:dyDescent="0.2">
      <c r="A43">
        <v>28361</v>
      </c>
      <c r="B43" s="134">
        <v>2012</v>
      </c>
      <c r="C43" s="114" t="s">
        <v>24</v>
      </c>
      <c r="D43" s="102"/>
      <c r="E43" s="2">
        <v>497</v>
      </c>
      <c r="F43" s="131"/>
      <c r="G43" s="130"/>
      <c r="H43" s="130"/>
      <c r="I43" s="130"/>
      <c r="J43" s="130"/>
      <c r="K43" s="130"/>
      <c r="L43" s="130"/>
      <c r="M43" s="130"/>
      <c r="N43" s="130"/>
      <c r="O43" s="131"/>
      <c r="P43" s="131"/>
      <c r="Q43" s="131"/>
      <c r="R43" s="3">
        <f>SUM(F43:Q43)</f>
        <v>0</v>
      </c>
      <c r="S43" s="11" t="e">
        <f>AVERAGE(F43:Q43)</f>
        <v>#DIV/0!</v>
      </c>
      <c r="T43" s="10" t="e">
        <f>U43/S43</f>
        <v>#DIV/0!</v>
      </c>
      <c r="U43" s="78">
        <f>SUM(E43-R43)</f>
        <v>497</v>
      </c>
      <c r="X43">
        <v>1</v>
      </c>
      <c r="Y43" s="167">
        <f t="shared" si="4"/>
        <v>498</v>
      </c>
    </row>
    <row r="44" spans="1:25" x14ac:dyDescent="0.2">
      <c r="A44">
        <v>22921</v>
      </c>
      <c r="B44" s="134">
        <v>2012</v>
      </c>
      <c r="C44" s="114" t="s">
        <v>22</v>
      </c>
      <c r="D44" s="102"/>
      <c r="E44" s="2">
        <v>579</v>
      </c>
      <c r="F44" s="131"/>
      <c r="G44" s="130"/>
      <c r="H44" s="130"/>
      <c r="I44" s="130"/>
      <c r="J44" s="130"/>
      <c r="K44" s="130"/>
      <c r="L44" s="130"/>
      <c r="M44" s="130"/>
      <c r="N44" s="130"/>
      <c r="O44" s="131"/>
      <c r="P44" s="131"/>
      <c r="Q44" s="131"/>
      <c r="R44" s="3">
        <f>SUM(F44:Q44)</f>
        <v>0</v>
      </c>
      <c r="S44" s="11" t="e">
        <f>AVERAGE(F44:Q44)</f>
        <v>#DIV/0!</v>
      </c>
      <c r="T44" s="10" t="e">
        <f>U44/S44</f>
        <v>#DIV/0!</v>
      </c>
      <c r="U44" s="78">
        <f>SUM(E44-R44)</f>
        <v>579</v>
      </c>
      <c r="Y44" s="167">
        <f t="shared" si="4"/>
        <v>579</v>
      </c>
    </row>
    <row r="45" spans="1:25" x14ac:dyDescent="0.2">
      <c r="A45" s="2">
        <v>34641</v>
      </c>
      <c r="B45" s="134">
        <v>2012</v>
      </c>
      <c r="C45" s="114" t="s">
        <v>21</v>
      </c>
      <c r="D45" s="102"/>
      <c r="E45" s="2">
        <v>294</v>
      </c>
      <c r="F45" s="131"/>
      <c r="G45" s="130"/>
      <c r="H45" s="130"/>
      <c r="I45" s="130"/>
      <c r="J45" s="130"/>
      <c r="K45" s="130"/>
      <c r="L45" s="130"/>
      <c r="M45" s="130"/>
      <c r="N45" s="130"/>
      <c r="O45" s="131"/>
      <c r="P45" s="131"/>
      <c r="Q45" s="131"/>
      <c r="R45" s="3">
        <f>SUM(F45:Q45)</f>
        <v>0</v>
      </c>
      <c r="S45" s="11" t="e">
        <f>AVERAGE(F45:Q45)</f>
        <v>#DIV/0!</v>
      </c>
      <c r="T45" s="10" t="e">
        <f>U45/S45</f>
        <v>#DIV/0!</v>
      </c>
      <c r="U45" s="78">
        <f>SUM(E45-R45)</f>
        <v>294</v>
      </c>
      <c r="X45">
        <v>1</v>
      </c>
      <c r="Y45" s="167">
        <f t="shared" si="4"/>
        <v>295</v>
      </c>
    </row>
    <row r="46" spans="1:25" x14ac:dyDescent="0.2">
      <c r="A46" s="2">
        <v>30306</v>
      </c>
      <c r="B46" s="134">
        <v>2012</v>
      </c>
      <c r="C46" s="114" t="s">
        <v>84</v>
      </c>
      <c r="D46" s="102"/>
      <c r="E46" s="2">
        <v>110</v>
      </c>
      <c r="F46" s="131"/>
      <c r="G46" s="130"/>
      <c r="H46" s="130"/>
      <c r="I46" s="130"/>
      <c r="J46" s="130"/>
      <c r="K46" s="130"/>
      <c r="L46" s="114">
        <v>10</v>
      </c>
      <c r="M46" s="114">
        <v>16</v>
      </c>
      <c r="N46" s="114">
        <v>14</v>
      </c>
      <c r="O46" s="132">
        <v>12</v>
      </c>
      <c r="P46" s="132">
        <v>10</v>
      </c>
      <c r="Q46" s="132">
        <v>7</v>
      </c>
      <c r="R46" s="3">
        <f>SUM(F46:Q46)</f>
        <v>69</v>
      </c>
      <c r="S46" s="11">
        <f>AVERAGE(F46:Q46)</f>
        <v>11.5</v>
      </c>
      <c r="T46" s="10">
        <f>U46/S46</f>
        <v>3.5652173913043477</v>
      </c>
      <c r="U46" s="78">
        <f>SUM(E46-R46)</f>
        <v>41</v>
      </c>
      <c r="Y46" s="167">
        <f t="shared" si="4"/>
        <v>41</v>
      </c>
    </row>
    <row r="47" spans="1:25" x14ac:dyDescent="0.2">
      <c r="A47" s="2"/>
      <c r="B47" s="134"/>
      <c r="C47" s="114" t="s">
        <v>85</v>
      </c>
      <c r="D47" s="102"/>
      <c r="E47" s="2"/>
      <c r="F47" s="131"/>
      <c r="G47" s="130"/>
      <c r="H47" s="130"/>
      <c r="I47" s="130"/>
      <c r="J47" s="130"/>
      <c r="K47" s="130"/>
      <c r="L47" s="114"/>
      <c r="M47" s="114"/>
      <c r="N47" s="114"/>
      <c r="O47" s="132"/>
      <c r="P47" s="132"/>
      <c r="Q47" s="132"/>
      <c r="R47" s="3"/>
      <c r="S47" s="11"/>
      <c r="T47" s="10"/>
      <c r="U47" s="78"/>
      <c r="Y47" s="167">
        <f t="shared" si="4"/>
        <v>0</v>
      </c>
    </row>
    <row r="48" spans="1:25" x14ac:dyDescent="0.2">
      <c r="A48" s="2"/>
      <c r="B48" s="134"/>
      <c r="C48" s="2" t="s">
        <v>86</v>
      </c>
      <c r="D48" s="102"/>
      <c r="E48" s="2">
        <v>100</v>
      </c>
      <c r="F48" s="132" t="s">
        <v>35</v>
      </c>
      <c r="G48" s="114"/>
      <c r="H48" s="114"/>
      <c r="I48" s="114"/>
      <c r="J48" s="114"/>
      <c r="K48" s="114"/>
      <c r="L48" s="114"/>
      <c r="M48" s="114"/>
      <c r="N48" s="114"/>
      <c r="O48" s="132"/>
      <c r="P48" s="132"/>
      <c r="Q48" s="132">
        <v>29</v>
      </c>
      <c r="R48" s="3">
        <f t="shared" si="5"/>
        <v>29</v>
      </c>
      <c r="S48" s="11">
        <f t="shared" si="6"/>
        <v>29</v>
      </c>
      <c r="T48" s="10">
        <f t="shared" si="7"/>
        <v>2.4482758620689653</v>
      </c>
      <c r="U48" s="78">
        <f t="shared" si="8"/>
        <v>71</v>
      </c>
      <c r="X48">
        <v>11</v>
      </c>
      <c r="Y48" s="167">
        <f t="shared" si="4"/>
        <v>82</v>
      </c>
    </row>
    <row r="49" spans="1:25" x14ac:dyDescent="0.2">
      <c r="A49" s="2"/>
      <c r="B49" s="134"/>
      <c r="C49" s="2" t="s">
        <v>87</v>
      </c>
      <c r="D49" s="102"/>
      <c r="E49" s="2">
        <v>15</v>
      </c>
      <c r="F49" s="132"/>
      <c r="G49" s="114"/>
      <c r="H49" s="114"/>
      <c r="I49" s="114"/>
      <c r="J49" s="114"/>
      <c r="K49" s="114"/>
      <c r="L49" s="114"/>
      <c r="M49" s="114"/>
      <c r="N49" s="114"/>
      <c r="O49" s="132"/>
      <c r="P49" s="132"/>
      <c r="Q49" s="132">
        <v>9</v>
      </c>
      <c r="R49" s="3">
        <f>SUM(F49:Q49)</f>
        <v>9</v>
      </c>
      <c r="S49" s="11">
        <f>AVERAGE(F49:Q49)</f>
        <v>9</v>
      </c>
      <c r="T49" s="10">
        <f>U49/S49</f>
        <v>0.66666666666666663</v>
      </c>
      <c r="U49" s="78">
        <f>SUM(E49-R49)</f>
        <v>6</v>
      </c>
      <c r="Y49" s="167">
        <f t="shared" si="4"/>
        <v>6</v>
      </c>
    </row>
    <row r="50" spans="1:25" x14ac:dyDescent="0.2">
      <c r="A50" s="2"/>
      <c r="B50" s="134"/>
      <c r="C50" s="2" t="s">
        <v>88</v>
      </c>
      <c r="D50" s="102"/>
      <c r="E50" s="2">
        <v>15</v>
      </c>
      <c r="F50" s="132"/>
      <c r="G50" s="114"/>
      <c r="H50" s="114"/>
      <c r="I50" s="114"/>
      <c r="J50" s="114"/>
      <c r="K50" s="114"/>
      <c r="L50" s="114"/>
      <c r="M50" s="114"/>
      <c r="N50" s="114"/>
      <c r="O50" s="132"/>
      <c r="P50" s="132"/>
      <c r="Q50" s="132">
        <v>1</v>
      </c>
      <c r="R50" s="3">
        <f>SUM(F50:Q50)</f>
        <v>1</v>
      </c>
      <c r="S50" s="11">
        <f>AVERAGE(F50:Q50)</f>
        <v>1</v>
      </c>
      <c r="T50" s="10">
        <f>U50/S50</f>
        <v>14</v>
      </c>
      <c r="U50" s="78">
        <f>SUM(E50-R50)</f>
        <v>14</v>
      </c>
      <c r="Y50" s="167">
        <f t="shared" si="4"/>
        <v>14</v>
      </c>
    </row>
    <row r="51" spans="1:25" x14ac:dyDescent="0.2">
      <c r="A51" s="162"/>
      <c r="B51" s="135"/>
      <c r="C51" s="46"/>
      <c r="D51" s="49"/>
      <c r="E51" s="46"/>
      <c r="F51" s="46"/>
      <c r="G51" s="46"/>
      <c r="H51" s="46"/>
      <c r="I51" s="46"/>
      <c r="J51" s="46"/>
      <c r="K51" s="46"/>
      <c r="L51" s="46"/>
      <c r="M51" s="46"/>
      <c r="N51" s="46"/>
      <c r="O51" s="46"/>
      <c r="P51" s="46"/>
      <c r="Q51" s="46"/>
      <c r="R51" s="46"/>
      <c r="S51" s="49"/>
      <c r="T51" s="133"/>
      <c r="U51" s="81"/>
    </row>
    <row r="52" spans="1:25" x14ac:dyDescent="0.2">
      <c r="A52" s="2"/>
      <c r="B52" s="134">
        <v>2009</v>
      </c>
      <c r="C52" s="2"/>
      <c r="D52" s="129"/>
      <c r="E52" s="11">
        <f t="shared" ref="E52:R52" si="9">SUM(E9:E11)</f>
        <v>152</v>
      </c>
      <c r="F52" s="11">
        <f t="shared" si="9"/>
        <v>57</v>
      </c>
      <c r="G52" s="11">
        <f t="shared" si="9"/>
        <v>17</v>
      </c>
      <c r="H52" s="11">
        <f t="shared" si="9"/>
        <v>14</v>
      </c>
      <c r="I52" s="11">
        <f t="shared" si="9"/>
        <v>34</v>
      </c>
      <c r="J52" s="11">
        <f t="shared" si="9"/>
        <v>28</v>
      </c>
      <c r="K52" s="11">
        <f t="shared" si="9"/>
        <v>2</v>
      </c>
      <c r="L52" s="11">
        <f t="shared" si="9"/>
        <v>0</v>
      </c>
      <c r="M52" s="11">
        <f t="shared" si="9"/>
        <v>0</v>
      </c>
      <c r="N52" s="11">
        <f t="shared" si="9"/>
        <v>0</v>
      </c>
      <c r="O52" s="11">
        <f t="shared" si="9"/>
        <v>0</v>
      </c>
      <c r="P52" s="11">
        <f t="shared" si="9"/>
        <v>0</v>
      </c>
      <c r="Q52" s="11">
        <f t="shared" si="9"/>
        <v>0</v>
      </c>
      <c r="R52" s="11">
        <f t="shared" si="9"/>
        <v>152</v>
      </c>
      <c r="S52" s="11">
        <f>AVERAGE(F52:Q52)</f>
        <v>12.666666666666666</v>
      </c>
      <c r="T52" s="10">
        <f>U52/S52</f>
        <v>0</v>
      </c>
      <c r="U52" s="42">
        <f>SUM(U9:U11)</f>
        <v>0</v>
      </c>
    </row>
    <row r="53" spans="1:25" x14ac:dyDescent="0.2">
      <c r="A53" s="2"/>
      <c r="B53" s="158">
        <v>2010</v>
      </c>
      <c r="C53" s="16"/>
      <c r="D53" s="139"/>
      <c r="E53" s="18">
        <f t="shared" ref="E53:R53" si="10">SUM(E13:E23)</f>
        <v>2967</v>
      </c>
      <c r="F53" s="18">
        <f t="shared" si="10"/>
        <v>196</v>
      </c>
      <c r="G53" s="18">
        <f t="shared" si="10"/>
        <v>171</v>
      </c>
      <c r="H53" s="18">
        <f t="shared" si="10"/>
        <v>149</v>
      </c>
      <c r="I53" s="18">
        <f t="shared" si="10"/>
        <v>230</v>
      </c>
      <c r="J53" s="18">
        <f t="shared" si="10"/>
        <v>283</v>
      </c>
      <c r="K53" s="18">
        <f t="shared" si="10"/>
        <v>161</v>
      </c>
      <c r="L53" s="18">
        <f t="shared" si="10"/>
        <v>211</v>
      </c>
      <c r="M53" s="18">
        <f t="shared" si="10"/>
        <v>142</v>
      </c>
      <c r="N53" s="18">
        <f t="shared" si="10"/>
        <v>221</v>
      </c>
      <c r="O53" s="18">
        <f t="shared" si="10"/>
        <v>284</v>
      </c>
      <c r="P53" s="18">
        <f t="shared" si="10"/>
        <v>152</v>
      </c>
      <c r="Q53" s="18">
        <f t="shared" si="10"/>
        <v>178</v>
      </c>
      <c r="R53" s="18">
        <f t="shared" si="10"/>
        <v>2378</v>
      </c>
      <c r="S53" s="18">
        <f>AVERAGE(F53:Q53)</f>
        <v>198.16666666666666</v>
      </c>
      <c r="T53" s="20">
        <f>U53/S53</f>
        <v>2.8915054667788058</v>
      </c>
      <c r="U53" s="54">
        <f>SUM(U13:U23)</f>
        <v>573</v>
      </c>
    </row>
    <row r="54" spans="1:25" x14ac:dyDescent="0.2">
      <c r="A54" s="2"/>
      <c r="B54" s="158">
        <v>2011</v>
      </c>
      <c r="C54" s="16"/>
      <c r="D54" s="139"/>
      <c r="E54" s="18">
        <f>SUM(E25:E34)</f>
        <v>2948</v>
      </c>
      <c r="F54" s="18">
        <f>SUM(F25:F34)</f>
        <v>79</v>
      </c>
      <c r="G54" s="18">
        <f>SUM(G25:G34)</f>
        <v>40</v>
      </c>
      <c r="H54" s="18">
        <f t="shared" ref="H54:Q54" si="11">SUM(H25:H34)</f>
        <v>355</v>
      </c>
      <c r="I54" s="18">
        <f t="shared" si="11"/>
        <v>17</v>
      </c>
      <c r="J54" s="18">
        <f t="shared" si="11"/>
        <v>27</v>
      </c>
      <c r="K54" s="18">
        <f t="shared" si="11"/>
        <v>43</v>
      </c>
      <c r="L54" s="18">
        <f t="shared" si="11"/>
        <v>52</v>
      </c>
      <c r="M54" s="18">
        <f t="shared" si="11"/>
        <v>53</v>
      </c>
      <c r="N54" s="18">
        <f t="shared" si="11"/>
        <v>180</v>
      </c>
      <c r="O54" s="18">
        <f t="shared" si="11"/>
        <v>147</v>
      </c>
      <c r="P54" s="18">
        <f t="shared" si="11"/>
        <v>9</v>
      </c>
      <c r="Q54" s="18">
        <f t="shared" si="11"/>
        <v>93</v>
      </c>
      <c r="R54" s="18">
        <f>SUM(R25:R34)</f>
        <v>1095</v>
      </c>
      <c r="S54" s="18">
        <f>AVERAGE(F54:Q54)</f>
        <v>91.25</v>
      </c>
      <c r="T54" s="20">
        <f>U54/S54</f>
        <v>20.306849315068494</v>
      </c>
      <c r="U54" s="54">
        <f>SUM(U25:U34)</f>
        <v>1853</v>
      </c>
    </row>
    <row r="55" spans="1:25" x14ac:dyDescent="0.2">
      <c r="A55" s="2"/>
      <c r="B55" s="134">
        <v>2012</v>
      </c>
      <c r="C55" s="2"/>
      <c r="D55" s="129"/>
      <c r="E55" s="18">
        <f>SUM(E36:E48)</f>
        <v>4307</v>
      </c>
      <c r="F55" s="18">
        <f>SUM(F36:F48)</f>
        <v>0</v>
      </c>
      <c r="G55" s="18">
        <f t="shared" ref="G55:Q55" si="12">SUM(G36:G48)</f>
        <v>1</v>
      </c>
      <c r="H55" s="18">
        <f t="shared" si="12"/>
        <v>89</v>
      </c>
      <c r="I55" s="18">
        <f t="shared" si="12"/>
        <v>91</v>
      </c>
      <c r="J55" s="18">
        <f t="shared" si="12"/>
        <v>93</v>
      </c>
      <c r="K55" s="18">
        <f t="shared" si="12"/>
        <v>73</v>
      </c>
      <c r="L55" s="18">
        <f t="shared" si="12"/>
        <v>114</v>
      </c>
      <c r="M55" s="18">
        <f t="shared" si="12"/>
        <v>103</v>
      </c>
      <c r="N55" s="18">
        <f t="shared" si="12"/>
        <v>113</v>
      </c>
      <c r="O55" s="18">
        <f t="shared" si="12"/>
        <v>120</v>
      </c>
      <c r="P55" s="18">
        <f t="shared" si="12"/>
        <v>65</v>
      </c>
      <c r="Q55" s="18">
        <f t="shared" si="12"/>
        <v>49</v>
      </c>
      <c r="R55" s="18">
        <f>SUM(R36:R48)</f>
        <v>911</v>
      </c>
      <c r="S55" s="18">
        <f>AVERAGE(F55:Q55)</f>
        <v>75.916666666666671</v>
      </c>
      <c r="T55" s="20">
        <f>U55/S55</f>
        <v>44.733260153677271</v>
      </c>
      <c r="U55" s="54">
        <f>SUM(U36:U48)</f>
        <v>3396</v>
      </c>
    </row>
    <row r="56" spans="1:25" x14ac:dyDescent="0.2">
      <c r="A56" s="2"/>
      <c r="B56" s="159" t="s">
        <v>59</v>
      </c>
      <c r="C56" s="2"/>
      <c r="D56" s="129"/>
      <c r="E56" s="11">
        <f t="shared" ref="E56:S56" si="13">SUM(E52:E55)</f>
        <v>10374</v>
      </c>
      <c r="F56" s="11">
        <f t="shared" si="13"/>
        <v>332</v>
      </c>
      <c r="G56" s="11">
        <f t="shared" si="13"/>
        <v>229</v>
      </c>
      <c r="H56" s="11">
        <f t="shared" si="13"/>
        <v>607</v>
      </c>
      <c r="I56" s="11">
        <f t="shared" si="13"/>
        <v>372</v>
      </c>
      <c r="J56" s="11">
        <f t="shared" si="13"/>
        <v>431</v>
      </c>
      <c r="K56" s="11">
        <f t="shared" si="13"/>
        <v>279</v>
      </c>
      <c r="L56" s="11">
        <f t="shared" si="13"/>
        <v>377</v>
      </c>
      <c r="M56" s="11">
        <f t="shared" si="13"/>
        <v>298</v>
      </c>
      <c r="N56" s="11">
        <f t="shared" si="13"/>
        <v>514</v>
      </c>
      <c r="O56" s="11">
        <f t="shared" si="13"/>
        <v>551</v>
      </c>
      <c r="P56" s="11">
        <f t="shared" si="13"/>
        <v>226</v>
      </c>
      <c r="Q56" s="11">
        <f t="shared" si="13"/>
        <v>320</v>
      </c>
      <c r="R56" s="11">
        <f t="shared" si="13"/>
        <v>4536</v>
      </c>
      <c r="S56" s="11">
        <f t="shared" si="13"/>
        <v>378</v>
      </c>
      <c r="T56" s="20">
        <f>U56/S56</f>
        <v>15.402116402116402</v>
      </c>
      <c r="U56" s="11">
        <f>SUM(U52:U55)</f>
        <v>5822</v>
      </c>
      <c r="Y56" s="167">
        <f>SUM(Y16:Y55)</f>
        <v>5898</v>
      </c>
    </row>
    <row r="57" spans="1:25" x14ac:dyDescent="0.2">
      <c r="A57" s="162"/>
      <c r="B57" s="141"/>
      <c r="C57" s="141"/>
      <c r="D57" s="142"/>
      <c r="E57" s="141"/>
      <c r="F57" s="141"/>
      <c r="G57" s="141"/>
      <c r="H57" s="141"/>
      <c r="I57" s="141"/>
      <c r="J57" s="141"/>
      <c r="K57" s="141"/>
      <c r="L57" s="141"/>
      <c r="M57" s="141"/>
      <c r="N57" s="141"/>
      <c r="O57" s="141"/>
      <c r="P57" s="141"/>
      <c r="Q57" s="141"/>
      <c r="R57" s="141"/>
      <c r="S57" s="142"/>
      <c r="T57" s="143"/>
      <c r="U57" s="144"/>
    </row>
    <row r="58" spans="1:25" ht="13.5" thickBot="1" x14ac:dyDescent="0.25"/>
    <row r="59" spans="1:25" ht="48" thickBot="1" x14ac:dyDescent="0.45">
      <c r="B59" s="116" t="s">
        <v>60</v>
      </c>
      <c r="C59" s="117"/>
      <c r="D59" s="117"/>
      <c r="E59" s="118" t="s">
        <v>61</v>
      </c>
      <c r="F59" s="443" t="s">
        <v>62</v>
      </c>
      <c r="G59" s="444"/>
      <c r="H59" s="444"/>
      <c r="I59" s="444"/>
      <c r="J59" s="444"/>
      <c r="K59" s="444"/>
      <c r="L59" s="444"/>
      <c r="M59" s="444"/>
      <c r="N59" s="444"/>
      <c r="O59" s="444"/>
      <c r="P59" s="444"/>
      <c r="Q59" s="444"/>
      <c r="R59" s="119" t="s">
        <v>63</v>
      </c>
      <c r="S59" s="120"/>
      <c r="T59" s="120"/>
      <c r="U59" s="120"/>
    </row>
    <row r="60" spans="1:25" x14ac:dyDescent="0.2">
      <c r="B60" s="22"/>
      <c r="C60" s="121"/>
      <c r="D60" s="22"/>
      <c r="E60" s="128"/>
      <c r="F60" s="22"/>
      <c r="G60" s="22"/>
      <c r="H60" s="22"/>
      <c r="I60" s="22"/>
      <c r="J60" s="22"/>
      <c r="K60" s="22"/>
      <c r="L60" s="22"/>
      <c r="M60" s="22"/>
      <c r="N60" s="22"/>
      <c r="O60" s="22"/>
      <c r="P60" s="22"/>
      <c r="Q60" s="123"/>
      <c r="R60" s="22"/>
    </row>
    <row r="61" spans="1:25" x14ac:dyDescent="0.2">
      <c r="B61" s="2"/>
      <c r="C61" s="114"/>
      <c r="D61" s="2"/>
      <c r="E61" s="22"/>
      <c r="F61" s="2"/>
      <c r="G61" s="2"/>
      <c r="H61" s="2"/>
      <c r="I61" s="2"/>
      <c r="J61" s="2"/>
      <c r="K61" s="2"/>
      <c r="L61" s="2"/>
      <c r="M61" s="2"/>
      <c r="N61" s="2"/>
      <c r="O61" s="2"/>
      <c r="P61" s="2"/>
      <c r="Q61" s="15"/>
      <c r="R61" s="2"/>
    </row>
    <row r="62" spans="1:25" x14ac:dyDescent="0.2">
      <c r="B62" s="46"/>
      <c r="C62" s="46"/>
      <c r="D62" s="46"/>
      <c r="E62" s="46"/>
      <c r="F62" s="46"/>
      <c r="G62" s="46"/>
      <c r="H62" s="46"/>
      <c r="I62" s="46"/>
      <c r="J62" s="46"/>
      <c r="K62" s="46"/>
      <c r="L62" s="46"/>
      <c r="M62" s="46"/>
      <c r="N62" s="46"/>
      <c r="O62" s="46"/>
      <c r="P62" s="46"/>
      <c r="Q62" s="124"/>
      <c r="R62" s="46"/>
    </row>
    <row r="63" spans="1:25" x14ac:dyDescent="0.2">
      <c r="B63" s="2"/>
      <c r="C63" s="114"/>
      <c r="D63" s="2"/>
      <c r="E63" s="2"/>
      <c r="F63" s="2"/>
      <c r="G63" s="2"/>
      <c r="H63" s="2"/>
      <c r="I63" s="2"/>
      <c r="J63" s="2"/>
      <c r="K63" s="2"/>
      <c r="L63" s="2"/>
      <c r="M63" s="2"/>
      <c r="N63" s="2"/>
      <c r="O63" s="2"/>
      <c r="P63" s="2"/>
      <c r="Q63" s="15"/>
      <c r="R63" s="2"/>
    </row>
    <row r="64" spans="1:25" x14ac:dyDescent="0.2">
      <c r="B64" s="2"/>
      <c r="C64" s="114"/>
      <c r="D64" s="2"/>
      <c r="E64" s="2"/>
      <c r="F64" s="2"/>
      <c r="G64" s="2"/>
      <c r="H64" s="2"/>
      <c r="I64" s="2"/>
      <c r="J64" s="2"/>
      <c r="K64" s="2"/>
      <c r="L64" s="2"/>
      <c r="M64" s="2"/>
      <c r="N64" s="2"/>
      <c r="O64" s="2"/>
      <c r="P64" s="2"/>
      <c r="Q64" s="15"/>
      <c r="R64" s="2"/>
    </row>
    <row r="65" spans="2:18" x14ac:dyDescent="0.2">
      <c r="B65" s="75"/>
      <c r="C65" s="125"/>
      <c r="D65" s="75"/>
      <c r="E65" s="75"/>
      <c r="F65" s="75"/>
      <c r="G65" s="75"/>
      <c r="H65" s="75"/>
      <c r="I65" s="75"/>
      <c r="J65" s="75"/>
      <c r="K65" s="75"/>
      <c r="L65" s="75"/>
      <c r="M65" s="75"/>
      <c r="N65" s="75"/>
      <c r="O65" s="75"/>
      <c r="P65" s="75"/>
      <c r="Q65" s="75"/>
      <c r="R65" s="46"/>
    </row>
    <row r="66" spans="2:18" ht="13.5" thickBot="1" x14ac:dyDescent="0.25">
      <c r="C66" s="126"/>
    </row>
    <row r="67" spans="2:18" ht="63.75" thickBot="1" x14ac:dyDescent="0.45">
      <c r="B67" s="445" t="s">
        <v>60</v>
      </c>
      <c r="C67" s="446"/>
      <c r="D67" s="447"/>
      <c r="E67" s="127" t="s">
        <v>64</v>
      </c>
      <c r="F67" s="443" t="s">
        <v>65</v>
      </c>
      <c r="G67" s="444"/>
      <c r="H67" s="444"/>
      <c r="I67" s="444"/>
      <c r="J67" s="444"/>
      <c r="K67" s="444"/>
      <c r="L67" s="444"/>
      <c r="M67" s="444"/>
      <c r="N67" s="444"/>
      <c r="O67" s="444"/>
      <c r="P67" s="444"/>
      <c r="Q67" s="448"/>
      <c r="R67" s="119" t="s">
        <v>66</v>
      </c>
    </row>
    <row r="68" spans="2:18" ht="15.75" x14ac:dyDescent="0.25">
      <c r="B68" s="22"/>
      <c r="C68" s="121"/>
      <c r="D68" s="22"/>
      <c r="E68" s="122"/>
      <c r="F68" s="22"/>
      <c r="G68" s="22"/>
      <c r="H68" s="22"/>
      <c r="I68" s="22"/>
      <c r="J68" s="22"/>
      <c r="K68" s="22"/>
      <c r="L68" s="22"/>
      <c r="M68" s="22"/>
      <c r="N68" s="22"/>
      <c r="O68" s="22"/>
      <c r="P68" s="22"/>
      <c r="Q68" s="22"/>
      <c r="R68" s="22"/>
    </row>
    <row r="69" spans="2:18" x14ac:dyDescent="0.2">
      <c r="B69" s="2"/>
      <c r="C69" s="114"/>
      <c r="D69" s="2"/>
      <c r="E69" s="22"/>
      <c r="F69" s="2"/>
      <c r="G69" s="2"/>
      <c r="H69" s="2"/>
      <c r="I69" s="2"/>
      <c r="J69" s="2"/>
      <c r="K69" s="2"/>
      <c r="L69" s="2"/>
      <c r="M69" s="2"/>
      <c r="N69" s="2"/>
      <c r="O69" s="2"/>
      <c r="P69" s="2"/>
      <c r="Q69" s="2"/>
      <c r="R69" s="2"/>
    </row>
    <row r="70" spans="2:18" x14ac:dyDescent="0.2">
      <c r="B70" s="46"/>
      <c r="C70" s="46"/>
      <c r="D70" s="46"/>
      <c r="E70" s="46"/>
      <c r="F70" s="46"/>
      <c r="G70" s="46"/>
      <c r="H70" s="46"/>
      <c r="I70" s="46"/>
      <c r="J70" s="46"/>
      <c r="K70" s="46"/>
      <c r="L70" s="46"/>
      <c r="M70" s="46"/>
      <c r="N70" s="46"/>
      <c r="O70" s="46"/>
      <c r="P70" s="46"/>
      <c r="Q70" s="46"/>
      <c r="R70" s="46"/>
    </row>
    <row r="71" spans="2:18" x14ac:dyDescent="0.2">
      <c r="B71" s="2"/>
      <c r="C71" s="114"/>
      <c r="D71" s="2"/>
      <c r="E71" s="2"/>
      <c r="F71" s="2"/>
      <c r="G71" s="2"/>
      <c r="H71" s="2"/>
      <c r="I71" s="2"/>
      <c r="J71" s="2"/>
      <c r="K71" s="2"/>
      <c r="L71" s="2"/>
      <c r="M71" s="2"/>
      <c r="N71" s="2"/>
      <c r="O71" s="2"/>
      <c r="P71" s="2"/>
      <c r="Q71" s="2"/>
      <c r="R71" s="2"/>
    </row>
    <row r="72" spans="2:18" x14ac:dyDescent="0.2">
      <c r="B72" s="2"/>
      <c r="C72" s="114"/>
      <c r="D72" s="2"/>
      <c r="E72" s="2"/>
      <c r="F72" s="2"/>
      <c r="G72" s="2"/>
      <c r="H72" s="2"/>
      <c r="I72" s="2"/>
      <c r="J72" s="2"/>
      <c r="K72" s="2"/>
      <c r="L72" s="2"/>
      <c r="M72" s="2"/>
      <c r="N72" s="2"/>
      <c r="O72" s="2"/>
      <c r="P72" s="2"/>
      <c r="Q72" s="2"/>
      <c r="R72" s="2"/>
    </row>
  </sheetData>
  <mergeCells count="3">
    <mergeCell ref="F59:Q59"/>
    <mergeCell ref="B67:D67"/>
    <mergeCell ref="F67:Q67"/>
  </mergeCells>
  <phoneticPr fontId="8" type="noConversion"/>
  <pageMargins left="0.75" right="0.75" top="1" bottom="1" header="0.5" footer="0.5"/>
  <pageSetup orientation="portrait" horizontalDpi="4294967295" verticalDpi="4294967295"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Y72"/>
  <sheetViews>
    <sheetView topLeftCell="A16" zoomScale="110" zoomScaleNormal="110" workbookViewId="0">
      <selection activeCell="K44" sqref="K44"/>
    </sheetView>
  </sheetViews>
  <sheetFormatPr defaultRowHeight="12.75" x14ac:dyDescent="0.2"/>
  <cols>
    <col min="3" max="3" width="16.7109375" bestFit="1" customWidth="1"/>
    <col min="4" max="4" width="11" customWidth="1"/>
    <col min="5" max="5" width="11.7109375" style="168" customWidth="1"/>
    <col min="6" max="6" width="6.28515625" style="168" customWidth="1"/>
    <col min="7" max="7" width="5.42578125" style="168" bestFit="1" customWidth="1"/>
    <col min="8" max="9" width="5.28515625" style="168" bestFit="1" customWidth="1"/>
    <col min="10" max="10" width="5.7109375" style="168" bestFit="1" customWidth="1"/>
    <col min="11" max="11" width="5.42578125" style="168" bestFit="1" customWidth="1"/>
    <col min="12" max="12" width="4.5703125" style="168" bestFit="1" customWidth="1"/>
    <col min="13" max="13" width="5.7109375" style="168" bestFit="1" customWidth="1"/>
    <col min="14" max="14" width="7.42578125" style="168" customWidth="1"/>
    <col min="15" max="15" width="5" style="168" bestFit="1" customWidth="1"/>
    <col min="16" max="16" width="5.7109375" style="168" bestFit="1" customWidth="1"/>
    <col min="17" max="17" width="5.5703125" style="168" bestFit="1" customWidth="1"/>
    <col min="19" max="19" width="10.28515625" customWidth="1"/>
    <col min="21" max="21" width="12.7109375" customWidth="1"/>
  </cols>
  <sheetData>
    <row r="2" spans="1:25" ht="15.75" x14ac:dyDescent="0.2">
      <c r="D2" s="126"/>
      <c r="E2" s="169"/>
    </row>
    <row r="3" spans="1:25" ht="15.75" x14ac:dyDescent="0.2">
      <c r="D3" s="126"/>
      <c r="E3" s="169"/>
    </row>
    <row r="4" spans="1:25" ht="15.75" x14ac:dyDescent="0.2">
      <c r="E4" s="169"/>
    </row>
    <row r="6" spans="1:25" ht="13.5" thickBot="1" x14ac:dyDescent="0.25"/>
    <row r="7" spans="1:25" ht="21" thickBot="1" x14ac:dyDescent="0.35">
      <c r="A7" s="155"/>
      <c r="B7" s="104" t="s">
        <v>0</v>
      </c>
      <c r="C7" s="105"/>
      <c r="D7" s="105"/>
      <c r="E7" s="326"/>
      <c r="F7" s="326"/>
      <c r="G7" s="326"/>
      <c r="H7" s="326"/>
      <c r="I7" s="326"/>
      <c r="J7" s="326"/>
      <c r="K7" s="326"/>
      <c r="L7" s="326"/>
      <c r="M7" s="326"/>
      <c r="N7" s="326"/>
      <c r="O7" s="326"/>
      <c r="P7" s="326"/>
      <c r="Q7" s="326"/>
      <c r="R7" s="105"/>
      <c r="S7" s="105"/>
      <c r="T7" s="105"/>
      <c r="U7" s="106"/>
    </row>
    <row r="8" spans="1:25" ht="48" thickBot="1" x14ac:dyDescent="0.3">
      <c r="A8" s="160" t="s">
        <v>79</v>
      </c>
      <c r="B8" s="156" t="s">
        <v>3</v>
      </c>
      <c r="C8" s="107" t="s">
        <v>2</v>
      </c>
      <c r="D8" s="108" t="s">
        <v>89</v>
      </c>
      <c r="E8" s="109" t="s">
        <v>90</v>
      </c>
      <c r="F8" s="110" t="s">
        <v>4</v>
      </c>
      <c r="G8" s="110" t="s">
        <v>5</v>
      </c>
      <c r="H8" s="110" t="s">
        <v>6</v>
      </c>
      <c r="I8" s="110" t="s">
        <v>7</v>
      </c>
      <c r="J8" s="110" t="s">
        <v>8</v>
      </c>
      <c r="K8" s="110" t="s">
        <v>9</v>
      </c>
      <c r="L8" s="110" t="s">
        <v>10</v>
      </c>
      <c r="M8" s="110" t="s">
        <v>11</v>
      </c>
      <c r="N8" s="110" t="s">
        <v>12</v>
      </c>
      <c r="O8" s="110" t="s">
        <v>13</v>
      </c>
      <c r="P8" s="110" t="s">
        <v>14</v>
      </c>
      <c r="Q8" s="110" t="s">
        <v>15</v>
      </c>
      <c r="R8" s="111" t="s">
        <v>16</v>
      </c>
      <c r="S8" s="112" t="s">
        <v>91</v>
      </c>
      <c r="T8" s="109" t="s">
        <v>19</v>
      </c>
      <c r="U8" s="113" t="s">
        <v>41</v>
      </c>
      <c r="X8" s="165"/>
      <c r="Y8" s="166"/>
    </row>
    <row r="9" spans="1:25" x14ac:dyDescent="0.2">
      <c r="A9" s="162"/>
      <c r="B9" s="135"/>
      <c r="C9" s="46"/>
      <c r="D9" s="49"/>
      <c r="E9" s="170"/>
      <c r="F9" s="170"/>
      <c r="G9" s="170"/>
      <c r="H9" s="170"/>
      <c r="I9" s="170"/>
      <c r="J9" s="170"/>
      <c r="K9" s="170"/>
      <c r="L9" s="170"/>
      <c r="M9" s="170"/>
      <c r="N9" s="170"/>
      <c r="O9" s="170"/>
      <c r="P9" s="170"/>
      <c r="Q9" s="170"/>
      <c r="R9" s="46"/>
      <c r="S9" s="49"/>
      <c r="T9" s="115"/>
      <c r="U9" s="81"/>
    </row>
    <row r="10" spans="1:25" x14ac:dyDescent="0.2">
      <c r="A10" s="2">
        <v>22382</v>
      </c>
      <c r="B10" s="134">
        <v>2010</v>
      </c>
      <c r="C10" s="114" t="s">
        <v>23</v>
      </c>
      <c r="D10" s="102">
        <v>29</v>
      </c>
      <c r="E10" s="146">
        <v>36</v>
      </c>
      <c r="F10" s="171">
        <v>20</v>
      </c>
      <c r="G10" s="171">
        <v>16</v>
      </c>
      <c r="H10" s="181"/>
      <c r="I10" s="181"/>
      <c r="J10" s="181"/>
      <c r="K10" s="181"/>
      <c r="L10" s="181"/>
      <c r="M10" s="181"/>
      <c r="N10" s="181"/>
      <c r="O10" s="181"/>
      <c r="P10" s="181"/>
      <c r="Q10" s="181"/>
      <c r="R10" s="3">
        <f t="shared" ref="R10:R15" si="0">SUM(F10:Q10)</f>
        <v>36</v>
      </c>
      <c r="S10" s="11">
        <f t="shared" ref="S10:S15" si="1">AVERAGE(F10:Q10)</f>
        <v>18</v>
      </c>
      <c r="T10" s="10">
        <f t="shared" ref="T10:T15" si="2">U10/S10</f>
        <v>0</v>
      </c>
      <c r="U10" s="78">
        <f>SUM(E10-R10)</f>
        <v>0</v>
      </c>
      <c r="Y10" s="167"/>
    </row>
    <row r="11" spans="1:25" x14ac:dyDescent="0.2">
      <c r="A11" s="2">
        <v>22834</v>
      </c>
      <c r="B11" s="134">
        <v>2010</v>
      </c>
      <c r="C11" s="114" t="s">
        <v>26</v>
      </c>
      <c r="D11" s="102">
        <v>16</v>
      </c>
      <c r="E11" s="146">
        <v>137</v>
      </c>
      <c r="F11" s="171">
        <v>20</v>
      </c>
      <c r="G11" s="145">
        <v>20</v>
      </c>
      <c r="H11" s="145">
        <v>6</v>
      </c>
      <c r="I11" s="145">
        <v>9</v>
      </c>
      <c r="J11" s="145">
        <v>24</v>
      </c>
      <c r="K11" s="145">
        <v>17</v>
      </c>
      <c r="L11" s="145">
        <v>22</v>
      </c>
      <c r="M11" s="145">
        <v>10</v>
      </c>
      <c r="N11" s="181"/>
      <c r="O11" s="181"/>
      <c r="P11" s="181"/>
      <c r="Q11" s="181"/>
      <c r="R11" s="3">
        <f t="shared" si="0"/>
        <v>128</v>
      </c>
      <c r="S11" s="11">
        <f t="shared" si="1"/>
        <v>16</v>
      </c>
      <c r="T11" s="10">
        <f t="shared" si="2"/>
        <v>0</v>
      </c>
      <c r="U11" s="78">
        <v>0</v>
      </c>
      <c r="Y11" s="167"/>
    </row>
    <row r="12" spans="1:25" x14ac:dyDescent="0.2">
      <c r="A12">
        <v>18004</v>
      </c>
      <c r="B12" s="134">
        <v>2010</v>
      </c>
      <c r="C12" s="2" t="s">
        <v>29</v>
      </c>
      <c r="D12" s="102">
        <v>12</v>
      </c>
      <c r="E12" s="146">
        <v>32</v>
      </c>
      <c r="F12" s="145">
        <v>11</v>
      </c>
      <c r="G12" s="145">
        <v>21</v>
      </c>
      <c r="H12" s="181"/>
      <c r="I12" s="181"/>
      <c r="J12" s="181"/>
      <c r="K12" s="181"/>
      <c r="L12" s="181"/>
      <c r="M12" s="181"/>
      <c r="N12" s="181"/>
      <c r="O12" s="181"/>
      <c r="P12" s="181"/>
      <c r="Q12" s="181"/>
      <c r="R12" s="3">
        <f t="shared" si="0"/>
        <v>32</v>
      </c>
      <c r="S12" s="11">
        <f t="shared" si="1"/>
        <v>16</v>
      </c>
      <c r="T12" s="10">
        <f t="shared" si="2"/>
        <v>0</v>
      </c>
      <c r="U12" s="78">
        <f>SUM(E12-R12)</f>
        <v>0</v>
      </c>
      <c r="V12" s="126" t="s">
        <v>35</v>
      </c>
      <c r="Y12" s="167"/>
    </row>
    <row r="13" spans="1:25" x14ac:dyDescent="0.2">
      <c r="A13" s="2">
        <v>34641</v>
      </c>
      <c r="B13" s="134">
        <v>2010</v>
      </c>
      <c r="C13" s="114" t="s">
        <v>52</v>
      </c>
      <c r="D13" s="102">
        <v>22</v>
      </c>
      <c r="E13" s="146">
        <v>278</v>
      </c>
      <c r="F13" s="171">
        <v>9</v>
      </c>
      <c r="G13" s="171">
        <v>17</v>
      </c>
      <c r="H13" s="145">
        <v>22</v>
      </c>
      <c r="I13" s="145">
        <v>24</v>
      </c>
      <c r="J13" s="145">
        <v>23</v>
      </c>
      <c r="K13" s="145">
        <v>47</v>
      </c>
      <c r="L13" s="145">
        <v>29</v>
      </c>
      <c r="M13" s="145">
        <v>31</v>
      </c>
      <c r="N13" s="145">
        <v>28</v>
      </c>
      <c r="O13" s="145">
        <v>48</v>
      </c>
      <c r="P13" s="181"/>
      <c r="Q13" s="181"/>
      <c r="R13" s="3">
        <f t="shared" si="0"/>
        <v>278</v>
      </c>
      <c r="S13" s="11">
        <f t="shared" si="1"/>
        <v>27.8</v>
      </c>
      <c r="T13" s="10">
        <f t="shared" si="2"/>
        <v>0</v>
      </c>
      <c r="U13" s="78">
        <f>SUM(E13-R13)</f>
        <v>0</v>
      </c>
      <c r="V13" s="126" t="s">
        <v>35</v>
      </c>
      <c r="Y13" s="167"/>
    </row>
    <row r="14" spans="1:25" x14ac:dyDescent="0.2">
      <c r="A14" s="2">
        <v>22921</v>
      </c>
      <c r="B14" s="134">
        <v>2010</v>
      </c>
      <c r="C14" s="114" t="s">
        <v>53</v>
      </c>
      <c r="D14" s="102">
        <v>37</v>
      </c>
      <c r="E14" s="146">
        <v>150</v>
      </c>
      <c r="F14" s="145">
        <v>38</v>
      </c>
      <c r="G14" s="145">
        <v>59</v>
      </c>
      <c r="H14" s="145">
        <v>21</v>
      </c>
      <c r="I14" s="181">
        <v>12</v>
      </c>
      <c r="J14" s="181">
        <v>5</v>
      </c>
      <c r="K14" s="181">
        <v>15</v>
      </c>
      <c r="L14" s="181"/>
      <c r="M14" s="181"/>
      <c r="N14" s="181"/>
      <c r="O14" s="181"/>
      <c r="P14" s="181"/>
      <c r="Q14" s="181"/>
      <c r="R14" s="3">
        <f t="shared" si="0"/>
        <v>150</v>
      </c>
      <c r="S14" s="11">
        <f t="shared" si="1"/>
        <v>25</v>
      </c>
      <c r="T14" s="10">
        <f t="shared" si="2"/>
        <v>0</v>
      </c>
      <c r="U14" s="78">
        <f>SUM(E14-R14)</f>
        <v>0</v>
      </c>
      <c r="Y14" s="167"/>
    </row>
    <row r="15" spans="1:25" x14ac:dyDescent="0.2">
      <c r="A15" s="2">
        <v>38269</v>
      </c>
      <c r="B15" s="134">
        <v>2010</v>
      </c>
      <c r="C15" s="2" t="s">
        <v>45</v>
      </c>
      <c r="D15" s="102">
        <v>13</v>
      </c>
      <c r="E15" s="146">
        <v>69</v>
      </c>
      <c r="F15" s="145">
        <v>5</v>
      </c>
      <c r="G15" s="145">
        <v>0</v>
      </c>
      <c r="H15" s="145">
        <v>14</v>
      </c>
      <c r="I15" s="145">
        <v>9</v>
      </c>
      <c r="J15" s="145">
        <v>10</v>
      </c>
      <c r="K15" s="145">
        <v>16</v>
      </c>
      <c r="L15" s="145" t="s">
        <v>92</v>
      </c>
      <c r="M15" s="181"/>
      <c r="N15" s="181"/>
      <c r="O15" s="181"/>
      <c r="P15" s="181"/>
      <c r="Q15" s="181"/>
      <c r="R15" s="3">
        <f t="shared" si="0"/>
        <v>54</v>
      </c>
      <c r="S15" s="11">
        <f t="shared" si="1"/>
        <v>9</v>
      </c>
      <c r="T15" s="10">
        <f t="shared" si="2"/>
        <v>0</v>
      </c>
      <c r="U15" s="78">
        <v>0</v>
      </c>
      <c r="Y15" s="167"/>
    </row>
    <row r="16" spans="1:25" x14ac:dyDescent="0.2">
      <c r="A16" s="162"/>
      <c r="B16" s="135"/>
      <c r="C16" s="46"/>
      <c r="D16" s="46"/>
      <c r="E16" s="170"/>
      <c r="F16" s="172">
        <v>1</v>
      </c>
      <c r="G16" s="172"/>
      <c r="H16" s="172"/>
      <c r="I16" s="172"/>
      <c r="J16" s="172"/>
      <c r="K16" s="172"/>
      <c r="L16" s="172"/>
      <c r="M16" s="172"/>
      <c r="N16" s="172"/>
      <c r="O16" s="172"/>
      <c r="P16" s="172"/>
      <c r="Q16" s="172"/>
      <c r="R16" s="46"/>
      <c r="S16" s="49"/>
      <c r="T16" s="133"/>
      <c r="U16" s="138"/>
      <c r="Y16" s="167"/>
    </row>
    <row r="17" spans="1:25" x14ac:dyDescent="0.2">
      <c r="A17">
        <v>57630</v>
      </c>
      <c r="B17" s="134">
        <v>2011</v>
      </c>
      <c r="C17" s="114" t="s">
        <v>25</v>
      </c>
      <c r="D17" s="102">
        <v>38</v>
      </c>
      <c r="E17" s="146">
        <v>458</v>
      </c>
      <c r="F17" s="171">
        <v>1</v>
      </c>
      <c r="G17" s="171">
        <v>17</v>
      </c>
      <c r="H17" s="171">
        <v>21</v>
      </c>
      <c r="I17" s="171">
        <v>33</v>
      </c>
      <c r="J17" s="171">
        <v>34</v>
      </c>
      <c r="K17" s="171">
        <v>28</v>
      </c>
      <c r="L17" s="171">
        <v>29</v>
      </c>
      <c r="M17" s="145">
        <v>24</v>
      </c>
      <c r="N17" s="145">
        <v>60</v>
      </c>
      <c r="O17" s="145">
        <v>34</v>
      </c>
      <c r="P17" s="145">
        <v>76</v>
      </c>
      <c r="Q17" s="145">
        <v>21</v>
      </c>
      <c r="R17" s="3">
        <f>SUM(F17:Q17)</f>
        <v>378</v>
      </c>
      <c r="S17" s="11">
        <f>AVERAGE(F17:Q17)</f>
        <v>31.5</v>
      </c>
      <c r="T17" s="10">
        <f>U17/S17</f>
        <v>2.5396825396825395</v>
      </c>
      <c r="U17" s="78">
        <f>SUM(E17-R17)</f>
        <v>80</v>
      </c>
      <c r="V17" s="126" t="s">
        <v>35</v>
      </c>
      <c r="W17" s="126" t="s">
        <v>35</v>
      </c>
      <c r="Y17" s="167"/>
    </row>
    <row r="18" spans="1:25" x14ac:dyDescent="0.2">
      <c r="A18" s="2">
        <v>57632</v>
      </c>
      <c r="B18" s="134">
        <v>2011</v>
      </c>
      <c r="C18" s="2" t="s">
        <v>31</v>
      </c>
      <c r="D18" s="102">
        <v>31</v>
      </c>
      <c r="E18" s="146">
        <v>95</v>
      </c>
      <c r="F18" s="171">
        <v>1</v>
      </c>
      <c r="G18" s="171">
        <v>19</v>
      </c>
      <c r="H18" s="171">
        <v>18</v>
      </c>
      <c r="I18" s="171">
        <v>24</v>
      </c>
      <c r="J18" s="171">
        <v>33</v>
      </c>
      <c r="K18" s="181"/>
      <c r="L18" s="181"/>
      <c r="M18" s="181"/>
      <c r="N18" s="181"/>
      <c r="O18" s="181"/>
      <c r="P18" s="181"/>
      <c r="Q18" s="181"/>
      <c r="R18" s="3">
        <f t="shared" ref="R18:R36" si="3">SUM(F18:Q18)</f>
        <v>95</v>
      </c>
      <c r="S18" s="11">
        <f t="shared" ref="S18:S36" si="4">AVERAGE(F18:Q18)</f>
        <v>19</v>
      </c>
      <c r="T18" s="10">
        <f t="shared" ref="T18:T36" si="5">U18/S18</f>
        <v>0</v>
      </c>
      <c r="U18" s="78">
        <f t="shared" ref="U18:U31" si="6">SUM(E18-R18)</f>
        <v>0</v>
      </c>
      <c r="Y18" s="167"/>
    </row>
    <row r="19" spans="1:25" x14ac:dyDescent="0.2">
      <c r="A19">
        <v>22384</v>
      </c>
      <c r="B19" s="134">
        <v>2011</v>
      </c>
      <c r="C19" s="114" t="s">
        <v>26</v>
      </c>
      <c r="D19" s="102">
        <v>16</v>
      </c>
      <c r="E19" s="146">
        <v>241</v>
      </c>
      <c r="F19" s="180">
        <v>9</v>
      </c>
      <c r="G19" s="180">
        <v>1</v>
      </c>
      <c r="H19" s="180">
        <v>0</v>
      </c>
      <c r="I19" s="180">
        <v>0</v>
      </c>
      <c r="J19" s="180">
        <v>0</v>
      </c>
      <c r="K19" s="180">
        <v>7</v>
      </c>
      <c r="L19" s="180">
        <v>0</v>
      </c>
      <c r="M19" s="180">
        <v>0</v>
      </c>
      <c r="N19" s="145">
        <v>107</v>
      </c>
      <c r="O19" s="145">
        <v>36</v>
      </c>
      <c r="P19" s="145">
        <v>19</v>
      </c>
      <c r="Q19" s="145">
        <v>16</v>
      </c>
      <c r="R19" s="3">
        <f t="shared" si="3"/>
        <v>195</v>
      </c>
      <c r="S19" s="11">
        <f t="shared" si="4"/>
        <v>16.25</v>
      </c>
      <c r="T19" s="10">
        <f t="shared" si="5"/>
        <v>2.8307692307692309</v>
      </c>
      <c r="U19" s="78">
        <f t="shared" si="6"/>
        <v>46</v>
      </c>
      <c r="Y19" s="167"/>
    </row>
    <row r="20" spans="1:25" x14ac:dyDescent="0.2">
      <c r="A20">
        <v>22382</v>
      </c>
      <c r="B20" s="134">
        <v>2011</v>
      </c>
      <c r="C20" s="114" t="s">
        <v>23</v>
      </c>
      <c r="D20" s="102">
        <v>29</v>
      </c>
      <c r="E20" s="146">
        <v>179</v>
      </c>
      <c r="F20" s="180">
        <v>6</v>
      </c>
      <c r="G20" s="171">
        <v>19</v>
      </c>
      <c r="H20" s="171">
        <v>20</v>
      </c>
      <c r="I20" s="171">
        <v>25</v>
      </c>
      <c r="J20" s="171">
        <v>32</v>
      </c>
      <c r="K20" s="171">
        <v>16</v>
      </c>
      <c r="L20" s="171">
        <v>43</v>
      </c>
      <c r="M20" s="171">
        <v>18</v>
      </c>
      <c r="N20" s="183"/>
      <c r="O20" s="183"/>
      <c r="P20" s="183"/>
      <c r="Q20" s="183"/>
      <c r="R20" s="3">
        <f t="shared" si="3"/>
        <v>179</v>
      </c>
      <c r="S20" s="11">
        <f t="shared" si="4"/>
        <v>22.375</v>
      </c>
      <c r="T20" s="10">
        <f t="shared" si="5"/>
        <v>0</v>
      </c>
      <c r="U20" s="78">
        <f t="shared" si="6"/>
        <v>0</v>
      </c>
      <c r="Y20" s="167"/>
    </row>
    <row r="21" spans="1:25" x14ac:dyDescent="0.2">
      <c r="A21" s="2">
        <v>28361</v>
      </c>
      <c r="B21" s="134">
        <v>2011</v>
      </c>
      <c r="C21" s="2" t="s">
        <v>24</v>
      </c>
      <c r="D21" s="102">
        <v>25</v>
      </c>
      <c r="E21" s="146">
        <v>174</v>
      </c>
      <c r="F21" s="171">
        <v>11</v>
      </c>
      <c r="G21" s="171">
        <v>9</v>
      </c>
      <c r="H21" s="171">
        <v>18</v>
      </c>
      <c r="I21" s="171">
        <v>15</v>
      </c>
      <c r="J21" s="171">
        <v>25</v>
      </c>
      <c r="K21" s="171">
        <v>17</v>
      </c>
      <c r="L21" s="171">
        <v>24</v>
      </c>
      <c r="M21" s="171">
        <v>11</v>
      </c>
      <c r="N21" s="171">
        <v>21</v>
      </c>
      <c r="O21" s="171">
        <v>13</v>
      </c>
      <c r="P21" s="171">
        <v>10</v>
      </c>
      <c r="Q21" s="181"/>
      <c r="R21" s="3">
        <f t="shared" si="3"/>
        <v>174</v>
      </c>
      <c r="S21" s="11">
        <f t="shared" si="4"/>
        <v>15.818181818181818</v>
      </c>
      <c r="T21" s="10">
        <f t="shared" si="5"/>
        <v>0</v>
      </c>
      <c r="U21" s="78">
        <f t="shared" si="6"/>
        <v>0</v>
      </c>
      <c r="Y21" s="167"/>
    </row>
    <row r="22" spans="1:25" x14ac:dyDescent="0.2">
      <c r="A22" s="2">
        <v>27736</v>
      </c>
      <c r="B22" s="134">
        <v>2011</v>
      </c>
      <c r="C22" s="2" t="s">
        <v>56</v>
      </c>
      <c r="D22" s="102">
        <v>21</v>
      </c>
      <c r="E22" s="146">
        <v>153</v>
      </c>
      <c r="F22" s="171">
        <v>7</v>
      </c>
      <c r="G22" s="171">
        <v>13</v>
      </c>
      <c r="H22" s="171">
        <v>15</v>
      </c>
      <c r="I22" s="171">
        <v>17</v>
      </c>
      <c r="J22" s="171">
        <v>18</v>
      </c>
      <c r="K22" s="171">
        <v>15</v>
      </c>
      <c r="L22" s="171">
        <v>4</v>
      </c>
      <c r="M22" s="171">
        <v>8</v>
      </c>
      <c r="N22" s="171">
        <v>39</v>
      </c>
      <c r="O22" s="171">
        <v>17</v>
      </c>
      <c r="P22" s="181"/>
      <c r="Q22" s="181"/>
      <c r="R22" s="3">
        <f t="shared" si="3"/>
        <v>153</v>
      </c>
      <c r="S22" s="11">
        <f t="shared" si="4"/>
        <v>15.3</v>
      </c>
      <c r="T22" s="10">
        <f t="shared" si="5"/>
        <v>0</v>
      </c>
      <c r="U22" s="78">
        <f t="shared" si="6"/>
        <v>0</v>
      </c>
      <c r="Y22" s="167"/>
    </row>
    <row r="23" spans="1:25" x14ac:dyDescent="0.2">
      <c r="A23">
        <v>22921</v>
      </c>
      <c r="B23" s="134">
        <v>2011</v>
      </c>
      <c r="C23" s="2" t="s">
        <v>22</v>
      </c>
      <c r="D23" s="102">
        <v>37</v>
      </c>
      <c r="E23" s="146">
        <v>328</v>
      </c>
      <c r="F23" s="180">
        <v>1</v>
      </c>
      <c r="G23" s="180">
        <v>0</v>
      </c>
      <c r="H23" s="180">
        <v>9</v>
      </c>
      <c r="I23" s="180">
        <v>0</v>
      </c>
      <c r="J23" s="171">
        <v>25</v>
      </c>
      <c r="K23" s="171">
        <v>65</v>
      </c>
      <c r="L23" s="171">
        <v>37</v>
      </c>
      <c r="M23" s="171">
        <v>20</v>
      </c>
      <c r="N23" s="171">
        <v>38</v>
      </c>
      <c r="O23" s="171">
        <v>44</v>
      </c>
      <c r="P23" s="171">
        <v>26</v>
      </c>
      <c r="Q23" s="171">
        <v>29</v>
      </c>
      <c r="R23" s="3">
        <f t="shared" si="3"/>
        <v>294</v>
      </c>
      <c r="S23" s="11">
        <f t="shared" si="4"/>
        <v>24.5</v>
      </c>
      <c r="T23" s="10">
        <f t="shared" si="5"/>
        <v>1.3877551020408163</v>
      </c>
      <c r="U23" s="78">
        <f t="shared" si="6"/>
        <v>34</v>
      </c>
      <c r="Y23" s="167"/>
    </row>
    <row r="24" spans="1:25" ht="15" x14ac:dyDescent="0.25">
      <c r="A24" s="186">
        <v>26415</v>
      </c>
      <c r="B24" s="134">
        <v>2011</v>
      </c>
      <c r="C24" s="2" t="s">
        <v>57</v>
      </c>
      <c r="D24" s="102">
        <v>13</v>
      </c>
      <c r="E24" s="146">
        <v>263</v>
      </c>
      <c r="F24" s="171">
        <v>8</v>
      </c>
      <c r="G24" s="171">
        <v>9</v>
      </c>
      <c r="H24" s="171">
        <v>9</v>
      </c>
      <c r="I24" s="171">
        <v>33</v>
      </c>
      <c r="J24" s="171">
        <v>5</v>
      </c>
      <c r="K24" s="171">
        <v>0</v>
      </c>
      <c r="L24" s="171">
        <v>17</v>
      </c>
      <c r="M24" s="171">
        <v>9</v>
      </c>
      <c r="N24" s="171">
        <v>53</v>
      </c>
      <c r="O24" s="171">
        <v>0</v>
      </c>
      <c r="P24" s="171">
        <v>0</v>
      </c>
      <c r="Q24" s="171">
        <v>4</v>
      </c>
      <c r="R24" s="3">
        <f t="shared" si="3"/>
        <v>147</v>
      </c>
      <c r="S24" s="11">
        <f t="shared" si="4"/>
        <v>12.25</v>
      </c>
      <c r="T24" s="10">
        <f t="shared" si="5"/>
        <v>9.4693877551020407</v>
      </c>
      <c r="U24" s="78">
        <f t="shared" si="6"/>
        <v>116</v>
      </c>
      <c r="Y24" s="167"/>
    </row>
    <row r="25" spans="1:25" x14ac:dyDescent="0.2">
      <c r="A25" s="162"/>
      <c r="B25" s="135"/>
      <c r="C25" s="46"/>
      <c r="D25" s="49"/>
      <c r="E25" s="170"/>
      <c r="F25" s="170"/>
      <c r="G25" s="170"/>
      <c r="H25" s="170"/>
      <c r="I25" s="170"/>
      <c r="J25" s="170"/>
      <c r="K25" s="170"/>
      <c r="L25" s="170"/>
      <c r="M25" s="170"/>
      <c r="N25" s="170"/>
      <c r="O25" s="170"/>
      <c r="P25" s="170"/>
      <c r="Q25" s="170"/>
      <c r="R25" s="46"/>
      <c r="S25" s="49"/>
      <c r="T25" s="133"/>
      <c r="U25" s="81"/>
      <c r="Y25" s="167"/>
    </row>
    <row r="26" spans="1:25" x14ac:dyDescent="0.2">
      <c r="A26" s="2">
        <v>11198</v>
      </c>
      <c r="B26" s="134">
        <v>2012</v>
      </c>
      <c r="C26" s="2" t="s">
        <v>58</v>
      </c>
      <c r="D26" s="102"/>
      <c r="E26" s="146">
        <v>70</v>
      </c>
      <c r="F26" s="171">
        <v>14</v>
      </c>
      <c r="G26" s="171">
        <v>20</v>
      </c>
      <c r="H26" s="171">
        <v>19</v>
      </c>
      <c r="I26" s="171">
        <v>17</v>
      </c>
      <c r="J26" s="181"/>
      <c r="K26" s="181"/>
      <c r="L26" s="181"/>
      <c r="M26" s="181"/>
      <c r="N26" s="181"/>
      <c r="O26" s="181"/>
      <c r="P26" s="181"/>
      <c r="Q26" s="181"/>
      <c r="R26" s="3">
        <f t="shared" si="3"/>
        <v>70</v>
      </c>
      <c r="S26" s="11">
        <f t="shared" si="4"/>
        <v>17.5</v>
      </c>
      <c r="T26" s="10">
        <f t="shared" si="5"/>
        <v>0</v>
      </c>
      <c r="U26" s="78">
        <f t="shared" si="6"/>
        <v>0</v>
      </c>
      <c r="Y26" s="167"/>
    </row>
    <row r="27" spans="1:25" x14ac:dyDescent="0.2">
      <c r="A27" s="2">
        <v>57632</v>
      </c>
      <c r="B27" s="134">
        <v>2012</v>
      </c>
      <c r="C27" s="114" t="s">
        <v>31</v>
      </c>
      <c r="D27" s="102"/>
      <c r="E27" s="146">
        <v>275</v>
      </c>
      <c r="F27" s="180">
        <v>20</v>
      </c>
      <c r="G27" s="180">
        <v>0</v>
      </c>
      <c r="H27" s="180">
        <v>2</v>
      </c>
      <c r="I27" s="180">
        <v>0</v>
      </c>
      <c r="J27" s="171">
        <v>16</v>
      </c>
      <c r="K27" s="171">
        <v>43</v>
      </c>
      <c r="L27" s="171">
        <v>39</v>
      </c>
      <c r="M27" s="171">
        <v>38</v>
      </c>
      <c r="N27" s="171">
        <v>87</v>
      </c>
      <c r="O27" s="171">
        <v>30</v>
      </c>
      <c r="P27" s="181"/>
      <c r="Q27" s="181"/>
      <c r="R27" s="3">
        <f t="shared" si="3"/>
        <v>275</v>
      </c>
      <c r="S27" s="11">
        <f t="shared" si="4"/>
        <v>27.5</v>
      </c>
      <c r="T27" s="10">
        <f t="shared" si="5"/>
        <v>0</v>
      </c>
      <c r="U27" s="78">
        <f t="shared" si="6"/>
        <v>0</v>
      </c>
      <c r="Y27" s="167"/>
    </row>
    <row r="28" spans="1:25" x14ac:dyDescent="0.2">
      <c r="A28">
        <v>57630</v>
      </c>
      <c r="B28" s="134">
        <v>2012</v>
      </c>
      <c r="C28" s="114" t="s">
        <v>25</v>
      </c>
      <c r="D28" s="102"/>
      <c r="E28" s="146">
        <v>334</v>
      </c>
      <c r="F28" s="180">
        <v>28</v>
      </c>
      <c r="G28" s="180">
        <v>2</v>
      </c>
      <c r="H28" s="180">
        <v>0</v>
      </c>
      <c r="I28" s="180">
        <v>8</v>
      </c>
      <c r="J28" s="180">
        <v>0</v>
      </c>
      <c r="K28" s="180">
        <v>8</v>
      </c>
      <c r="L28" s="180">
        <v>10</v>
      </c>
      <c r="M28" s="180">
        <v>3</v>
      </c>
      <c r="N28" s="180">
        <v>22</v>
      </c>
      <c r="O28" s="180">
        <v>10</v>
      </c>
      <c r="P28" s="180">
        <v>0</v>
      </c>
      <c r="Q28" s="180">
        <v>23</v>
      </c>
      <c r="R28" s="3">
        <f t="shared" si="3"/>
        <v>114</v>
      </c>
      <c r="S28" s="11">
        <f t="shared" si="4"/>
        <v>9.5</v>
      </c>
      <c r="T28" s="10">
        <f t="shared" si="5"/>
        <v>23.157894736842106</v>
      </c>
      <c r="U28" s="78">
        <f t="shared" si="6"/>
        <v>220</v>
      </c>
      <c r="V28" s="126" t="s">
        <v>35</v>
      </c>
      <c r="W28" s="126" t="s">
        <v>35</v>
      </c>
      <c r="Y28" s="167"/>
    </row>
    <row r="29" spans="1:25" x14ac:dyDescent="0.2">
      <c r="A29">
        <v>22384</v>
      </c>
      <c r="B29" s="134">
        <v>2012</v>
      </c>
      <c r="C29" s="114" t="s">
        <v>26</v>
      </c>
      <c r="D29" s="102"/>
      <c r="E29" s="146">
        <v>395</v>
      </c>
      <c r="F29" s="180">
        <v>22</v>
      </c>
      <c r="G29" s="180">
        <v>0</v>
      </c>
      <c r="H29" s="180">
        <v>0</v>
      </c>
      <c r="I29" s="180">
        <v>0</v>
      </c>
      <c r="J29" s="180">
        <v>0</v>
      </c>
      <c r="K29" s="180">
        <v>0</v>
      </c>
      <c r="L29" s="180">
        <v>0</v>
      </c>
      <c r="M29" s="180">
        <v>0</v>
      </c>
      <c r="N29" s="180">
        <v>26</v>
      </c>
      <c r="O29" s="180">
        <v>0</v>
      </c>
      <c r="P29" s="180">
        <v>30</v>
      </c>
      <c r="Q29" s="180">
        <v>2</v>
      </c>
      <c r="R29" s="3">
        <f t="shared" si="3"/>
        <v>80</v>
      </c>
      <c r="S29" s="11">
        <f t="shared" si="4"/>
        <v>6.666666666666667</v>
      </c>
      <c r="T29" s="10">
        <f t="shared" si="5"/>
        <v>47.25</v>
      </c>
      <c r="U29" s="78">
        <f t="shared" si="6"/>
        <v>315</v>
      </c>
      <c r="Y29" s="167"/>
    </row>
    <row r="30" spans="1:25" x14ac:dyDescent="0.2">
      <c r="A30">
        <v>22382</v>
      </c>
      <c r="B30" s="134">
        <v>2012</v>
      </c>
      <c r="C30" s="114" t="s">
        <v>23</v>
      </c>
      <c r="D30" s="102"/>
      <c r="E30" s="146">
        <v>409</v>
      </c>
      <c r="F30" s="180">
        <v>23</v>
      </c>
      <c r="G30" s="180">
        <v>1</v>
      </c>
      <c r="H30" s="180">
        <v>2</v>
      </c>
      <c r="I30" s="180">
        <v>0</v>
      </c>
      <c r="J30" s="180">
        <v>0</v>
      </c>
      <c r="K30" s="180">
        <v>4</v>
      </c>
      <c r="L30" s="180">
        <v>0</v>
      </c>
      <c r="M30" s="180">
        <v>4</v>
      </c>
      <c r="N30" s="180">
        <v>0</v>
      </c>
      <c r="O30" s="145">
        <v>39</v>
      </c>
      <c r="P30" s="145">
        <v>32</v>
      </c>
      <c r="Q30" s="145">
        <v>19</v>
      </c>
      <c r="R30" s="3">
        <f t="shared" si="3"/>
        <v>124</v>
      </c>
      <c r="S30" s="11">
        <f t="shared" si="4"/>
        <v>10.333333333333334</v>
      </c>
      <c r="T30" s="10">
        <f t="shared" si="5"/>
        <v>27.58064516129032</v>
      </c>
      <c r="U30" s="78">
        <f t="shared" si="6"/>
        <v>285</v>
      </c>
      <c r="Y30" s="167"/>
    </row>
    <row r="31" spans="1:25" x14ac:dyDescent="0.2">
      <c r="A31">
        <v>27736</v>
      </c>
      <c r="B31" s="134">
        <v>2012</v>
      </c>
      <c r="C31" s="114" t="s">
        <v>56</v>
      </c>
      <c r="D31" s="102"/>
      <c r="E31" s="146">
        <v>292</v>
      </c>
      <c r="F31" s="180">
        <v>1</v>
      </c>
      <c r="G31" s="180">
        <v>6</v>
      </c>
      <c r="H31" s="180">
        <v>0</v>
      </c>
      <c r="I31" s="180">
        <v>0</v>
      </c>
      <c r="J31" s="180">
        <v>0</v>
      </c>
      <c r="K31" s="180">
        <v>0</v>
      </c>
      <c r="L31" s="180">
        <v>5</v>
      </c>
      <c r="M31" s="180">
        <v>4</v>
      </c>
      <c r="N31" s="180">
        <v>8</v>
      </c>
      <c r="O31" s="180">
        <v>8</v>
      </c>
      <c r="P31" s="171">
        <v>19</v>
      </c>
      <c r="Q31" s="171">
        <v>18</v>
      </c>
      <c r="R31" s="3">
        <f>SUM(F31:Q31)</f>
        <v>69</v>
      </c>
      <c r="S31" s="11">
        <f t="shared" si="4"/>
        <v>5.75</v>
      </c>
      <c r="T31" s="10">
        <f t="shared" si="5"/>
        <v>38.782608695652172</v>
      </c>
      <c r="U31" s="78">
        <f t="shared" si="6"/>
        <v>223</v>
      </c>
      <c r="Y31" s="167"/>
    </row>
    <row r="32" spans="1:25" x14ac:dyDescent="0.2">
      <c r="A32">
        <v>28361</v>
      </c>
      <c r="B32" s="134">
        <v>2012</v>
      </c>
      <c r="C32" s="114" t="s">
        <v>24</v>
      </c>
      <c r="D32" s="102"/>
      <c r="E32" s="146">
        <v>497</v>
      </c>
      <c r="F32" s="180">
        <v>28</v>
      </c>
      <c r="G32" s="180">
        <v>1</v>
      </c>
      <c r="H32" s="180">
        <v>0</v>
      </c>
      <c r="I32" s="180">
        <v>0</v>
      </c>
      <c r="J32" s="180">
        <v>0</v>
      </c>
      <c r="K32" s="180">
        <v>10</v>
      </c>
      <c r="L32" s="180">
        <v>7</v>
      </c>
      <c r="M32" s="180">
        <v>0</v>
      </c>
      <c r="N32" s="180">
        <v>0</v>
      </c>
      <c r="O32" s="180">
        <v>17</v>
      </c>
      <c r="P32" s="145">
        <v>9</v>
      </c>
      <c r="Q32" s="145">
        <v>19</v>
      </c>
      <c r="R32" s="3">
        <f>SUM(F32:Q32)</f>
        <v>91</v>
      </c>
      <c r="S32" s="11">
        <f>AVERAGE(F32:Q32)</f>
        <v>7.583333333333333</v>
      </c>
      <c r="T32" s="10">
        <f>U32/S32</f>
        <v>53.53846153846154</v>
      </c>
      <c r="U32" s="78">
        <f>SUM(E32-R32)</f>
        <v>406</v>
      </c>
      <c r="Y32" s="167"/>
    </row>
    <row r="33" spans="1:25" x14ac:dyDescent="0.2">
      <c r="A33">
        <v>22921</v>
      </c>
      <c r="B33" s="134">
        <v>2012</v>
      </c>
      <c r="C33" s="114" t="s">
        <v>22</v>
      </c>
      <c r="D33" s="102"/>
      <c r="E33" s="146">
        <v>579</v>
      </c>
      <c r="F33" s="180">
        <v>1</v>
      </c>
      <c r="G33" s="180">
        <v>4</v>
      </c>
      <c r="H33" s="180">
        <v>0</v>
      </c>
      <c r="I33" s="180">
        <v>0</v>
      </c>
      <c r="J33" s="180">
        <v>0</v>
      </c>
      <c r="K33" s="180">
        <v>23</v>
      </c>
      <c r="L33" s="180">
        <v>15</v>
      </c>
      <c r="M33" s="180">
        <v>6</v>
      </c>
      <c r="N33" s="180">
        <v>22</v>
      </c>
      <c r="O33" s="180">
        <v>55</v>
      </c>
      <c r="P33" s="171">
        <v>8</v>
      </c>
      <c r="Q33" s="171">
        <v>20</v>
      </c>
      <c r="R33" s="3">
        <f>SUM(F33:Q33)</f>
        <v>154</v>
      </c>
      <c r="S33" s="11">
        <f>AVERAGE(F33:Q33)</f>
        <v>12.833333333333334</v>
      </c>
      <c r="T33" s="10">
        <f>U33/S33</f>
        <v>33.116883116883116</v>
      </c>
      <c r="U33" s="78">
        <f>SUM(E33-R33)</f>
        <v>425</v>
      </c>
      <c r="Y33" s="167"/>
    </row>
    <row r="34" spans="1:25" x14ac:dyDescent="0.2">
      <c r="A34" s="2">
        <v>34641</v>
      </c>
      <c r="B34" s="134">
        <v>2012</v>
      </c>
      <c r="C34" s="114" t="s">
        <v>21</v>
      </c>
      <c r="D34" s="102"/>
      <c r="E34" s="146">
        <v>294</v>
      </c>
      <c r="F34" s="180">
        <v>4</v>
      </c>
      <c r="G34" s="180">
        <v>0</v>
      </c>
      <c r="H34" s="180">
        <v>10</v>
      </c>
      <c r="I34" s="180">
        <v>0</v>
      </c>
      <c r="J34" s="180">
        <v>0</v>
      </c>
      <c r="K34" s="180">
        <v>7</v>
      </c>
      <c r="L34" s="180">
        <v>17</v>
      </c>
      <c r="M34" s="180">
        <v>0</v>
      </c>
      <c r="N34" s="180">
        <v>6</v>
      </c>
      <c r="O34" s="180">
        <v>0</v>
      </c>
      <c r="P34" s="180">
        <v>11</v>
      </c>
      <c r="Q34" s="145">
        <v>33</v>
      </c>
      <c r="R34" s="3">
        <f>SUM(F34:Q34)</f>
        <v>88</v>
      </c>
      <c r="S34" s="11">
        <f>AVERAGE(F34:Q34)</f>
        <v>7.333333333333333</v>
      </c>
      <c r="T34" s="10">
        <f>U34/S34</f>
        <v>28.090909090909093</v>
      </c>
      <c r="U34" s="78">
        <f>SUM(E34-R34)</f>
        <v>206</v>
      </c>
      <c r="Y34" s="167"/>
    </row>
    <row r="35" spans="1:25" x14ac:dyDescent="0.2">
      <c r="A35" s="2">
        <v>30306</v>
      </c>
      <c r="B35" s="134">
        <v>2012</v>
      </c>
      <c r="C35" s="114" t="s">
        <v>84</v>
      </c>
      <c r="D35" s="102"/>
      <c r="E35" s="146">
        <v>41</v>
      </c>
      <c r="F35" s="171">
        <v>11</v>
      </c>
      <c r="G35" s="171">
        <v>9</v>
      </c>
      <c r="H35" s="171">
        <v>9</v>
      </c>
      <c r="I35" s="171">
        <v>5</v>
      </c>
      <c r="J35" s="171">
        <v>7</v>
      </c>
      <c r="K35" s="181"/>
      <c r="L35" s="181"/>
      <c r="M35" s="181"/>
      <c r="N35" s="181"/>
      <c r="O35" s="181"/>
      <c r="P35" s="181"/>
      <c r="Q35" s="181"/>
      <c r="R35" s="3">
        <f>SUM(F35:Q35)</f>
        <v>41</v>
      </c>
      <c r="S35" s="11">
        <f>AVERAGE(F35:Q35)</f>
        <v>8.1999999999999993</v>
      </c>
      <c r="T35" s="10">
        <f>U35/S35</f>
        <v>0</v>
      </c>
      <c r="U35" s="78">
        <f>SUM(E35-R35)</f>
        <v>0</v>
      </c>
      <c r="Y35" s="167"/>
    </row>
    <row r="36" spans="1:25" x14ac:dyDescent="0.2">
      <c r="A36" s="2"/>
      <c r="B36" s="134"/>
      <c r="C36" s="2" t="s">
        <v>87</v>
      </c>
      <c r="D36" s="102"/>
      <c r="E36" s="146">
        <v>15</v>
      </c>
      <c r="F36" s="145">
        <v>11</v>
      </c>
      <c r="G36" s="145">
        <v>1</v>
      </c>
      <c r="H36" s="145">
        <v>1</v>
      </c>
      <c r="I36" s="145">
        <v>0</v>
      </c>
      <c r="J36" s="145">
        <v>0</v>
      </c>
      <c r="K36" s="181"/>
      <c r="L36" s="181"/>
      <c r="M36" s="181"/>
      <c r="N36" s="181"/>
      <c r="O36" s="181"/>
      <c r="P36" s="181"/>
      <c r="Q36" s="181"/>
      <c r="R36" s="3">
        <f t="shared" si="3"/>
        <v>13</v>
      </c>
      <c r="S36" s="11">
        <f t="shared" si="4"/>
        <v>2.6</v>
      </c>
      <c r="T36" s="10">
        <f t="shared" si="5"/>
        <v>0</v>
      </c>
      <c r="U36" s="182">
        <v>0</v>
      </c>
      <c r="Y36" s="167"/>
    </row>
    <row r="37" spans="1:25" x14ac:dyDescent="0.2">
      <c r="A37" s="162"/>
      <c r="B37" s="162"/>
      <c r="C37" s="162"/>
      <c r="D37" s="162"/>
      <c r="E37" s="162"/>
      <c r="F37" s="162"/>
      <c r="G37" s="162"/>
      <c r="H37" s="162"/>
      <c r="I37" s="162"/>
      <c r="J37" s="162"/>
      <c r="K37" s="162"/>
      <c r="L37" s="162"/>
      <c r="M37" s="162"/>
      <c r="N37" s="162"/>
      <c r="O37" s="162"/>
      <c r="P37" s="162"/>
      <c r="Q37" s="162"/>
      <c r="R37" s="162"/>
      <c r="S37" s="162"/>
      <c r="T37" s="162"/>
      <c r="U37" s="162"/>
      <c r="Y37" s="167"/>
    </row>
    <row r="38" spans="1:25" x14ac:dyDescent="0.2">
      <c r="A38" s="2">
        <v>11198</v>
      </c>
      <c r="B38" s="134">
        <v>2013</v>
      </c>
      <c r="C38" s="2" t="s">
        <v>46</v>
      </c>
      <c r="D38" s="102"/>
      <c r="E38" s="146">
        <v>342</v>
      </c>
      <c r="F38" s="180"/>
      <c r="G38" s="180"/>
      <c r="H38" s="180">
        <v>1</v>
      </c>
      <c r="I38" s="171">
        <v>25</v>
      </c>
      <c r="J38" s="171">
        <v>56</v>
      </c>
      <c r="K38" s="171">
        <v>35</v>
      </c>
      <c r="L38" s="171">
        <v>48</v>
      </c>
      <c r="M38" s="171">
        <v>19</v>
      </c>
      <c r="N38" s="171">
        <v>40</v>
      </c>
      <c r="O38" s="171">
        <v>31</v>
      </c>
      <c r="P38" s="171">
        <v>23</v>
      </c>
      <c r="Q38" s="171">
        <v>16</v>
      </c>
      <c r="R38" s="3">
        <f t="shared" ref="R38:R45" si="7">SUM(F38:Q38)</f>
        <v>294</v>
      </c>
      <c r="S38" s="11">
        <f t="shared" ref="S38:S45" si="8">AVERAGE(F38:Q38)</f>
        <v>29.4</v>
      </c>
      <c r="T38" s="10">
        <f t="shared" ref="T38:T45" si="9">U38/S38</f>
        <v>1.6326530612244898</v>
      </c>
      <c r="U38" s="78">
        <f t="shared" ref="U38:U45" si="10">SUM(E38-R38)</f>
        <v>48</v>
      </c>
      <c r="Y38" s="167"/>
    </row>
    <row r="39" spans="1:25" x14ac:dyDescent="0.2">
      <c r="A39" s="2">
        <v>57631</v>
      </c>
      <c r="B39" s="134">
        <v>2013</v>
      </c>
      <c r="C39" s="2" t="s">
        <v>33</v>
      </c>
      <c r="D39" s="102"/>
      <c r="E39" s="146">
        <v>358</v>
      </c>
      <c r="F39" s="180"/>
      <c r="G39" s="180"/>
      <c r="H39" s="180">
        <v>1</v>
      </c>
      <c r="I39" s="171">
        <v>60</v>
      </c>
      <c r="J39" s="171">
        <v>68</v>
      </c>
      <c r="K39" s="171">
        <v>35</v>
      </c>
      <c r="L39" s="171">
        <v>48</v>
      </c>
      <c r="M39" s="171">
        <v>24</v>
      </c>
      <c r="N39" s="171">
        <v>38</v>
      </c>
      <c r="O39" s="171">
        <v>35</v>
      </c>
      <c r="P39" s="171">
        <v>23</v>
      </c>
      <c r="Q39" s="171">
        <v>17</v>
      </c>
      <c r="R39" s="3">
        <f t="shared" si="7"/>
        <v>349</v>
      </c>
      <c r="S39" s="11">
        <f t="shared" si="8"/>
        <v>34.9</v>
      </c>
      <c r="T39" s="10">
        <f t="shared" si="9"/>
        <v>0.25787965616045844</v>
      </c>
      <c r="U39" s="78">
        <f t="shared" si="10"/>
        <v>9</v>
      </c>
      <c r="Y39" s="167"/>
    </row>
    <row r="40" spans="1:25" x14ac:dyDescent="0.2">
      <c r="A40" s="2">
        <v>57632</v>
      </c>
      <c r="B40" s="134">
        <v>2013</v>
      </c>
      <c r="C40" s="2" t="s">
        <v>31</v>
      </c>
      <c r="D40" s="102"/>
      <c r="E40" s="146">
        <v>589</v>
      </c>
      <c r="F40" s="180"/>
      <c r="G40" s="180"/>
      <c r="H40" s="180"/>
      <c r="I40" s="180"/>
      <c r="J40" s="180">
        <v>1</v>
      </c>
      <c r="K40" s="180"/>
      <c r="L40" s="180">
        <v>22</v>
      </c>
      <c r="M40" s="180">
        <v>9</v>
      </c>
      <c r="N40" s="180">
        <v>9</v>
      </c>
      <c r="O40" s="180">
        <v>30</v>
      </c>
      <c r="P40" s="171">
        <v>76</v>
      </c>
      <c r="Q40" s="171">
        <v>19</v>
      </c>
      <c r="R40" s="3">
        <f t="shared" si="7"/>
        <v>166</v>
      </c>
      <c r="S40" s="11">
        <f t="shared" si="8"/>
        <v>23.714285714285715</v>
      </c>
      <c r="T40" s="10">
        <f t="shared" si="9"/>
        <v>17.837349397590362</v>
      </c>
      <c r="U40" s="78">
        <f t="shared" si="10"/>
        <v>423</v>
      </c>
      <c r="Y40" s="167"/>
    </row>
    <row r="41" spans="1:25" x14ac:dyDescent="0.2">
      <c r="A41" s="2">
        <v>57630</v>
      </c>
      <c r="B41" s="134">
        <v>2013</v>
      </c>
      <c r="C41" s="2" t="s">
        <v>25</v>
      </c>
      <c r="D41" s="102"/>
      <c r="E41" s="146">
        <v>608</v>
      </c>
      <c r="F41" s="180"/>
      <c r="G41" s="180"/>
      <c r="H41" s="180"/>
      <c r="I41" s="180"/>
      <c r="J41" s="180"/>
      <c r="K41" s="180">
        <v>1</v>
      </c>
      <c r="L41" s="180">
        <v>5</v>
      </c>
      <c r="M41" s="180">
        <v>0</v>
      </c>
      <c r="N41" s="180">
        <v>22</v>
      </c>
      <c r="O41" s="180">
        <v>2</v>
      </c>
      <c r="P41" s="180">
        <v>12</v>
      </c>
      <c r="Q41" s="180">
        <v>10</v>
      </c>
      <c r="R41" s="3">
        <f t="shared" si="7"/>
        <v>52</v>
      </c>
      <c r="S41" s="11">
        <f t="shared" si="8"/>
        <v>7.4285714285714288</v>
      </c>
      <c r="T41" s="10">
        <f t="shared" si="9"/>
        <v>74.84615384615384</v>
      </c>
      <c r="U41" s="78">
        <f t="shared" si="10"/>
        <v>556</v>
      </c>
      <c r="Y41" s="167"/>
    </row>
    <row r="42" spans="1:25" x14ac:dyDescent="0.2">
      <c r="A42" s="2">
        <v>22382</v>
      </c>
      <c r="B42" s="134">
        <v>2013</v>
      </c>
      <c r="C42" s="2" t="s">
        <v>23</v>
      </c>
      <c r="D42" s="102"/>
      <c r="E42" s="146">
        <v>343</v>
      </c>
      <c r="F42" s="180"/>
      <c r="G42" s="180"/>
      <c r="H42" s="180"/>
      <c r="I42" s="180"/>
      <c r="J42" s="180"/>
      <c r="K42" s="180"/>
      <c r="L42" s="180">
        <v>1</v>
      </c>
      <c r="M42" s="180">
        <v>0</v>
      </c>
      <c r="N42" s="180">
        <v>9</v>
      </c>
      <c r="O42" s="180">
        <v>9</v>
      </c>
      <c r="P42" s="180">
        <v>12</v>
      </c>
      <c r="Q42" s="180">
        <v>9</v>
      </c>
      <c r="R42" s="3">
        <f t="shared" si="7"/>
        <v>40</v>
      </c>
      <c r="S42" s="11">
        <f t="shared" si="8"/>
        <v>6.666666666666667</v>
      </c>
      <c r="T42" s="10">
        <f t="shared" si="9"/>
        <v>45.449999999999996</v>
      </c>
      <c r="U42" s="78">
        <f t="shared" si="10"/>
        <v>303</v>
      </c>
      <c r="Y42" s="167"/>
    </row>
    <row r="43" spans="1:25" x14ac:dyDescent="0.2">
      <c r="A43" s="2"/>
      <c r="B43" s="134">
        <v>2013</v>
      </c>
      <c r="C43" s="2" t="s">
        <v>93</v>
      </c>
      <c r="D43" s="102"/>
      <c r="E43" s="146">
        <v>280</v>
      </c>
      <c r="F43" s="180"/>
      <c r="G43" s="180"/>
      <c r="H43" s="180"/>
      <c r="I43" s="180"/>
      <c r="J43" s="180"/>
      <c r="K43" s="180"/>
      <c r="L43" s="180"/>
      <c r="M43" s="180">
        <v>1</v>
      </c>
      <c r="N43" s="180">
        <v>24</v>
      </c>
      <c r="O43" s="180">
        <v>13</v>
      </c>
      <c r="P43" s="180">
        <v>11</v>
      </c>
      <c r="Q43" s="180">
        <v>29</v>
      </c>
      <c r="R43" s="3">
        <f t="shared" si="7"/>
        <v>78</v>
      </c>
      <c r="S43" s="11">
        <f t="shared" si="8"/>
        <v>15.6</v>
      </c>
      <c r="T43" s="10">
        <f t="shared" si="9"/>
        <v>12.948717948717949</v>
      </c>
      <c r="U43" s="78">
        <f t="shared" si="10"/>
        <v>202</v>
      </c>
      <c r="Y43" s="167"/>
    </row>
    <row r="44" spans="1:25" x14ac:dyDescent="0.2">
      <c r="A44" s="2">
        <v>22384</v>
      </c>
      <c r="B44" s="134">
        <v>2013</v>
      </c>
      <c r="C44" s="2" t="s">
        <v>26</v>
      </c>
      <c r="D44" s="102"/>
      <c r="E44" s="146">
        <v>290</v>
      </c>
      <c r="F44" s="180"/>
      <c r="G44" s="180"/>
      <c r="H44" s="180"/>
      <c r="I44" s="180"/>
      <c r="J44" s="180"/>
      <c r="K44" s="180"/>
      <c r="L44" s="180">
        <v>1</v>
      </c>
      <c r="M44" s="180">
        <v>0</v>
      </c>
      <c r="N44" s="180">
        <v>9</v>
      </c>
      <c r="O44" s="180">
        <v>11</v>
      </c>
      <c r="P44" s="180">
        <v>13</v>
      </c>
      <c r="Q44" s="180">
        <v>0</v>
      </c>
      <c r="R44" s="3">
        <f t="shared" si="7"/>
        <v>34</v>
      </c>
      <c r="S44" s="11">
        <f t="shared" si="8"/>
        <v>5.666666666666667</v>
      </c>
      <c r="T44" s="10">
        <f t="shared" si="9"/>
        <v>45.17647058823529</v>
      </c>
      <c r="U44" s="78">
        <f t="shared" si="10"/>
        <v>256</v>
      </c>
      <c r="Y44" s="167"/>
    </row>
    <row r="45" spans="1:25" x14ac:dyDescent="0.2">
      <c r="A45" s="2">
        <v>27736</v>
      </c>
      <c r="B45" s="134">
        <v>2013</v>
      </c>
      <c r="C45" s="2" t="s">
        <v>56</v>
      </c>
      <c r="D45" s="102"/>
      <c r="E45" s="146">
        <v>395</v>
      </c>
      <c r="F45" s="180"/>
      <c r="G45" s="180"/>
      <c r="H45" s="180"/>
      <c r="I45" s="180"/>
      <c r="J45" s="180"/>
      <c r="K45" s="180"/>
      <c r="L45" s="180"/>
      <c r="M45" s="180">
        <v>1</v>
      </c>
      <c r="N45" s="180">
        <v>19</v>
      </c>
      <c r="O45" s="180">
        <v>9</v>
      </c>
      <c r="P45" s="180">
        <v>2</v>
      </c>
      <c r="Q45" s="180">
        <v>13</v>
      </c>
      <c r="R45" s="3">
        <f t="shared" si="7"/>
        <v>44</v>
      </c>
      <c r="S45" s="11">
        <f t="shared" si="8"/>
        <v>8.8000000000000007</v>
      </c>
      <c r="T45" s="10">
        <f t="shared" si="9"/>
        <v>39.886363636363633</v>
      </c>
      <c r="U45" s="78">
        <f t="shared" si="10"/>
        <v>351</v>
      </c>
      <c r="Y45" s="167"/>
    </row>
    <row r="46" spans="1:25" x14ac:dyDescent="0.2">
      <c r="A46" s="2">
        <v>28361</v>
      </c>
      <c r="B46" s="134">
        <v>2013</v>
      </c>
      <c r="C46" s="2" t="s">
        <v>24</v>
      </c>
      <c r="D46" s="102"/>
      <c r="E46" s="146">
        <v>282</v>
      </c>
      <c r="F46" s="180"/>
      <c r="G46" s="180"/>
      <c r="H46" s="180"/>
      <c r="I46" s="180"/>
      <c r="J46" s="180"/>
      <c r="K46" s="180"/>
      <c r="L46" s="180"/>
      <c r="M46" s="180"/>
      <c r="N46" s="180"/>
      <c r="O46" s="180"/>
      <c r="P46" s="180"/>
      <c r="Q46" s="180">
        <v>1</v>
      </c>
      <c r="R46" s="3">
        <f>SUM(F46:Q46)</f>
        <v>1</v>
      </c>
      <c r="S46" s="11">
        <f>AVERAGE(F46:Q46)</f>
        <v>1</v>
      </c>
      <c r="T46" s="10">
        <f>U46/S46</f>
        <v>281</v>
      </c>
      <c r="U46" s="78">
        <f>SUM(E46-R46)</f>
        <v>281</v>
      </c>
      <c r="Y46" s="167"/>
    </row>
    <row r="47" spans="1:25" x14ac:dyDescent="0.2">
      <c r="A47" s="2">
        <v>22921</v>
      </c>
      <c r="B47" s="134">
        <v>2013</v>
      </c>
      <c r="C47" s="2" t="s">
        <v>22</v>
      </c>
      <c r="D47" s="102"/>
      <c r="E47" s="146">
        <v>717</v>
      </c>
      <c r="F47" s="180"/>
      <c r="G47" s="180"/>
      <c r="H47" s="180"/>
      <c r="I47" s="180"/>
      <c r="J47" s="180"/>
      <c r="K47" s="180"/>
      <c r="L47" s="180"/>
      <c r="M47" s="180"/>
      <c r="N47" s="180"/>
      <c r="O47" s="180"/>
      <c r="P47" s="180"/>
      <c r="Q47" s="180">
        <v>1</v>
      </c>
      <c r="R47" s="3">
        <f>SUM(F47:Q47)</f>
        <v>1</v>
      </c>
      <c r="S47" s="11">
        <f>AVERAGE(F47:Q47)</f>
        <v>1</v>
      </c>
      <c r="T47" s="10">
        <f>U47/S47</f>
        <v>716</v>
      </c>
      <c r="U47" s="78">
        <f>SUM(E47-R47)</f>
        <v>716</v>
      </c>
      <c r="Y47" s="167"/>
    </row>
    <row r="48" spans="1:25" x14ac:dyDescent="0.2">
      <c r="A48" s="2">
        <v>34641</v>
      </c>
      <c r="B48" s="134">
        <v>2013</v>
      </c>
      <c r="C48" s="2" t="s">
        <v>52</v>
      </c>
      <c r="D48" s="102"/>
      <c r="E48" s="146">
        <v>427</v>
      </c>
      <c r="F48" s="180"/>
      <c r="G48" s="180"/>
      <c r="H48" s="180"/>
      <c r="I48" s="180"/>
      <c r="J48" s="180"/>
      <c r="K48" s="180"/>
      <c r="L48" s="180"/>
      <c r="M48" s="180"/>
      <c r="N48" s="180"/>
      <c r="O48" s="180"/>
      <c r="P48" s="180"/>
      <c r="Q48" s="180">
        <v>1</v>
      </c>
      <c r="R48" s="3">
        <f>SUM(F48:Q48)</f>
        <v>1</v>
      </c>
      <c r="S48" s="11">
        <f>AVERAGE(F48:Q48)</f>
        <v>1</v>
      </c>
      <c r="T48" s="10">
        <f>U48/S48</f>
        <v>426</v>
      </c>
      <c r="U48" s="78">
        <f>SUM(E48-R48)</f>
        <v>426</v>
      </c>
      <c r="Y48" s="167"/>
    </row>
    <row r="49" spans="1:25" x14ac:dyDescent="0.2">
      <c r="A49" s="2"/>
      <c r="B49" s="134">
        <v>2013</v>
      </c>
      <c r="C49" s="2" t="s">
        <v>94</v>
      </c>
      <c r="D49" s="102"/>
      <c r="E49" s="146">
        <v>134</v>
      </c>
      <c r="F49" s="180"/>
      <c r="G49" s="180"/>
      <c r="H49" s="180"/>
      <c r="I49" s="180"/>
      <c r="J49" s="180"/>
      <c r="K49" s="180"/>
      <c r="L49" s="180"/>
      <c r="M49" s="180"/>
      <c r="N49" s="180"/>
      <c r="O49" s="180"/>
      <c r="P49" s="180"/>
      <c r="Q49" s="180">
        <v>1</v>
      </c>
      <c r="R49" s="3">
        <f>SUM(F49:Q49)</f>
        <v>1</v>
      </c>
      <c r="S49" s="11">
        <f>AVERAGE(F49:Q49)</f>
        <v>1</v>
      </c>
      <c r="T49" s="10">
        <f>U49/S49</f>
        <v>133</v>
      </c>
      <c r="U49" s="78">
        <f>SUM(E49-R49)</f>
        <v>133</v>
      </c>
      <c r="Y49" s="167"/>
    </row>
    <row r="50" spans="1:25" x14ac:dyDescent="0.2">
      <c r="A50" s="2"/>
      <c r="B50" s="134">
        <v>2013</v>
      </c>
      <c r="C50" s="2" t="s">
        <v>95</v>
      </c>
      <c r="D50" s="102"/>
      <c r="E50" s="146">
        <v>69</v>
      </c>
      <c r="F50" s="180"/>
      <c r="G50" s="180"/>
      <c r="H50" s="180"/>
      <c r="I50" s="180"/>
      <c r="J50" s="180"/>
      <c r="K50" s="180"/>
      <c r="L50" s="180"/>
      <c r="M50" s="180"/>
      <c r="N50" s="180"/>
      <c r="O50" s="180"/>
      <c r="P50" s="180"/>
      <c r="Q50" s="180">
        <v>1</v>
      </c>
      <c r="R50" s="3">
        <f>SUM(F50:Q50)</f>
        <v>1</v>
      </c>
      <c r="S50" s="11">
        <f>AVERAGE(F50:Q50)</f>
        <v>1</v>
      </c>
      <c r="T50" s="10">
        <f>U50/S50</f>
        <v>68</v>
      </c>
      <c r="U50" s="78">
        <f>SUM(E50-R50)</f>
        <v>68</v>
      </c>
      <c r="Y50" s="167"/>
    </row>
    <row r="51" spans="1:25" x14ac:dyDescent="0.2">
      <c r="A51" s="162"/>
      <c r="B51" s="135"/>
      <c r="C51" s="46"/>
      <c r="D51" s="49"/>
      <c r="E51" s="170"/>
      <c r="F51" s="170"/>
      <c r="G51" s="170"/>
      <c r="H51" s="170"/>
      <c r="I51" s="170"/>
      <c r="J51" s="170"/>
      <c r="K51" s="170"/>
      <c r="L51" s="170"/>
      <c r="M51" s="170"/>
      <c r="N51" s="170"/>
      <c r="O51" s="170"/>
      <c r="P51" s="170"/>
      <c r="Q51" s="170"/>
      <c r="R51" s="46"/>
      <c r="S51" s="49"/>
      <c r="T51" s="133"/>
      <c r="U51" s="81"/>
    </row>
    <row r="52" spans="1:25" x14ac:dyDescent="0.2">
      <c r="A52" s="2"/>
      <c r="B52" s="158">
        <v>2010</v>
      </c>
      <c r="C52" s="16"/>
      <c r="D52" s="139"/>
      <c r="E52" s="93">
        <f t="shared" ref="E52:R52" si="11">SUM(E10:E15)</f>
        <v>702</v>
      </c>
      <c r="F52" s="93">
        <f t="shared" si="11"/>
        <v>103</v>
      </c>
      <c r="G52" s="93">
        <f t="shared" si="11"/>
        <v>133</v>
      </c>
      <c r="H52" s="93">
        <f t="shared" si="11"/>
        <v>63</v>
      </c>
      <c r="I52" s="93">
        <f t="shared" si="11"/>
        <v>54</v>
      </c>
      <c r="J52" s="93">
        <f t="shared" si="11"/>
        <v>62</v>
      </c>
      <c r="K52" s="93">
        <f t="shared" si="11"/>
        <v>95</v>
      </c>
      <c r="L52" s="93">
        <f t="shared" si="11"/>
        <v>51</v>
      </c>
      <c r="M52" s="93">
        <f t="shared" si="11"/>
        <v>41</v>
      </c>
      <c r="N52" s="93">
        <f t="shared" si="11"/>
        <v>28</v>
      </c>
      <c r="O52" s="93">
        <f t="shared" si="11"/>
        <v>48</v>
      </c>
      <c r="P52" s="93">
        <f t="shared" si="11"/>
        <v>0</v>
      </c>
      <c r="Q52" s="93">
        <f t="shared" si="11"/>
        <v>0</v>
      </c>
      <c r="R52" s="18">
        <f t="shared" si="11"/>
        <v>678</v>
      </c>
      <c r="S52" s="18">
        <f>AVERAGE(F52:Q52)</f>
        <v>56.5</v>
      </c>
      <c r="T52" s="20">
        <f>U52/S52</f>
        <v>0</v>
      </c>
      <c r="U52" s="54">
        <f>SUM(U10:U15)</f>
        <v>0</v>
      </c>
    </row>
    <row r="53" spans="1:25" x14ac:dyDescent="0.2">
      <c r="A53" s="2"/>
      <c r="B53" s="158">
        <v>2011</v>
      </c>
      <c r="C53" s="16"/>
      <c r="D53" s="139"/>
      <c r="E53" s="93">
        <f t="shared" ref="E53:R53" si="12">SUM(E17:E24)</f>
        <v>1891</v>
      </c>
      <c r="F53" s="93">
        <f t="shared" si="12"/>
        <v>44</v>
      </c>
      <c r="G53" s="93">
        <f t="shared" si="12"/>
        <v>87</v>
      </c>
      <c r="H53" s="93">
        <f t="shared" si="12"/>
        <v>110</v>
      </c>
      <c r="I53" s="93">
        <f t="shared" si="12"/>
        <v>147</v>
      </c>
      <c r="J53" s="93">
        <f t="shared" si="12"/>
        <v>172</v>
      </c>
      <c r="K53" s="93">
        <f t="shared" si="12"/>
        <v>148</v>
      </c>
      <c r="L53" s="93">
        <f t="shared" si="12"/>
        <v>154</v>
      </c>
      <c r="M53" s="93">
        <f t="shared" si="12"/>
        <v>90</v>
      </c>
      <c r="N53" s="93">
        <f t="shared" si="12"/>
        <v>318</v>
      </c>
      <c r="O53" s="93">
        <f t="shared" si="12"/>
        <v>144</v>
      </c>
      <c r="P53" s="93">
        <f t="shared" si="12"/>
        <v>131</v>
      </c>
      <c r="Q53" s="93">
        <f t="shared" si="12"/>
        <v>70</v>
      </c>
      <c r="R53" s="18">
        <f t="shared" si="12"/>
        <v>1615</v>
      </c>
      <c r="S53" s="18">
        <f>AVERAGE(F53:Q53)</f>
        <v>134.58333333333334</v>
      </c>
      <c r="T53" s="20">
        <f>U53/S53</f>
        <v>2.0507739938080496</v>
      </c>
      <c r="U53" s="54">
        <f>SUM(U17:U24)</f>
        <v>276</v>
      </c>
    </row>
    <row r="54" spans="1:25" x14ac:dyDescent="0.2">
      <c r="A54" s="2"/>
      <c r="B54" s="134">
        <v>2012</v>
      </c>
      <c r="C54" s="2"/>
      <c r="D54" s="129"/>
      <c r="E54" s="93">
        <f t="shared" ref="E54:R54" si="13">SUM(E26:E35)</f>
        <v>3186</v>
      </c>
      <c r="F54" s="93">
        <f t="shared" si="13"/>
        <v>152</v>
      </c>
      <c r="G54" s="93">
        <f t="shared" si="13"/>
        <v>43</v>
      </c>
      <c r="H54" s="93">
        <f t="shared" si="13"/>
        <v>42</v>
      </c>
      <c r="I54" s="93">
        <f t="shared" si="13"/>
        <v>30</v>
      </c>
      <c r="J54" s="93">
        <f t="shared" si="13"/>
        <v>23</v>
      </c>
      <c r="K54" s="93">
        <f t="shared" si="13"/>
        <v>95</v>
      </c>
      <c r="L54" s="93">
        <f t="shared" si="13"/>
        <v>93</v>
      </c>
      <c r="M54" s="93">
        <f t="shared" si="13"/>
        <v>55</v>
      </c>
      <c r="N54" s="93">
        <f t="shared" si="13"/>
        <v>171</v>
      </c>
      <c r="O54" s="93">
        <f t="shared" si="13"/>
        <v>159</v>
      </c>
      <c r="P54" s="93">
        <f t="shared" si="13"/>
        <v>109</v>
      </c>
      <c r="Q54" s="93">
        <f t="shared" si="13"/>
        <v>134</v>
      </c>
      <c r="R54" s="18">
        <f t="shared" si="13"/>
        <v>1106</v>
      </c>
      <c r="S54" s="18">
        <f>AVERAGE(F54:Q54)</f>
        <v>92.166666666666671</v>
      </c>
      <c r="T54" s="20">
        <f>U54/S54</f>
        <v>22.56781193490054</v>
      </c>
      <c r="U54" s="54">
        <f>SUM(U26:U35)</f>
        <v>2080</v>
      </c>
    </row>
    <row r="55" spans="1:25" x14ac:dyDescent="0.2">
      <c r="A55" s="2"/>
      <c r="B55" s="134">
        <v>2013</v>
      </c>
      <c r="C55" s="2"/>
      <c r="D55" s="129"/>
      <c r="E55" s="93">
        <f>SUM(E38:E50)</f>
        <v>4834</v>
      </c>
      <c r="F55" s="93">
        <f t="shared" ref="F55:U55" si="14">SUM(F38:F50)</f>
        <v>0</v>
      </c>
      <c r="G55" s="93">
        <f t="shared" si="14"/>
        <v>0</v>
      </c>
      <c r="H55" s="93">
        <f t="shared" si="14"/>
        <v>2</v>
      </c>
      <c r="I55" s="93">
        <f t="shared" si="14"/>
        <v>85</v>
      </c>
      <c r="J55" s="93">
        <f t="shared" si="14"/>
        <v>125</v>
      </c>
      <c r="K55" s="93">
        <f t="shared" si="14"/>
        <v>71</v>
      </c>
      <c r="L55" s="93">
        <f t="shared" si="14"/>
        <v>125</v>
      </c>
      <c r="M55" s="93">
        <f t="shared" si="14"/>
        <v>54</v>
      </c>
      <c r="N55" s="93">
        <f t="shared" si="14"/>
        <v>170</v>
      </c>
      <c r="O55" s="93">
        <f t="shared" si="14"/>
        <v>140</v>
      </c>
      <c r="P55" s="93">
        <f t="shared" si="14"/>
        <v>172</v>
      </c>
      <c r="Q55" s="93">
        <f t="shared" si="14"/>
        <v>118</v>
      </c>
      <c r="R55" s="184">
        <f t="shared" si="14"/>
        <v>1062</v>
      </c>
      <c r="S55" s="184">
        <f>AVERAGE(F55:Q55)</f>
        <v>88.5</v>
      </c>
      <c r="T55" s="185">
        <f>U55/S55</f>
        <v>42.621468926553675</v>
      </c>
      <c r="U55" s="184">
        <f t="shared" si="14"/>
        <v>3772</v>
      </c>
    </row>
    <row r="56" spans="1:25" x14ac:dyDescent="0.2">
      <c r="A56" s="2"/>
      <c r="B56" s="159" t="s">
        <v>59</v>
      </c>
      <c r="C56" s="2"/>
      <c r="D56" s="129"/>
      <c r="E56" s="173">
        <f t="shared" ref="E56:Q56" si="15">SUM(E52:E54)</f>
        <v>5779</v>
      </c>
      <c r="F56" s="173">
        <f t="shared" si="15"/>
        <v>299</v>
      </c>
      <c r="G56" s="173">
        <f t="shared" si="15"/>
        <v>263</v>
      </c>
      <c r="H56" s="173">
        <f t="shared" si="15"/>
        <v>215</v>
      </c>
      <c r="I56" s="173">
        <f t="shared" si="15"/>
        <v>231</v>
      </c>
      <c r="J56" s="173">
        <f t="shared" si="15"/>
        <v>257</v>
      </c>
      <c r="K56" s="173">
        <f t="shared" si="15"/>
        <v>338</v>
      </c>
      <c r="L56" s="173">
        <f t="shared" si="15"/>
        <v>298</v>
      </c>
      <c r="M56" s="173">
        <f t="shared" si="15"/>
        <v>186</v>
      </c>
      <c r="N56" s="173">
        <f t="shared" si="15"/>
        <v>517</v>
      </c>
      <c r="O56" s="173">
        <f t="shared" si="15"/>
        <v>351</v>
      </c>
      <c r="P56" s="173">
        <f t="shared" si="15"/>
        <v>240</v>
      </c>
      <c r="Q56" s="173">
        <f t="shared" si="15"/>
        <v>204</v>
      </c>
      <c r="R56" s="11">
        <f>SUM(R52:R55)</f>
        <v>4461</v>
      </c>
      <c r="S56" s="11">
        <f>SUM(S52:S55)</f>
        <v>371.75</v>
      </c>
      <c r="T56" s="20">
        <f>U56/S56</f>
        <v>16.484196368527236</v>
      </c>
      <c r="U56" s="11">
        <f>SUM(U52:U55)</f>
        <v>6128</v>
      </c>
      <c r="Y56" s="167"/>
    </row>
    <row r="57" spans="1:25" x14ac:dyDescent="0.2">
      <c r="A57" s="162"/>
      <c r="B57" s="141"/>
      <c r="C57" s="141"/>
      <c r="D57" s="142"/>
      <c r="E57" s="174"/>
      <c r="F57" s="174"/>
      <c r="G57" s="174"/>
      <c r="H57" s="174"/>
      <c r="I57" s="174"/>
      <c r="J57" s="174"/>
      <c r="K57" s="174"/>
      <c r="L57" s="174"/>
      <c r="M57" s="174"/>
      <c r="N57" s="174"/>
      <c r="O57" s="174"/>
      <c r="P57" s="174"/>
      <c r="Q57" s="174"/>
      <c r="R57" s="141"/>
      <c r="S57" s="142"/>
      <c r="T57" s="143"/>
      <c r="U57" s="144"/>
    </row>
    <row r="58" spans="1:25" ht="13.5" thickBot="1" x14ac:dyDescent="0.25"/>
    <row r="59" spans="1:25" ht="48" thickBot="1" x14ac:dyDescent="0.45">
      <c r="B59" s="116" t="s">
        <v>60</v>
      </c>
      <c r="C59" s="117"/>
      <c r="D59" s="117"/>
      <c r="E59" s="118" t="s">
        <v>61</v>
      </c>
      <c r="F59" s="443" t="s">
        <v>62</v>
      </c>
      <c r="G59" s="444"/>
      <c r="H59" s="444"/>
      <c r="I59" s="444"/>
      <c r="J59" s="444"/>
      <c r="K59" s="444"/>
      <c r="L59" s="444"/>
      <c r="M59" s="444"/>
      <c r="N59" s="444"/>
      <c r="O59" s="444"/>
      <c r="P59" s="444"/>
      <c r="Q59" s="444"/>
      <c r="R59" s="119" t="s">
        <v>63</v>
      </c>
      <c r="S59" s="120"/>
      <c r="T59" s="120"/>
      <c r="U59" s="120"/>
    </row>
    <row r="60" spans="1:25" x14ac:dyDescent="0.2">
      <c r="B60" s="22"/>
      <c r="C60" s="121"/>
      <c r="D60" s="22"/>
      <c r="E60" s="128"/>
      <c r="F60" s="175"/>
      <c r="G60" s="175"/>
      <c r="H60" s="175"/>
      <c r="I60" s="175"/>
      <c r="J60" s="175"/>
      <c r="K60" s="175"/>
      <c r="L60" s="175"/>
      <c r="M60" s="175"/>
      <c r="N60" s="175"/>
      <c r="O60" s="175"/>
      <c r="P60" s="175"/>
      <c r="Q60" s="176"/>
      <c r="R60" s="22"/>
    </row>
    <row r="61" spans="1:25" x14ac:dyDescent="0.2">
      <c r="B61" s="2"/>
      <c r="C61" s="114"/>
      <c r="D61" s="2"/>
      <c r="E61" s="175"/>
      <c r="F61" s="146"/>
      <c r="G61" s="146"/>
      <c r="H61" s="146"/>
      <c r="I61" s="146"/>
      <c r="J61" s="146"/>
      <c r="K61" s="146"/>
      <c r="L61" s="146"/>
      <c r="M61" s="146"/>
      <c r="N61" s="146"/>
      <c r="O61" s="146"/>
      <c r="P61" s="146"/>
      <c r="Q61" s="177"/>
      <c r="R61" s="2"/>
    </row>
    <row r="62" spans="1:25" x14ac:dyDescent="0.2">
      <c r="B62" s="46"/>
      <c r="C62" s="46"/>
      <c r="D62" s="46"/>
      <c r="E62" s="170"/>
      <c r="F62" s="170"/>
      <c r="G62" s="170"/>
      <c r="H62" s="170"/>
      <c r="I62" s="170"/>
      <c r="J62" s="170"/>
      <c r="K62" s="170"/>
      <c r="L62" s="170"/>
      <c r="M62" s="170"/>
      <c r="N62" s="170"/>
      <c r="O62" s="170"/>
      <c r="P62" s="170"/>
      <c r="Q62" s="178"/>
      <c r="R62" s="46"/>
    </row>
    <row r="63" spans="1:25" x14ac:dyDescent="0.2">
      <c r="B63" s="2"/>
      <c r="C63" s="114"/>
      <c r="D63" s="2"/>
      <c r="E63" s="146"/>
      <c r="F63" s="146"/>
      <c r="G63" s="146"/>
      <c r="H63" s="146"/>
      <c r="I63" s="146"/>
      <c r="J63" s="146"/>
      <c r="K63" s="146"/>
      <c r="L63" s="146"/>
      <c r="M63" s="146"/>
      <c r="N63" s="146"/>
      <c r="O63" s="146"/>
      <c r="P63" s="146"/>
      <c r="Q63" s="177"/>
      <c r="R63" s="2"/>
    </row>
    <row r="64" spans="1:25" x14ac:dyDescent="0.2">
      <c r="B64" s="2"/>
      <c r="C64" s="114"/>
      <c r="D64" s="2"/>
      <c r="E64" s="146"/>
      <c r="F64" s="146"/>
      <c r="G64" s="146"/>
      <c r="H64" s="146"/>
      <c r="I64" s="146"/>
      <c r="J64" s="146"/>
      <c r="K64" s="146"/>
      <c r="L64" s="146"/>
      <c r="M64" s="146"/>
      <c r="N64" s="146"/>
      <c r="O64" s="146"/>
      <c r="P64" s="146"/>
      <c r="Q64" s="177"/>
      <c r="R64" s="2"/>
    </row>
    <row r="65" spans="2:18" x14ac:dyDescent="0.2">
      <c r="B65" s="75"/>
      <c r="C65" s="125"/>
      <c r="D65" s="75"/>
      <c r="E65" s="179"/>
      <c r="F65" s="179"/>
      <c r="G65" s="179"/>
      <c r="H65" s="179"/>
      <c r="I65" s="179"/>
      <c r="J65" s="179"/>
      <c r="K65" s="179"/>
      <c r="L65" s="179"/>
      <c r="M65" s="179"/>
      <c r="N65" s="179"/>
      <c r="O65" s="179"/>
      <c r="P65" s="179"/>
      <c r="Q65" s="179"/>
      <c r="R65" s="46"/>
    </row>
    <row r="66" spans="2:18" ht="13.5" thickBot="1" x14ac:dyDescent="0.25">
      <c r="C66" s="126"/>
    </row>
    <row r="67" spans="2:18" ht="63.75" thickBot="1" x14ac:dyDescent="0.45">
      <c r="B67" s="445" t="s">
        <v>60</v>
      </c>
      <c r="C67" s="446"/>
      <c r="D67" s="447"/>
      <c r="E67" s="127" t="s">
        <v>64</v>
      </c>
      <c r="F67" s="443" t="s">
        <v>65</v>
      </c>
      <c r="G67" s="444"/>
      <c r="H67" s="444"/>
      <c r="I67" s="444"/>
      <c r="J67" s="444"/>
      <c r="K67" s="444"/>
      <c r="L67" s="444"/>
      <c r="M67" s="444"/>
      <c r="N67" s="444"/>
      <c r="O67" s="444"/>
      <c r="P67" s="444"/>
      <c r="Q67" s="448"/>
      <c r="R67" s="119" t="s">
        <v>66</v>
      </c>
    </row>
    <row r="68" spans="2:18" ht="15.75" x14ac:dyDescent="0.25">
      <c r="B68" s="22"/>
      <c r="C68" s="121"/>
      <c r="D68" s="22"/>
      <c r="E68" s="122"/>
      <c r="F68" s="175"/>
      <c r="G68" s="175"/>
      <c r="H68" s="175"/>
      <c r="I68" s="175"/>
      <c r="J68" s="175"/>
      <c r="K68" s="175"/>
      <c r="L68" s="175"/>
      <c r="M68" s="175"/>
      <c r="N68" s="175"/>
      <c r="O68" s="175"/>
      <c r="P68" s="175"/>
      <c r="Q68" s="175"/>
      <c r="R68" s="22"/>
    </row>
    <row r="69" spans="2:18" x14ac:dyDescent="0.2">
      <c r="B69" s="2"/>
      <c r="C69" s="114"/>
      <c r="D69" s="2"/>
      <c r="E69" s="175"/>
      <c r="F69" s="146"/>
      <c r="G69" s="146"/>
      <c r="H69" s="146"/>
      <c r="I69" s="146"/>
      <c r="J69" s="146"/>
      <c r="K69" s="146"/>
      <c r="L69" s="146"/>
      <c r="M69" s="146"/>
      <c r="N69" s="146"/>
      <c r="O69" s="146"/>
      <c r="P69" s="146"/>
      <c r="Q69" s="146"/>
      <c r="R69" s="2"/>
    </row>
    <row r="70" spans="2:18" x14ac:dyDescent="0.2">
      <c r="B70" s="46"/>
      <c r="C70" s="46"/>
      <c r="D70" s="46"/>
      <c r="E70" s="170"/>
      <c r="F70" s="170"/>
      <c r="G70" s="170"/>
      <c r="H70" s="170"/>
      <c r="I70" s="170"/>
      <c r="J70" s="170"/>
      <c r="K70" s="170"/>
      <c r="L70" s="170"/>
      <c r="M70" s="170"/>
      <c r="N70" s="170"/>
      <c r="O70" s="170"/>
      <c r="P70" s="170"/>
      <c r="Q70" s="170"/>
      <c r="R70" s="46"/>
    </row>
    <row r="71" spans="2:18" x14ac:dyDescent="0.2">
      <c r="B71" s="2"/>
      <c r="C71" s="114"/>
      <c r="D71" s="2"/>
      <c r="E71" s="146"/>
      <c r="F71" s="146"/>
      <c r="G71" s="146"/>
      <c r="H71" s="146"/>
      <c r="I71" s="146"/>
      <c r="J71" s="146"/>
      <c r="K71" s="146"/>
      <c r="L71" s="146"/>
      <c r="M71" s="146"/>
      <c r="N71" s="146"/>
      <c r="O71" s="146"/>
      <c r="P71" s="146"/>
      <c r="Q71" s="146"/>
      <c r="R71" s="2"/>
    </row>
    <row r="72" spans="2:18" x14ac:dyDescent="0.2">
      <c r="B72" s="2"/>
      <c r="C72" s="114"/>
      <c r="D72" s="2"/>
      <c r="E72" s="146"/>
      <c r="F72" s="146"/>
      <c r="G72" s="146"/>
      <c r="H72" s="146"/>
      <c r="I72" s="146"/>
      <c r="J72" s="146"/>
      <c r="K72" s="146"/>
      <c r="L72" s="146"/>
      <c r="M72" s="146"/>
      <c r="N72" s="146"/>
      <c r="O72" s="146"/>
      <c r="P72" s="146"/>
      <c r="Q72" s="146"/>
      <c r="R72" s="2"/>
    </row>
  </sheetData>
  <mergeCells count="3">
    <mergeCell ref="F59:Q59"/>
    <mergeCell ref="B67:D67"/>
    <mergeCell ref="F67:Q67"/>
  </mergeCells>
  <pageMargins left="0.7" right="0.7" top="0.75" bottom="0.75" header="0.3" footer="0.3"/>
  <pageSetup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73"/>
  <sheetViews>
    <sheetView topLeftCell="A6" zoomScale="90" zoomScaleNormal="90" workbookViewId="0">
      <selection activeCell="S23" sqref="S23:S35"/>
    </sheetView>
  </sheetViews>
  <sheetFormatPr defaultRowHeight="12.75" x14ac:dyDescent="0.2"/>
  <cols>
    <col min="3" max="3" width="16.7109375" bestFit="1" customWidth="1"/>
    <col min="4" max="4" width="9.7109375" customWidth="1"/>
    <col min="5" max="5" width="11.28515625" customWidth="1"/>
    <col min="15" max="16" width="9.28515625" style="168"/>
    <col min="19" max="19" width="10" customWidth="1"/>
  </cols>
  <sheetData>
    <row r="1" spans="1:21" x14ac:dyDescent="0.2">
      <c r="E1" s="168"/>
      <c r="F1" s="168"/>
      <c r="G1" s="168"/>
      <c r="H1" s="168"/>
      <c r="I1" s="168"/>
      <c r="J1" s="168"/>
      <c r="K1" s="168"/>
      <c r="L1" s="168"/>
      <c r="M1" s="168"/>
      <c r="N1" s="168"/>
      <c r="Q1" s="168"/>
    </row>
    <row r="2" spans="1:21" ht="15.75" x14ac:dyDescent="0.2">
      <c r="D2" s="126"/>
      <c r="E2" s="169"/>
      <c r="F2" s="168"/>
      <c r="G2" s="168"/>
      <c r="H2" s="168"/>
      <c r="I2" s="168"/>
      <c r="J2" s="168"/>
      <c r="K2" s="168"/>
      <c r="L2" s="168"/>
      <c r="M2" s="168"/>
      <c r="N2" s="168"/>
      <c r="Q2" s="168"/>
    </row>
    <row r="3" spans="1:21" ht="15.75" x14ac:dyDescent="0.2">
      <c r="D3" s="126"/>
      <c r="E3" s="169"/>
      <c r="F3" s="168"/>
      <c r="G3" s="168"/>
      <c r="H3" s="168"/>
      <c r="I3" s="168"/>
      <c r="J3" s="168"/>
      <c r="K3" s="168"/>
      <c r="L3" s="168"/>
      <c r="M3" s="168"/>
      <c r="N3" s="168"/>
      <c r="Q3" s="168"/>
    </row>
    <row r="4" spans="1:21" ht="15.75" x14ac:dyDescent="0.2">
      <c r="E4" s="169"/>
      <c r="F4" s="168"/>
      <c r="G4" s="168"/>
      <c r="H4" s="168"/>
      <c r="I4" s="168"/>
      <c r="J4" s="168"/>
      <c r="K4" s="168"/>
      <c r="L4" s="168"/>
      <c r="M4" s="168"/>
      <c r="N4" s="168"/>
      <c r="Q4" s="168"/>
    </row>
    <row r="5" spans="1:21" x14ac:dyDescent="0.2">
      <c r="E5" s="168"/>
      <c r="F5" s="168"/>
      <c r="G5" s="168"/>
      <c r="H5" s="168"/>
      <c r="I5" s="168"/>
      <c r="J5" s="168"/>
      <c r="K5" s="168"/>
      <c r="L5" s="168"/>
      <c r="M5" s="168"/>
      <c r="N5" s="168"/>
      <c r="Q5" s="168"/>
    </row>
    <row r="6" spans="1:21" ht="13.5" thickBot="1" x14ac:dyDescent="0.25">
      <c r="E6" s="168"/>
      <c r="F6" s="168"/>
      <c r="G6" s="168"/>
      <c r="H6" s="168"/>
      <c r="I6" s="168"/>
      <c r="J6" s="168"/>
      <c r="K6" s="168"/>
      <c r="L6" s="168"/>
      <c r="M6" s="168"/>
      <c r="N6" s="168"/>
      <c r="Q6" s="168"/>
    </row>
    <row r="7" spans="1:21" ht="21" thickBot="1" x14ac:dyDescent="0.35">
      <c r="A7" s="155"/>
      <c r="B7" s="104" t="s">
        <v>0</v>
      </c>
      <c r="C7" s="105"/>
      <c r="D7" s="105"/>
      <c r="E7" s="326"/>
      <c r="F7" s="326"/>
      <c r="G7" s="326"/>
      <c r="H7" s="326"/>
      <c r="I7" s="326"/>
      <c r="J7" s="326"/>
      <c r="K7" s="326"/>
      <c r="L7" s="326"/>
      <c r="M7" s="326"/>
      <c r="N7" s="326"/>
      <c r="O7" s="326"/>
      <c r="P7" s="326"/>
      <c r="Q7" s="326"/>
      <c r="R7" s="105"/>
      <c r="S7" s="105"/>
      <c r="T7" s="105"/>
      <c r="U7" s="106"/>
    </row>
    <row r="8" spans="1:21" ht="63.75" thickBot="1" x14ac:dyDescent="0.3">
      <c r="A8" s="160" t="s">
        <v>79</v>
      </c>
      <c r="B8" s="156" t="s">
        <v>3</v>
      </c>
      <c r="C8" s="107" t="s">
        <v>2</v>
      </c>
      <c r="D8" s="108" t="s">
        <v>91</v>
      </c>
      <c r="E8" s="109" t="s">
        <v>96</v>
      </c>
      <c r="F8" s="110" t="s">
        <v>4</v>
      </c>
      <c r="G8" s="110" t="s">
        <v>5</v>
      </c>
      <c r="H8" s="110" t="s">
        <v>6</v>
      </c>
      <c r="I8" s="110" t="s">
        <v>7</v>
      </c>
      <c r="J8" s="110" t="s">
        <v>8</v>
      </c>
      <c r="K8" s="110" t="s">
        <v>9</v>
      </c>
      <c r="L8" s="110" t="s">
        <v>10</v>
      </c>
      <c r="M8" s="110" t="s">
        <v>11</v>
      </c>
      <c r="N8" s="110" t="s">
        <v>12</v>
      </c>
      <c r="O8" s="110" t="s">
        <v>13</v>
      </c>
      <c r="P8" s="110" t="s">
        <v>14</v>
      </c>
      <c r="Q8" s="110" t="s">
        <v>15</v>
      </c>
      <c r="R8" s="111" t="s">
        <v>16</v>
      </c>
      <c r="S8" s="112" t="s">
        <v>97</v>
      </c>
      <c r="T8" s="109" t="s">
        <v>19</v>
      </c>
      <c r="U8" s="113" t="s">
        <v>41</v>
      </c>
    </row>
    <row r="9" spans="1:21" x14ac:dyDescent="0.2">
      <c r="A9" s="162"/>
      <c r="B9" s="135"/>
      <c r="C9" s="46"/>
      <c r="D9" s="46"/>
      <c r="E9" s="170"/>
      <c r="F9" s="172">
        <v>1</v>
      </c>
      <c r="G9" s="172"/>
      <c r="H9" s="172"/>
      <c r="I9" s="172"/>
      <c r="J9" s="172"/>
      <c r="K9" s="172"/>
      <c r="L9" s="172"/>
      <c r="M9" s="172"/>
      <c r="N9" s="172"/>
      <c r="O9" s="172"/>
      <c r="P9" s="172"/>
      <c r="Q9" s="172"/>
      <c r="R9" s="46"/>
      <c r="S9" s="49"/>
      <c r="T9" s="133"/>
      <c r="U9" s="138"/>
    </row>
    <row r="10" spans="1:21" x14ac:dyDescent="0.2">
      <c r="A10">
        <v>57630</v>
      </c>
      <c r="B10" s="134">
        <v>2011</v>
      </c>
      <c r="C10" s="114" t="s">
        <v>25</v>
      </c>
      <c r="D10" s="102">
        <v>32</v>
      </c>
      <c r="E10" s="146">
        <v>80</v>
      </c>
      <c r="F10" s="171">
        <v>34</v>
      </c>
      <c r="G10" s="171">
        <v>12</v>
      </c>
      <c r="H10" s="190">
        <v>15</v>
      </c>
      <c r="I10" s="171">
        <v>10</v>
      </c>
      <c r="J10" s="171">
        <v>9</v>
      </c>
      <c r="K10" s="181"/>
      <c r="L10" s="181"/>
      <c r="M10" s="181"/>
      <c r="N10" s="181"/>
      <c r="O10" s="181"/>
      <c r="P10" s="181"/>
      <c r="Q10" s="181"/>
      <c r="R10" s="3">
        <f>SUM(F10:Q10)</f>
        <v>80</v>
      </c>
      <c r="S10" s="11">
        <f>AVERAGE(F10:Q10)</f>
        <v>16</v>
      </c>
      <c r="T10" s="10">
        <f>U10/S10</f>
        <v>0</v>
      </c>
      <c r="U10" s="78">
        <f>SUM(E10-R10)</f>
        <v>0</v>
      </c>
    </row>
    <row r="11" spans="1:21" x14ac:dyDescent="0.2">
      <c r="A11">
        <v>22384</v>
      </c>
      <c r="B11" s="134">
        <v>2011</v>
      </c>
      <c r="C11" s="114" t="s">
        <v>26</v>
      </c>
      <c r="D11" s="102">
        <v>16</v>
      </c>
      <c r="E11" s="146">
        <v>46</v>
      </c>
      <c r="F11" s="171">
        <v>18</v>
      </c>
      <c r="G11" s="171">
        <v>11</v>
      </c>
      <c r="H11" s="171">
        <v>12</v>
      </c>
      <c r="I11" s="171">
        <v>5</v>
      </c>
      <c r="J11" s="181"/>
      <c r="K11" s="181"/>
      <c r="L11" s="181"/>
      <c r="M11" s="181"/>
      <c r="N11" s="181"/>
      <c r="O11" s="181"/>
      <c r="P11" s="181"/>
      <c r="Q11" s="181"/>
      <c r="R11" s="3">
        <f t="shared" ref="R11:R17" si="0">SUM(F11:Q11)</f>
        <v>46</v>
      </c>
      <c r="S11" s="11">
        <f t="shared" ref="S11:S18" si="1">AVERAGE(F11:Q11)</f>
        <v>11.5</v>
      </c>
      <c r="T11" s="10">
        <f t="shared" ref="T11:T18" si="2">U11/S11</f>
        <v>0</v>
      </c>
      <c r="U11" s="78">
        <f t="shared" ref="U11:U18" si="3">SUM(E11-R11)</f>
        <v>0</v>
      </c>
    </row>
    <row r="12" spans="1:21" x14ac:dyDescent="0.2">
      <c r="A12">
        <v>22921</v>
      </c>
      <c r="B12" s="134">
        <v>2011</v>
      </c>
      <c r="C12" s="2" t="s">
        <v>22</v>
      </c>
      <c r="D12" s="102">
        <v>25</v>
      </c>
      <c r="E12" s="146">
        <v>34</v>
      </c>
      <c r="F12" s="171">
        <v>25</v>
      </c>
      <c r="G12" s="171">
        <v>9</v>
      </c>
      <c r="H12" s="181"/>
      <c r="I12" s="181"/>
      <c r="J12" s="181"/>
      <c r="K12" s="181"/>
      <c r="L12" s="181"/>
      <c r="M12" s="181"/>
      <c r="N12" s="181"/>
      <c r="O12" s="181"/>
      <c r="P12" s="181"/>
      <c r="Q12" s="181"/>
      <c r="R12" s="3">
        <f t="shared" si="0"/>
        <v>34</v>
      </c>
      <c r="S12" s="11">
        <f t="shared" si="1"/>
        <v>17</v>
      </c>
      <c r="T12" s="10">
        <f t="shared" si="2"/>
        <v>0</v>
      </c>
      <c r="U12" s="78">
        <f t="shared" si="3"/>
        <v>0</v>
      </c>
    </row>
    <row r="13" spans="1:21" ht="15" x14ac:dyDescent="0.25">
      <c r="A13" s="186">
        <v>26415</v>
      </c>
      <c r="B13" s="134">
        <v>2011</v>
      </c>
      <c r="C13" s="2" t="s">
        <v>57</v>
      </c>
      <c r="D13" s="102">
        <v>12</v>
      </c>
      <c r="E13" s="146">
        <v>116</v>
      </c>
      <c r="F13" s="171">
        <v>13</v>
      </c>
      <c r="G13" s="171">
        <v>4</v>
      </c>
      <c r="H13" s="171">
        <v>19</v>
      </c>
      <c r="I13" s="171">
        <v>16</v>
      </c>
      <c r="J13" s="171">
        <v>15</v>
      </c>
      <c r="K13" s="171">
        <v>11</v>
      </c>
      <c r="L13" s="171">
        <v>22</v>
      </c>
      <c r="M13" s="171">
        <v>16</v>
      </c>
      <c r="N13" s="181"/>
      <c r="O13" s="181"/>
      <c r="P13" s="181"/>
      <c r="Q13" s="181"/>
      <c r="R13" s="3">
        <f t="shared" si="0"/>
        <v>116</v>
      </c>
      <c r="S13" s="11">
        <f t="shared" si="1"/>
        <v>14.5</v>
      </c>
      <c r="T13" s="10">
        <f t="shared" si="2"/>
        <v>0</v>
      </c>
      <c r="U13" s="78">
        <f t="shared" si="3"/>
        <v>0</v>
      </c>
    </row>
    <row r="14" spans="1:21" x14ac:dyDescent="0.2">
      <c r="A14" s="162"/>
      <c r="B14" s="135"/>
      <c r="C14" s="46"/>
      <c r="D14" s="49"/>
      <c r="E14" s="170"/>
      <c r="F14" s="170"/>
      <c r="G14" s="170"/>
      <c r="H14" s="170"/>
      <c r="I14" s="170"/>
      <c r="J14" s="170"/>
      <c r="K14" s="170"/>
      <c r="L14" s="170"/>
      <c r="M14" s="170"/>
      <c r="N14" s="170"/>
      <c r="O14" s="170"/>
      <c r="P14" s="170"/>
      <c r="Q14" s="170"/>
      <c r="R14" s="46"/>
      <c r="S14" s="49"/>
      <c r="T14" s="133"/>
      <c r="U14" s="81"/>
    </row>
    <row r="15" spans="1:21" x14ac:dyDescent="0.2">
      <c r="A15">
        <v>57630</v>
      </c>
      <c r="B15" s="134">
        <v>2012</v>
      </c>
      <c r="C15" s="114" t="s">
        <v>25</v>
      </c>
      <c r="D15" s="102">
        <v>45</v>
      </c>
      <c r="E15" s="146">
        <v>220</v>
      </c>
      <c r="F15" s="171">
        <v>6</v>
      </c>
      <c r="G15" s="171">
        <v>13</v>
      </c>
      <c r="H15" s="171">
        <v>5</v>
      </c>
      <c r="I15" s="171">
        <v>9</v>
      </c>
      <c r="J15" s="171">
        <v>13</v>
      </c>
      <c r="K15" s="171">
        <v>14</v>
      </c>
      <c r="L15" s="171">
        <v>48</v>
      </c>
      <c r="M15" s="171">
        <v>34</v>
      </c>
      <c r="N15" s="171">
        <v>36</v>
      </c>
      <c r="O15" s="171">
        <v>17</v>
      </c>
      <c r="P15" s="145">
        <v>2</v>
      </c>
      <c r="Q15" s="181"/>
      <c r="R15" s="3">
        <f t="shared" si="0"/>
        <v>197</v>
      </c>
      <c r="S15" s="11">
        <f t="shared" si="1"/>
        <v>17.90909090909091</v>
      </c>
      <c r="T15" s="10">
        <f t="shared" si="2"/>
        <v>1.2842639593908629</v>
      </c>
      <c r="U15" s="78">
        <f t="shared" si="3"/>
        <v>23</v>
      </c>
    </row>
    <row r="16" spans="1:21" x14ac:dyDescent="0.2">
      <c r="A16">
        <v>22384</v>
      </c>
      <c r="B16" s="134">
        <v>2012</v>
      </c>
      <c r="C16" s="114" t="s">
        <v>26</v>
      </c>
      <c r="D16" s="102">
        <v>36</v>
      </c>
      <c r="E16" s="146">
        <v>315</v>
      </c>
      <c r="F16" s="171">
        <v>3</v>
      </c>
      <c r="G16" s="171">
        <v>1</v>
      </c>
      <c r="H16" s="171">
        <v>2</v>
      </c>
      <c r="I16" s="171">
        <v>0</v>
      </c>
      <c r="J16" s="171">
        <v>0</v>
      </c>
      <c r="K16" s="171">
        <v>0</v>
      </c>
      <c r="L16" s="171">
        <v>6</v>
      </c>
      <c r="M16" s="171">
        <v>13</v>
      </c>
      <c r="N16" s="171">
        <v>18</v>
      </c>
      <c r="O16" s="171">
        <v>26</v>
      </c>
      <c r="P16" s="171">
        <v>24</v>
      </c>
      <c r="Q16" s="171">
        <v>17</v>
      </c>
      <c r="R16" s="3">
        <f t="shared" si="0"/>
        <v>110</v>
      </c>
      <c r="S16" s="11">
        <f t="shared" si="1"/>
        <v>9.1666666666666661</v>
      </c>
      <c r="T16" s="10">
        <f t="shared" si="2"/>
        <v>22.363636363636363</v>
      </c>
      <c r="U16" s="78">
        <f t="shared" si="3"/>
        <v>205</v>
      </c>
    </row>
    <row r="17" spans="1:21" x14ac:dyDescent="0.2">
      <c r="A17">
        <v>22382</v>
      </c>
      <c r="B17" s="134">
        <v>2012</v>
      </c>
      <c r="C17" s="114" t="s">
        <v>23</v>
      </c>
      <c r="D17" s="102">
        <v>29</v>
      </c>
      <c r="E17" s="146">
        <v>285</v>
      </c>
      <c r="F17" s="171">
        <v>13</v>
      </c>
      <c r="G17" s="171">
        <v>24</v>
      </c>
      <c r="H17" s="171">
        <v>15</v>
      </c>
      <c r="I17" s="171">
        <v>35</v>
      </c>
      <c r="J17" s="171">
        <v>20</v>
      </c>
      <c r="K17" s="171">
        <v>26</v>
      </c>
      <c r="L17" s="171">
        <v>22</v>
      </c>
      <c r="M17" s="171">
        <v>24</v>
      </c>
      <c r="N17" s="171">
        <v>31</v>
      </c>
      <c r="O17" s="171">
        <v>41</v>
      </c>
      <c r="P17" s="171">
        <v>28</v>
      </c>
      <c r="Q17" s="171">
        <v>6</v>
      </c>
      <c r="R17" s="3">
        <f t="shared" si="0"/>
        <v>285</v>
      </c>
      <c r="S17" s="11">
        <f t="shared" si="1"/>
        <v>23.75</v>
      </c>
      <c r="T17" s="10">
        <f t="shared" si="2"/>
        <v>0</v>
      </c>
      <c r="U17" s="78">
        <f t="shared" si="3"/>
        <v>0</v>
      </c>
    </row>
    <row r="18" spans="1:21" x14ac:dyDescent="0.2">
      <c r="A18">
        <v>27736</v>
      </c>
      <c r="B18" s="134">
        <v>2012</v>
      </c>
      <c r="C18" s="114" t="s">
        <v>56</v>
      </c>
      <c r="D18" s="102">
        <v>22</v>
      </c>
      <c r="E18" s="146">
        <v>223</v>
      </c>
      <c r="F18" s="171">
        <v>29</v>
      </c>
      <c r="G18" s="171">
        <v>11</v>
      </c>
      <c r="H18" s="171">
        <v>12</v>
      </c>
      <c r="I18" s="171">
        <v>25</v>
      </c>
      <c r="J18" s="171">
        <v>17</v>
      </c>
      <c r="K18" s="171">
        <v>13</v>
      </c>
      <c r="L18" s="171">
        <v>20</v>
      </c>
      <c r="M18" s="171">
        <v>16</v>
      </c>
      <c r="N18" s="171">
        <v>20</v>
      </c>
      <c r="O18" s="171">
        <v>26</v>
      </c>
      <c r="P18" s="171">
        <v>19</v>
      </c>
      <c r="Q18" s="145">
        <v>15</v>
      </c>
      <c r="R18" s="3">
        <f>SUM(F18:Q18)</f>
        <v>223</v>
      </c>
      <c r="S18" s="11">
        <f t="shared" si="1"/>
        <v>18.583333333333332</v>
      </c>
      <c r="T18" s="10">
        <f t="shared" si="2"/>
        <v>0</v>
      </c>
      <c r="U18" s="78">
        <f t="shared" si="3"/>
        <v>0</v>
      </c>
    </row>
    <row r="19" spans="1:21" x14ac:dyDescent="0.2">
      <c r="A19">
        <v>28361</v>
      </c>
      <c r="B19" s="134">
        <v>2012</v>
      </c>
      <c r="C19" s="114" t="s">
        <v>24</v>
      </c>
      <c r="D19" s="102">
        <v>22</v>
      </c>
      <c r="E19" s="146">
        <v>406</v>
      </c>
      <c r="F19" s="171">
        <v>27</v>
      </c>
      <c r="G19" s="171">
        <v>13</v>
      </c>
      <c r="H19" s="171">
        <v>15</v>
      </c>
      <c r="I19" s="171">
        <v>26</v>
      </c>
      <c r="J19" s="171">
        <v>27</v>
      </c>
      <c r="K19" s="171">
        <v>23</v>
      </c>
      <c r="L19" s="171">
        <v>32</v>
      </c>
      <c r="M19" s="171">
        <v>22</v>
      </c>
      <c r="N19" s="171">
        <v>17</v>
      </c>
      <c r="O19" s="171">
        <v>56</v>
      </c>
      <c r="P19" s="171">
        <v>32</v>
      </c>
      <c r="Q19" s="171">
        <v>21</v>
      </c>
      <c r="R19" s="3">
        <f>SUM(F19:Q19)</f>
        <v>311</v>
      </c>
      <c r="S19" s="11">
        <f>AVERAGE(F19:Q19)</f>
        <v>25.916666666666668</v>
      </c>
      <c r="T19" s="10">
        <f>U19/S19</f>
        <v>3.665594855305466</v>
      </c>
      <c r="U19" s="78">
        <f>SUM(E19-R19)</f>
        <v>95</v>
      </c>
    </row>
    <row r="20" spans="1:21" x14ac:dyDescent="0.2">
      <c r="A20">
        <v>22921</v>
      </c>
      <c r="B20" s="134">
        <v>2012</v>
      </c>
      <c r="C20" s="114" t="s">
        <v>22</v>
      </c>
      <c r="D20" s="102">
        <v>50</v>
      </c>
      <c r="E20" s="146">
        <v>425</v>
      </c>
      <c r="F20" s="171">
        <v>43</v>
      </c>
      <c r="G20" s="171">
        <v>35</v>
      </c>
      <c r="H20" s="171">
        <v>40</v>
      </c>
      <c r="I20" s="171">
        <v>55</v>
      </c>
      <c r="J20" s="171">
        <v>41</v>
      </c>
      <c r="K20" s="171">
        <v>48</v>
      </c>
      <c r="L20" s="171">
        <v>40</v>
      </c>
      <c r="M20" s="171">
        <v>47</v>
      </c>
      <c r="N20" s="171">
        <v>64</v>
      </c>
      <c r="O20" s="145">
        <v>6</v>
      </c>
      <c r="P20" s="181"/>
      <c r="Q20" s="181"/>
      <c r="R20" s="3">
        <f>SUM(F20:Q20)</f>
        <v>419</v>
      </c>
      <c r="S20" s="11">
        <f>AVERAGE(F20:Q20)</f>
        <v>41.9</v>
      </c>
      <c r="T20" s="10">
        <f>U20/S20</f>
        <v>0.14319809069212411</v>
      </c>
      <c r="U20" s="78">
        <f>SUM(E20-R20)</f>
        <v>6</v>
      </c>
    </row>
    <row r="21" spans="1:21" x14ac:dyDescent="0.2">
      <c r="A21" s="2">
        <v>34641</v>
      </c>
      <c r="B21" s="134">
        <v>2012</v>
      </c>
      <c r="C21" s="114" t="s">
        <v>21</v>
      </c>
      <c r="D21" s="102">
        <v>31</v>
      </c>
      <c r="E21" s="146">
        <v>206</v>
      </c>
      <c r="F21" s="171">
        <v>26</v>
      </c>
      <c r="G21" s="171">
        <v>22</v>
      </c>
      <c r="H21" s="171">
        <v>29</v>
      </c>
      <c r="I21" s="171">
        <v>35</v>
      </c>
      <c r="J21" s="171">
        <v>33</v>
      </c>
      <c r="K21" s="171">
        <v>25</v>
      </c>
      <c r="L21" s="171">
        <v>32</v>
      </c>
      <c r="M21" s="181">
        <v>4</v>
      </c>
      <c r="N21" s="181"/>
      <c r="O21" s="181"/>
      <c r="P21" s="181"/>
      <c r="Q21" s="181"/>
      <c r="R21" s="3">
        <f>SUM(F21:Q21)</f>
        <v>206</v>
      </c>
      <c r="S21" s="11">
        <f>AVERAGE(F21:Q21)</f>
        <v>25.75</v>
      </c>
      <c r="T21" s="10">
        <f>U21/S21</f>
        <v>0</v>
      </c>
      <c r="U21" s="78">
        <f>SUM(E21-R21)</f>
        <v>0</v>
      </c>
    </row>
    <row r="22" spans="1:21" x14ac:dyDescent="0.2">
      <c r="A22" s="162"/>
      <c r="B22" s="162"/>
      <c r="C22" s="162"/>
      <c r="D22" s="162"/>
      <c r="E22" s="162"/>
      <c r="F22" s="162"/>
      <c r="G22" s="162"/>
      <c r="H22" s="162"/>
      <c r="I22" s="162"/>
      <c r="J22" s="162"/>
      <c r="K22" s="162"/>
      <c r="L22" s="162"/>
      <c r="M22" s="162"/>
      <c r="N22" s="162"/>
      <c r="O22" s="211"/>
      <c r="P22" s="211"/>
      <c r="Q22" s="162"/>
      <c r="R22" s="162"/>
      <c r="S22" s="162"/>
      <c r="T22" s="162"/>
      <c r="U22" s="162"/>
    </row>
    <row r="23" spans="1:21" x14ac:dyDescent="0.2">
      <c r="A23" s="2">
        <v>11198</v>
      </c>
      <c r="B23" s="134">
        <v>2013</v>
      </c>
      <c r="C23" s="2" t="s">
        <v>46</v>
      </c>
      <c r="D23" s="102">
        <v>30</v>
      </c>
      <c r="E23" s="146">
        <v>48</v>
      </c>
      <c r="F23" s="171">
        <v>24</v>
      </c>
      <c r="G23" s="171">
        <v>24</v>
      </c>
      <c r="H23" s="181"/>
      <c r="I23" s="181"/>
      <c r="J23" s="181"/>
      <c r="K23" s="181"/>
      <c r="L23" s="181"/>
      <c r="M23" s="181"/>
      <c r="N23" s="181"/>
      <c r="O23" s="181"/>
      <c r="P23" s="181"/>
      <c r="Q23" s="181"/>
      <c r="R23" s="3">
        <f t="shared" ref="R23:R30" si="4">SUM(F23:Q23)</f>
        <v>48</v>
      </c>
      <c r="S23" s="11">
        <f t="shared" ref="S23:S30" si="5">AVERAGE(F23:Q23)</f>
        <v>24</v>
      </c>
      <c r="T23" s="10">
        <f t="shared" ref="T23:T30" si="6">U23/S23</f>
        <v>0</v>
      </c>
      <c r="U23" s="78">
        <f t="shared" ref="U23:U30" si="7">SUM(E23-R23)</f>
        <v>0</v>
      </c>
    </row>
    <row r="24" spans="1:21" x14ac:dyDescent="0.2">
      <c r="A24" s="2">
        <v>57631</v>
      </c>
      <c r="B24" s="134">
        <v>2013</v>
      </c>
      <c r="C24" s="2" t="s">
        <v>33</v>
      </c>
      <c r="D24" s="102">
        <v>35</v>
      </c>
      <c r="E24" s="146">
        <v>9</v>
      </c>
      <c r="F24" s="171">
        <v>9</v>
      </c>
      <c r="G24" s="181"/>
      <c r="H24" s="181"/>
      <c r="I24" s="181"/>
      <c r="J24" s="181"/>
      <c r="K24" s="181"/>
      <c r="L24" s="181"/>
      <c r="M24" s="181"/>
      <c r="N24" s="181"/>
      <c r="O24" s="181"/>
      <c r="P24" s="181"/>
      <c r="Q24" s="181"/>
      <c r="R24" s="3">
        <f t="shared" si="4"/>
        <v>9</v>
      </c>
      <c r="S24" s="11">
        <f t="shared" si="5"/>
        <v>9</v>
      </c>
      <c r="T24" s="10">
        <f t="shared" si="6"/>
        <v>0</v>
      </c>
      <c r="U24" s="78">
        <f t="shared" si="7"/>
        <v>0</v>
      </c>
    </row>
    <row r="25" spans="1:21" x14ac:dyDescent="0.2">
      <c r="A25" s="2">
        <v>57632</v>
      </c>
      <c r="B25" s="134">
        <v>2013</v>
      </c>
      <c r="C25" s="2" t="s">
        <v>31</v>
      </c>
      <c r="D25" s="102">
        <v>45</v>
      </c>
      <c r="E25" s="146">
        <v>423</v>
      </c>
      <c r="F25" s="171">
        <v>36</v>
      </c>
      <c r="G25" s="171">
        <v>22</v>
      </c>
      <c r="H25" s="171">
        <v>0</v>
      </c>
      <c r="I25" s="171">
        <v>10</v>
      </c>
      <c r="J25" s="171">
        <v>55</v>
      </c>
      <c r="K25" s="171">
        <v>39</v>
      </c>
      <c r="L25" s="171">
        <v>49</v>
      </c>
      <c r="M25" s="171">
        <v>34</v>
      </c>
      <c r="N25" s="171">
        <v>42</v>
      </c>
      <c r="O25" s="171">
        <v>49</v>
      </c>
      <c r="P25" s="171">
        <v>36</v>
      </c>
      <c r="Q25" s="171">
        <v>29</v>
      </c>
      <c r="R25" s="3">
        <f t="shared" si="4"/>
        <v>401</v>
      </c>
      <c r="S25" s="11">
        <f t="shared" si="5"/>
        <v>33.416666666666664</v>
      </c>
      <c r="T25" s="10">
        <f t="shared" si="6"/>
        <v>0.65835411471321703</v>
      </c>
      <c r="U25" s="78">
        <f t="shared" si="7"/>
        <v>22</v>
      </c>
    </row>
    <row r="26" spans="1:21" x14ac:dyDescent="0.2">
      <c r="A26" s="2">
        <v>57630</v>
      </c>
      <c r="B26" s="134">
        <v>2013</v>
      </c>
      <c r="C26" s="2" t="s">
        <v>25</v>
      </c>
      <c r="D26" s="102">
        <v>45</v>
      </c>
      <c r="E26" s="146">
        <v>556</v>
      </c>
      <c r="F26" s="180">
        <v>1</v>
      </c>
      <c r="G26" s="180">
        <v>10</v>
      </c>
      <c r="H26" s="180">
        <v>5</v>
      </c>
      <c r="I26" s="180">
        <v>11</v>
      </c>
      <c r="J26" s="180">
        <v>5</v>
      </c>
      <c r="K26" s="180">
        <v>7</v>
      </c>
      <c r="L26" s="180">
        <v>3</v>
      </c>
      <c r="M26" s="180">
        <v>4</v>
      </c>
      <c r="N26" s="180">
        <v>3</v>
      </c>
      <c r="O26" s="171">
        <v>29</v>
      </c>
      <c r="P26" s="171">
        <v>39</v>
      </c>
      <c r="Q26" s="145">
        <v>37</v>
      </c>
      <c r="R26" s="3">
        <f t="shared" si="4"/>
        <v>154</v>
      </c>
      <c r="S26" s="11">
        <f t="shared" si="5"/>
        <v>12.833333333333334</v>
      </c>
      <c r="T26" s="10">
        <f t="shared" si="6"/>
        <v>31.324675324675322</v>
      </c>
      <c r="U26" s="78">
        <f t="shared" si="7"/>
        <v>402</v>
      </c>
    </row>
    <row r="27" spans="1:21" x14ac:dyDescent="0.2">
      <c r="A27" s="2">
        <v>22382</v>
      </c>
      <c r="B27" s="134">
        <v>2013</v>
      </c>
      <c r="C27" s="2" t="s">
        <v>23</v>
      </c>
      <c r="D27" s="102">
        <v>29</v>
      </c>
      <c r="E27" s="146">
        <v>303</v>
      </c>
      <c r="F27" s="180">
        <v>1</v>
      </c>
      <c r="G27" s="180">
        <v>1</v>
      </c>
      <c r="H27" s="180">
        <v>21</v>
      </c>
      <c r="I27" s="180">
        <v>0</v>
      </c>
      <c r="J27" s="180">
        <v>1</v>
      </c>
      <c r="K27" s="180">
        <v>4</v>
      </c>
      <c r="L27" s="180">
        <v>20</v>
      </c>
      <c r="M27" s="180">
        <v>2</v>
      </c>
      <c r="N27" s="180">
        <v>5</v>
      </c>
      <c r="O27" s="180">
        <v>16</v>
      </c>
      <c r="P27" s="180">
        <v>12</v>
      </c>
      <c r="Q27" s="214">
        <v>33</v>
      </c>
      <c r="R27" s="3">
        <f t="shared" si="4"/>
        <v>116</v>
      </c>
      <c r="S27" s="11">
        <f t="shared" si="5"/>
        <v>9.6666666666666661</v>
      </c>
      <c r="T27" s="10">
        <f t="shared" si="6"/>
        <v>19.344827586206897</v>
      </c>
      <c r="U27" s="78">
        <f t="shared" si="7"/>
        <v>187</v>
      </c>
    </row>
    <row r="28" spans="1:21" x14ac:dyDescent="0.2">
      <c r="A28" s="2">
        <v>84802</v>
      </c>
      <c r="B28" s="134">
        <v>2013</v>
      </c>
      <c r="C28" s="2" t="s">
        <v>93</v>
      </c>
      <c r="D28" s="102">
        <v>18</v>
      </c>
      <c r="E28" s="146">
        <v>202</v>
      </c>
      <c r="F28" s="180">
        <v>21</v>
      </c>
      <c r="G28" s="180">
        <v>8</v>
      </c>
      <c r="H28" s="180">
        <v>11</v>
      </c>
      <c r="I28" s="180">
        <v>6</v>
      </c>
      <c r="J28" s="180">
        <v>8</v>
      </c>
      <c r="K28" s="180">
        <v>6</v>
      </c>
      <c r="L28" s="180">
        <v>8</v>
      </c>
      <c r="M28" s="180">
        <v>5</v>
      </c>
      <c r="N28" s="180">
        <v>8</v>
      </c>
      <c r="O28" s="180">
        <v>15</v>
      </c>
      <c r="P28" s="180">
        <v>9</v>
      </c>
      <c r="Q28" s="214">
        <v>20</v>
      </c>
      <c r="R28" s="3">
        <f t="shared" si="4"/>
        <v>125</v>
      </c>
      <c r="S28" s="11">
        <f t="shared" si="5"/>
        <v>10.416666666666666</v>
      </c>
      <c r="T28" s="10">
        <f t="shared" si="6"/>
        <v>7.3920000000000003</v>
      </c>
      <c r="U28" s="78">
        <f t="shared" si="7"/>
        <v>77</v>
      </c>
    </row>
    <row r="29" spans="1:21" x14ac:dyDescent="0.2">
      <c r="A29" s="2">
        <v>22384</v>
      </c>
      <c r="B29" s="134">
        <v>2013</v>
      </c>
      <c r="C29" s="2" t="s">
        <v>26</v>
      </c>
      <c r="D29" s="102">
        <v>36</v>
      </c>
      <c r="E29" s="146">
        <v>256</v>
      </c>
      <c r="F29" s="180">
        <v>1</v>
      </c>
      <c r="G29" s="180">
        <v>0</v>
      </c>
      <c r="H29" s="180">
        <v>0</v>
      </c>
      <c r="I29" s="180">
        <v>0</v>
      </c>
      <c r="J29" s="180">
        <v>0</v>
      </c>
      <c r="K29" s="180">
        <v>0</v>
      </c>
      <c r="L29" s="180">
        <v>2</v>
      </c>
      <c r="M29" s="180">
        <v>2</v>
      </c>
      <c r="N29" s="180">
        <v>1</v>
      </c>
      <c r="O29" s="180"/>
      <c r="P29" s="180">
        <v>1</v>
      </c>
      <c r="Q29" s="180">
        <v>4</v>
      </c>
      <c r="R29" s="3">
        <f t="shared" si="4"/>
        <v>11</v>
      </c>
      <c r="S29" s="11">
        <f t="shared" si="5"/>
        <v>1</v>
      </c>
      <c r="T29" s="10">
        <f t="shared" si="6"/>
        <v>245</v>
      </c>
      <c r="U29" s="78">
        <f t="shared" si="7"/>
        <v>245</v>
      </c>
    </row>
    <row r="30" spans="1:21" x14ac:dyDescent="0.2">
      <c r="A30" s="2">
        <v>27736</v>
      </c>
      <c r="B30" s="134">
        <v>2013</v>
      </c>
      <c r="C30" s="2" t="s">
        <v>56</v>
      </c>
      <c r="D30" s="102">
        <v>22</v>
      </c>
      <c r="E30" s="146">
        <v>351</v>
      </c>
      <c r="F30" s="180">
        <v>8</v>
      </c>
      <c r="G30" s="180">
        <v>2</v>
      </c>
      <c r="H30" s="180">
        <v>6</v>
      </c>
      <c r="I30" s="180">
        <v>7</v>
      </c>
      <c r="J30" s="180">
        <v>1</v>
      </c>
      <c r="K30" s="180">
        <v>7</v>
      </c>
      <c r="L30" s="180">
        <v>14</v>
      </c>
      <c r="M30" s="180">
        <v>6</v>
      </c>
      <c r="N30" s="180">
        <v>9</v>
      </c>
      <c r="O30" s="180">
        <v>23</v>
      </c>
      <c r="P30" s="180">
        <v>18</v>
      </c>
      <c r="Q30" s="180">
        <v>20</v>
      </c>
      <c r="R30" s="3">
        <f t="shared" si="4"/>
        <v>121</v>
      </c>
      <c r="S30" s="11">
        <f t="shared" si="5"/>
        <v>10.083333333333334</v>
      </c>
      <c r="T30" s="10">
        <f t="shared" si="6"/>
        <v>22.809917355371901</v>
      </c>
      <c r="U30" s="78">
        <f t="shared" si="7"/>
        <v>230</v>
      </c>
    </row>
    <row r="31" spans="1:21" x14ac:dyDescent="0.2">
      <c r="A31" s="2">
        <v>28361</v>
      </c>
      <c r="B31" s="134">
        <v>2013</v>
      </c>
      <c r="C31" s="2" t="s">
        <v>24</v>
      </c>
      <c r="D31" s="191">
        <v>22</v>
      </c>
      <c r="E31" s="146">
        <v>281</v>
      </c>
      <c r="F31" s="180">
        <v>1</v>
      </c>
      <c r="G31" s="180">
        <v>0</v>
      </c>
      <c r="H31" s="180">
        <v>2</v>
      </c>
      <c r="I31" s="180">
        <v>0</v>
      </c>
      <c r="J31" s="180">
        <v>2</v>
      </c>
      <c r="K31" s="180">
        <v>0</v>
      </c>
      <c r="L31" s="180">
        <v>4</v>
      </c>
      <c r="M31" s="180">
        <v>3</v>
      </c>
      <c r="N31" s="180">
        <v>1</v>
      </c>
      <c r="O31" s="180"/>
      <c r="P31" s="180">
        <v>0</v>
      </c>
      <c r="Q31" s="180">
        <v>11</v>
      </c>
      <c r="R31" s="3">
        <f>SUM(F31:Q31)</f>
        <v>24</v>
      </c>
      <c r="S31" s="11">
        <f>AVERAGE(F31:Q31)</f>
        <v>2.1818181818181817</v>
      </c>
      <c r="T31" s="10">
        <f>U31/S31</f>
        <v>117.79166666666667</v>
      </c>
      <c r="U31" s="78">
        <f>SUM(E31-R31)</f>
        <v>257</v>
      </c>
    </row>
    <row r="32" spans="1:21" x14ac:dyDescent="0.2">
      <c r="A32" s="2">
        <v>22921</v>
      </c>
      <c r="B32" s="134">
        <v>2013</v>
      </c>
      <c r="C32" s="2" t="s">
        <v>22</v>
      </c>
      <c r="D32" s="191">
        <v>50</v>
      </c>
      <c r="E32" s="146">
        <v>716</v>
      </c>
      <c r="F32" s="180">
        <v>20</v>
      </c>
      <c r="G32" s="180">
        <v>4</v>
      </c>
      <c r="H32" s="180">
        <v>1</v>
      </c>
      <c r="I32" s="180">
        <v>4</v>
      </c>
      <c r="J32" s="180">
        <v>2</v>
      </c>
      <c r="K32" s="180">
        <v>3</v>
      </c>
      <c r="L32" s="180">
        <v>16</v>
      </c>
      <c r="M32" s="180">
        <v>5</v>
      </c>
      <c r="N32" s="180">
        <v>1</v>
      </c>
      <c r="O32" s="180">
        <v>67</v>
      </c>
      <c r="P32" s="168">
        <v>59</v>
      </c>
      <c r="Q32" s="145">
        <v>57</v>
      </c>
      <c r="R32" s="3">
        <f>SUM(F32:Q32)</f>
        <v>239</v>
      </c>
      <c r="S32" s="11">
        <f>AVERAGE(F32:Q32)</f>
        <v>19.916666666666668</v>
      </c>
      <c r="T32" s="10">
        <f>U32/S32</f>
        <v>23.949790794979076</v>
      </c>
      <c r="U32" s="78">
        <f>SUM(E32-R32)</f>
        <v>477</v>
      </c>
    </row>
    <row r="33" spans="1:22" x14ac:dyDescent="0.2">
      <c r="A33" s="2">
        <v>34641</v>
      </c>
      <c r="B33" s="134">
        <v>2013</v>
      </c>
      <c r="C33" s="2" t="s">
        <v>52</v>
      </c>
      <c r="D33" s="191">
        <v>31</v>
      </c>
      <c r="E33" s="146">
        <v>426</v>
      </c>
      <c r="F33" s="180">
        <v>1</v>
      </c>
      <c r="G33" s="180">
        <v>2</v>
      </c>
      <c r="H33" s="180">
        <v>2</v>
      </c>
      <c r="I33" s="180">
        <v>2</v>
      </c>
      <c r="J33" s="180">
        <v>2</v>
      </c>
      <c r="K33" s="180">
        <v>3</v>
      </c>
      <c r="L33" s="180">
        <v>8</v>
      </c>
      <c r="M33" s="145">
        <v>25</v>
      </c>
      <c r="N33" s="145">
        <v>25</v>
      </c>
      <c r="O33" s="145">
        <v>37</v>
      </c>
      <c r="P33" s="145">
        <v>25</v>
      </c>
      <c r="Q33" s="145">
        <v>23</v>
      </c>
      <c r="R33" s="3">
        <f>SUM(F33:Q33)</f>
        <v>155</v>
      </c>
      <c r="S33" s="11">
        <f>AVERAGE(F33:Q33)</f>
        <v>12.916666666666666</v>
      </c>
      <c r="T33" s="10">
        <f>U33/S33</f>
        <v>20.980645161290322</v>
      </c>
      <c r="U33" s="78">
        <f>SUM(E33-R33)</f>
        <v>271</v>
      </c>
    </row>
    <row r="34" spans="1:22" x14ac:dyDescent="0.2">
      <c r="A34" s="2">
        <v>86051</v>
      </c>
      <c r="B34" s="134">
        <v>2013</v>
      </c>
      <c r="C34" s="2" t="s">
        <v>94</v>
      </c>
      <c r="D34" s="191" t="s">
        <v>35</v>
      </c>
      <c r="E34" s="146">
        <v>133</v>
      </c>
      <c r="F34" s="145">
        <v>6</v>
      </c>
      <c r="G34" s="145">
        <v>10</v>
      </c>
      <c r="H34" s="145">
        <v>9</v>
      </c>
      <c r="I34" s="145">
        <v>13</v>
      </c>
      <c r="J34" s="145">
        <v>13</v>
      </c>
      <c r="K34" s="145">
        <v>18</v>
      </c>
      <c r="L34" s="145">
        <v>19</v>
      </c>
      <c r="M34" s="145">
        <v>16</v>
      </c>
      <c r="N34" s="145">
        <v>16</v>
      </c>
      <c r="O34" s="145">
        <v>7</v>
      </c>
      <c r="P34" s="145">
        <v>6</v>
      </c>
      <c r="Q34" s="181"/>
      <c r="R34" s="3">
        <f>SUM(F34:Q34)</f>
        <v>133</v>
      </c>
      <c r="S34" s="11">
        <f>AVERAGE(F34:Q34)</f>
        <v>12.090909090909092</v>
      </c>
      <c r="T34" s="10">
        <f>U34/S34</f>
        <v>0</v>
      </c>
      <c r="U34" s="78">
        <f>SUM(E34-R34)</f>
        <v>0</v>
      </c>
    </row>
    <row r="35" spans="1:22" x14ac:dyDescent="0.2">
      <c r="A35" s="2">
        <v>84251</v>
      </c>
      <c r="B35" s="134">
        <v>2013</v>
      </c>
      <c r="C35" s="2" t="s">
        <v>95</v>
      </c>
      <c r="D35" s="191" t="s">
        <v>35</v>
      </c>
      <c r="E35" s="146">
        <v>68</v>
      </c>
      <c r="F35" s="145">
        <v>11</v>
      </c>
      <c r="G35" s="145">
        <v>5</v>
      </c>
      <c r="H35" s="145">
        <v>2</v>
      </c>
      <c r="I35" s="145">
        <v>4</v>
      </c>
      <c r="J35" s="145">
        <v>2</v>
      </c>
      <c r="K35" s="145">
        <v>7</v>
      </c>
      <c r="L35" s="145">
        <v>7</v>
      </c>
      <c r="M35" s="145">
        <v>5</v>
      </c>
      <c r="N35" s="145">
        <v>4</v>
      </c>
      <c r="O35" s="145">
        <v>11</v>
      </c>
      <c r="P35" s="145">
        <v>6</v>
      </c>
      <c r="Q35" s="181"/>
      <c r="R35" s="3">
        <f>SUM(F35:Q35)</f>
        <v>64</v>
      </c>
      <c r="S35" s="11">
        <f>AVERAGE(F35:Q35)</f>
        <v>5.8181818181818183</v>
      </c>
      <c r="T35" s="10">
        <f>U35/S35</f>
        <v>0.6875</v>
      </c>
      <c r="U35" s="78">
        <f>SUM(E35-R35)</f>
        <v>4</v>
      </c>
    </row>
    <row r="36" spans="1:22" x14ac:dyDescent="0.2">
      <c r="A36" s="162"/>
      <c r="B36" s="135"/>
      <c r="C36" s="46"/>
      <c r="D36" s="49"/>
      <c r="E36" s="170"/>
      <c r="F36" s="170"/>
      <c r="G36" s="170"/>
      <c r="H36" s="170"/>
      <c r="I36" s="170"/>
      <c r="J36" s="170"/>
      <c r="K36" s="170"/>
      <c r="L36" s="170"/>
      <c r="M36" s="170"/>
      <c r="N36" s="170"/>
      <c r="O36" s="170"/>
      <c r="P36" s="170"/>
      <c r="Q36" s="170"/>
      <c r="R36" s="46"/>
      <c r="S36" s="49"/>
      <c r="T36" s="133"/>
      <c r="U36" s="81"/>
    </row>
    <row r="37" spans="1:22" x14ac:dyDescent="0.2">
      <c r="A37" s="2">
        <v>11198</v>
      </c>
      <c r="B37" s="187">
        <v>2014</v>
      </c>
      <c r="C37" s="2" t="s">
        <v>46</v>
      </c>
      <c r="D37" s="102"/>
      <c r="E37" s="146">
        <v>336</v>
      </c>
      <c r="F37" s="180"/>
      <c r="G37" s="180"/>
      <c r="H37" s="180" t="s">
        <v>35</v>
      </c>
      <c r="I37" s="145">
        <v>27</v>
      </c>
      <c r="J37" s="145">
        <v>41</v>
      </c>
      <c r="K37" s="145">
        <v>31</v>
      </c>
      <c r="L37" s="145">
        <v>38</v>
      </c>
      <c r="M37" s="145">
        <v>28</v>
      </c>
      <c r="N37" s="145">
        <v>31</v>
      </c>
      <c r="O37" s="210">
        <v>54</v>
      </c>
      <c r="P37" s="145">
        <v>27</v>
      </c>
      <c r="Q37" s="181"/>
      <c r="R37" s="3">
        <f>SUM(F37:Q37)</f>
        <v>277</v>
      </c>
      <c r="S37" s="11">
        <f>AVERAGE(F37:Q37)</f>
        <v>34.625</v>
      </c>
      <c r="T37" s="10">
        <f t="shared" ref="T37:T47" si="8">U37/S37</f>
        <v>1.703971119133574</v>
      </c>
      <c r="U37" s="78">
        <f t="shared" ref="U37:U47" si="9">SUM(E37-R37)</f>
        <v>59</v>
      </c>
    </row>
    <row r="38" spans="1:22" x14ac:dyDescent="0.2">
      <c r="A38" s="2">
        <v>57631</v>
      </c>
      <c r="B38" s="187">
        <v>2014</v>
      </c>
      <c r="C38" s="114" t="s">
        <v>98</v>
      </c>
      <c r="D38" s="102"/>
      <c r="E38" s="146">
        <v>113</v>
      </c>
      <c r="F38" s="180"/>
      <c r="G38" s="180"/>
      <c r="H38" s="180"/>
      <c r="I38" s="145">
        <v>36</v>
      </c>
      <c r="J38" s="145">
        <v>12</v>
      </c>
      <c r="K38" s="145">
        <v>13</v>
      </c>
      <c r="L38" s="145">
        <v>23</v>
      </c>
      <c r="M38" s="145">
        <v>6</v>
      </c>
      <c r="N38" s="145">
        <v>10</v>
      </c>
      <c r="O38" s="145">
        <v>11</v>
      </c>
      <c r="P38" s="145">
        <v>2</v>
      </c>
      <c r="Q38" s="181"/>
      <c r="R38" s="3">
        <f t="shared" ref="R38:R47" si="10">SUM(F38:Q38)</f>
        <v>113</v>
      </c>
      <c r="S38" s="11">
        <f t="shared" ref="S38:S47" si="11">AVERAGE(F38:Q38)</f>
        <v>14.125</v>
      </c>
      <c r="T38" s="10">
        <f t="shared" si="8"/>
        <v>0</v>
      </c>
      <c r="U38" s="78">
        <f t="shared" si="9"/>
        <v>0</v>
      </c>
    </row>
    <row r="39" spans="1:22" x14ac:dyDescent="0.2">
      <c r="A39" s="2">
        <v>57631</v>
      </c>
      <c r="B39" s="187">
        <v>2014</v>
      </c>
      <c r="C39" s="2" t="s">
        <v>33</v>
      </c>
      <c r="D39" s="102"/>
      <c r="E39" s="146">
        <v>268</v>
      </c>
      <c r="F39" s="180"/>
      <c r="G39" s="180"/>
      <c r="H39" s="180"/>
      <c r="I39" s="145">
        <v>44</v>
      </c>
      <c r="J39" s="145">
        <v>46</v>
      </c>
      <c r="K39" s="145">
        <v>41</v>
      </c>
      <c r="L39" s="145">
        <v>47</v>
      </c>
      <c r="M39" s="145">
        <v>42</v>
      </c>
      <c r="N39" s="145">
        <v>43</v>
      </c>
      <c r="O39" s="145">
        <v>5</v>
      </c>
      <c r="P39" s="181"/>
      <c r="Q39" s="181"/>
      <c r="R39" s="3">
        <f t="shared" si="10"/>
        <v>268</v>
      </c>
      <c r="S39" s="11">
        <f t="shared" si="11"/>
        <v>38.285714285714285</v>
      </c>
      <c r="T39" s="10">
        <f t="shared" si="8"/>
        <v>0</v>
      </c>
      <c r="U39" s="78">
        <f t="shared" si="9"/>
        <v>0</v>
      </c>
    </row>
    <row r="40" spans="1:22" x14ac:dyDescent="0.2">
      <c r="A40" s="2">
        <v>57632</v>
      </c>
      <c r="B40" s="187">
        <v>2014</v>
      </c>
      <c r="C40" s="2" t="s">
        <v>31</v>
      </c>
      <c r="D40" s="102"/>
      <c r="E40" s="146">
        <v>504</v>
      </c>
      <c r="F40" s="180"/>
      <c r="G40" s="180"/>
      <c r="H40" s="180"/>
      <c r="I40" s="180"/>
      <c r="J40" s="180"/>
      <c r="K40" s="180">
        <v>0</v>
      </c>
      <c r="L40" s="180">
        <v>21</v>
      </c>
      <c r="M40" s="180">
        <v>7</v>
      </c>
      <c r="N40" s="180">
        <v>8</v>
      </c>
      <c r="O40" s="180">
        <v>8</v>
      </c>
      <c r="P40" s="180">
        <v>7</v>
      </c>
      <c r="Q40" s="145">
        <v>12</v>
      </c>
      <c r="R40" s="3">
        <f t="shared" si="10"/>
        <v>63</v>
      </c>
      <c r="S40" s="11">
        <f t="shared" si="11"/>
        <v>9</v>
      </c>
      <c r="T40" s="10">
        <f t="shared" si="8"/>
        <v>49</v>
      </c>
      <c r="U40" s="78">
        <f t="shared" si="9"/>
        <v>441</v>
      </c>
      <c r="V40" t="s">
        <v>35</v>
      </c>
    </row>
    <row r="41" spans="1:22" x14ac:dyDescent="0.2">
      <c r="A41" s="2">
        <v>57630</v>
      </c>
      <c r="B41" s="187">
        <v>2014</v>
      </c>
      <c r="C41" s="2" t="s">
        <v>25</v>
      </c>
      <c r="D41" s="102"/>
      <c r="E41" s="146">
        <v>536</v>
      </c>
      <c r="F41" s="180"/>
      <c r="G41" s="180"/>
      <c r="H41" s="180"/>
      <c r="I41" s="180"/>
      <c r="J41" s="180"/>
      <c r="K41" s="180"/>
      <c r="L41" s="180">
        <v>10</v>
      </c>
      <c r="M41" s="180">
        <v>5</v>
      </c>
      <c r="N41" s="180">
        <v>0</v>
      </c>
      <c r="O41" s="180">
        <v>26</v>
      </c>
      <c r="P41" s="180">
        <v>13</v>
      </c>
      <c r="Q41" s="180">
        <v>14</v>
      </c>
      <c r="R41" s="3">
        <f t="shared" si="10"/>
        <v>68</v>
      </c>
      <c r="S41" s="11">
        <f t="shared" si="11"/>
        <v>11.333333333333334</v>
      </c>
      <c r="T41" s="10">
        <f t="shared" si="8"/>
        <v>41.294117647058819</v>
      </c>
      <c r="U41" s="78">
        <f t="shared" si="9"/>
        <v>468</v>
      </c>
    </row>
    <row r="42" spans="1:22" x14ac:dyDescent="0.2">
      <c r="A42" s="2">
        <v>22382</v>
      </c>
      <c r="B42" s="187">
        <v>2014</v>
      </c>
      <c r="C42" s="2" t="s">
        <v>23</v>
      </c>
      <c r="D42" s="102"/>
      <c r="E42" s="146">
        <v>356</v>
      </c>
      <c r="F42" s="180"/>
      <c r="G42" s="180"/>
      <c r="H42" s="180"/>
      <c r="I42" s="180"/>
      <c r="J42" s="180"/>
      <c r="K42" s="180"/>
      <c r="L42" s="180">
        <v>12</v>
      </c>
      <c r="M42" s="180">
        <v>8</v>
      </c>
      <c r="N42" s="180">
        <v>10</v>
      </c>
      <c r="O42" s="180">
        <v>8</v>
      </c>
      <c r="P42" s="180">
        <v>1</v>
      </c>
      <c r="Q42" s="180">
        <v>11</v>
      </c>
      <c r="R42" s="3">
        <f t="shared" si="10"/>
        <v>50</v>
      </c>
      <c r="S42" s="11">
        <f t="shared" si="11"/>
        <v>8.3333333333333339</v>
      </c>
      <c r="T42" s="10">
        <f t="shared" si="8"/>
        <v>36.72</v>
      </c>
      <c r="U42" s="78">
        <f t="shared" si="9"/>
        <v>306</v>
      </c>
    </row>
    <row r="43" spans="1:22" x14ac:dyDescent="0.2">
      <c r="A43" s="2">
        <v>84802</v>
      </c>
      <c r="B43" s="187">
        <v>2014</v>
      </c>
      <c r="C43" s="2" t="s">
        <v>93</v>
      </c>
      <c r="D43" s="102"/>
      <c r="E43" s="146">
        <v>273</v>
      </c>
      <c r="F43" s="180"/>
      <c r="G43" s="180"/>
      <c r="H43" s="180"/>
      <c r="I43" s="180"/>
      <c r="J43" s="180"/>
      <c r="K43" s="180"/>
      <c r="L43" s="180"/>
      <c r="M43" s="180"/>
      <c r="N43" s="180"/>
      <c r="O43" s="180"/>
      <c r="P43" s="180"/>
      <c r="Q43" s="180">
        <v>2</v>
      </c>
      <c r="R43" s="3">
        <f t="shared" si="10"/>
        <v>2</v>
      </c>
      <c r="S43" s="11">
        <f t="shared" si="11"/>
        <v>2</v>
      </c>
      <c r="T43" s="10">
        <f t="shared" si="8"/>
        <v>135.5</v>
      </c>
      <c r="U43" s="78">
        <f t="shared" si="9"/>
        <v>271</v>
      </c>
    </row>
    <row r="44" spans="1:22" x14ac:dyDescent="0.2">
      <c r="A44" s="2">
        <v>22384</v>
      </c>
      <c r="B44" s="187">
        <v>2014</v>
      </c>
      <c r="C44" s="2" t="s">
        <v>26</v>
      </c>
      <c r="D44" s="102"/>
      <c r="E44" s="146">
        <v>247</v>
      </c>
      <c r="F44" s="180"/>
      <c r="G44" s="180"/>
      <c r="H44" s="180"/>
      <c r="I44" s="180"/>
      <c r="J44" s="180"/>
      <c r="K44" s="180"/>
      <c r="L44" s="180">
        <v>0</v>
      </c>
      <c r="M44" s="180">
        <v>0</v>
      </c>
      <c r="N44" s="180">
        <v>10</v>
      </c>
      <c r="O44" s="180">
        <v>7</v>
      </c>
      <c r="P44" s="180">
        <v>6</v>
      </c>
      <c r="Q44" s="180">
        <v>6</v>
      </c>
      <c r="R44" s="3">
        <f t="shared" si="10"/>
        <v>29</v>
      </c>
      <c r="S44" s="11">
        <f t="shared" si="11"/>
        <v>4.833333333333333</v>
      </c>
      <c r="T44" s="10">
        <f t="shared" si="8"/>
        <v>45.103448275862071</v>
      </c>
      <c r="U44" s="78">
        <f t="shared" si="9"/>
        <v>218</v>
      </c>
    </row>
    <row r="45" spans="1:22" x14ac:dyDescent="0.2">
      <c r="A45" s="2">
        <v>27736</v>
      </c>
      <c r="B45" s="187">
        <v>2014</v>
      </c>
      <c r="C45" s="2" t="s">
        <v>56</v>
      </c>
      <c r="D45" s="102"/>
      <c r="E45" s="146">
        <v>476</v>
      </c>
      <c r="F45" s="180"/>
      <c r="G45" s="180"/>
      <c r="H45" s="180"/>
      <c r="I45" s="180"/>
      <c r="J45" s="180"/>
      <c r="K45" s="180"/>
      <c r="L45" s="180">
        <v>10</v>
      </c>
      <c r="M45" s="180">
        <v>6</v>
      </c>
      <c r="N45" s="180">
        <v>13</v>
      </c>
      <c r="O45" s="180">
        <v>6</v>
      </c>
      <c r="P45" s="180">
        <v>6</v>
      </c>
      <c r="Q45" s="180">
        <v>11</v>
      </c>
      <c r="R45" s="3">
        <f t="shared" si="10"/>
        <v>52</v>
      </c>
      <c r="S45" s="11">
        <f t="shared" si="11"/>
        <v>8.6666666666666661</v>
      </c>
      <c r="T45" s="10">
        <f t="shared" si="8"/>
        <v>48.923076923076927</v>
      </c>
      <c r="U45" s="78">
        <f t="shared" si="9"/>
        <v>424</v>
      </c>
    </row>
    <row r="46" spans="1:22" x14ac:dyDescent="0.2">
      <c r="A46" s="2">
        <v>28361</v>
      </c>
      <c r="B46" s="187">
        <v>2014</v>
      </c>
      <c r="C46" s="2" t="s">
        <v>24</v>
      </c>
      <c r="D46" s="102"/>
      <c r="E46" s="146">
        <v>141</v>
      </c>
      <c r="F46" s="180"/>
      <c r="G46" s="180"/>
      <c r="H46" s="180"/>
      <c r="I46" s="180"/>
      <c r="J46" s="180"/>
      <c r="K46" s="180"/>
      <c r="L46" s="180"/>
      <c r="M46" s="180"/>
      <c r="N46" s="180"/>
      <c r="O46" s="180"/>
      <c r="P46" s="180"/>
      <c r="Q46" s="180">
        <v>1</v>
      </c>
      <c r="R46" s="3">
        <f t="shared" si="10"/>
        <v>1</v>
      </c>
      <c r="S46" s="11">
        <f t="shared" si="11"/>
        <v>1</v>
      </c>
      <c r="T46" s="10">
        <f t="shared" si="8"/>
        <v>140</v>
      </c>
      <c r="U46" s="78">
        <f t="shared" si="9"/>
        <v>140</v>
      </c>
    </row>
    <row r="47" spans="1:22" x14ac:dyDescent="0.2">
      <c r="A47" s="2">
        <v>22921</v>
      </c>
      <c r="B47" s="187">
        <v>2014</v>
      </c>
      <c r="C47" s="2" t="s">
        <v>22</v>
      </c>
      <c r="D47" s="102"/>
      <c r="E47" s="146">
        <v>676</v>
      </c>
      <c r="F47" s="180"/>
      <c r="G47" s="180"/>
      <c r="H47" s="180"/>
      <c r="I47" s="180"/>
      <c r="J47" s="180"/>
      <c r="K47" s="180"/>
      <c r="L47" s="180"/>
      <c r="M47" s="180"/>
      <c r="N47" s="180"/>
      <c r="O47" s="180"/>
      <c r="P47" s="180"/>
      <c r="Q47" s="180">
        <v>1</v>
      </c>
      <c r="R47" s="3">
        <f t="shared" si="10"/>
        <v>1</v>
      </c>
      <c r="S47" s="11">
        <f t="shared" si="11"/>
        <v>1</v>
      </c>
      <c r="T47" s="10">
        <f t="shared" si="8"/>
        <v>675</v>
      </c>
      <c r="U47" s="78">
        <f t="shared" si="9"/>
        <v>675</v>
      </c>
    </row>
    <row r="48" spans="1:22" x14ac:dyDescent="0.2">
      <c r="A48" s="16">
        <v>34641</v>
      </c>
      <c r="B48" s="187">
        <v>2014</v>
      </c>
      <c r="C48" s="16" t="s">
        <v>52</v>
      </c>
      <c r="D48" s="193"/>
      <c r="E48" s="194">
        <v>372</v>
      </c>
      <c r="F48" s="195"/>
      <c r="G48" s="195"/>
      <c r="H48" s="195"/>
      <c r="I48" s="195"/>
      <c r="J48" s="195"/>
      <c r="K48" s="195"/>
      <c r="L48" s="195"/>
      <c r="M48" s="195"/>
      <c r="N48" s="195"/>
      <c r="O48" s="195"/>
      <c r="P48" s="195"/>
      <c r="Q48" s="195">
        <v>1</v>
      </c>
      <c r="R48" s="17">
        <f>SUM(F48:Q48)</f>
        <v>1</v>
      </c>
      <c r="S48" s="18">
        <f>AVERAGE(F48:Q48)</f>
        <v>1</v>
      </c>
      <c r="T48" s="20">
        <f>U48/S48</f>
        <v>371</v>
      </c>
      <c r="U48" s="94">
        <f>SUM(E48-R48)</f>
        <v>371</v>
      </c>
    </row>
    <row r="49" spans="1:21" x14ac:dyDescent="0.2">
      <c r="A49" s="2">
        <v>18004</v>
      </c>
      <c r="B49" s="196">
        <v>2014</v>
      </c>
      <c r="C49" s="2" t="s">
        <v>99</v>
      </c>
      <c r="D49" s="102"/>
      <c r="E49" s="146">
        <v>264</v>
      </c>
      <c r="F49" s="180"/>
      <c r="G49" s="180"/>
      <c r="H49" s="180"/>
      <c r="I49" s="180"/>
      <c r="J49" s="180"/>
      <c r="K49" s="180"/>
      <c r="L49" s="180"/>
      <c r="M49" s="180"/>
      <c r="N49" s="180">
        <v>6</v>
      </c>
      <c r="O49" s="180">
        <v>13</v>
      </c>
      <c r="P49" s="145">
        <v>11</v>
      </c>
      <c r="Q49" s="145">
        <v>11</v>
      </c>
      <c r="R49" s="17">
        <f>SUM(F49:Q49)</f>
        <v>41</v>
      </c>
      <c r="S49" s="18">
        <f>AVERAGE(F49:Q49)</f>
        <v>10.25</v>
      </c>
      <c r="T49" s="20">
        <f>U49/S49</f>
        <v>21.756097560975611</v>
      </c>
      <c r="U49" s="94">
        <f>SUM(E49-R49)</f>
        <v>223</v>
      </c>
    </row>
    <row r="50" spans="1:21" x14ac:dyDescent="0.2">
      <c r="A50" s="2">
        <v>86051</v>
      </c>
      <c r="B50" s="196">
        <v>2014</v>
      </c>
      <c r="C50" s="2" t="s">
        <v>94</v>
      </c>
      <c r="D50" s="197"/>
      <c r="E50" s="146">
        <v>322</v>
      </c>
      <c r="F50" s="198"/>
      <c r="G50" s="198"/>
      <c r="H50" s="198"/>
      <c r="I50" s="198"/>
      <c r="J50" s="198"/>
      <c r="K50" s="198"/>
      <c r="L50" s="198"/>
      <c r="M50" s="198"/>
      <c r="N50" s="198"/>
      <c r="O50" s="212"/>
      <c r="P50" s="212"/>
      <c r="Q50" s="212">
        <v>1</v>
      </c>
      <c r="R50" s="17">
        <f>SUM(F50:Q50)</f>
        <v>1</v>
      </c>
      <c r="S50" s="18">
        <f>AVERAGE(F50:Q50)</f>
        <v>1</v>
      </c>
      <c r="T50" s="20">
        <f>U50/S50</f>
        <v>321</v>
      </c>
      <c r="U50" s="94">
        <f>SUM(E50-R50)</f>
        <v>321</v>
      </c>
    </row>
    <row r="51" spans="1:21" x14ac:dyDescent="0.2">
      <c r="A51" s="2"/>
      <c r="B51" s="196">
        <v>2014</v>
      </c>
      <c r="C51" s="2" t="s">
        <v>100</v>
      </c>
      <c r="D51" s="197"/>
      <c r="E51" s="146">
        <v>134</v>
      </c>
      <c r="F51" s="198"/>
      <c r="G51" s="198"/>
      <c r="H51" s="198"/>
      <c r="I51" s="198"/>
      <c r="J51" s="198"/>
      <c r="K51" s="198"/>
      <c r="L51" s="198"/>
      <c r="M51" s="198"/>
      <c r="N51" s="198"/>
      <c r="O51" s="212">
        <v>18</v>
      </c>
      <c r="P51" s="213">
        <v>20</v>
      </c>
      <c r="Q51" s="213">
        <v>18</v>
      </c>
      <c r="R51" s="17">
        <f>SUM(F51:Q51)</f>
        <v>56</v>
      </c>
      <c r="S51" s="18">
        <f>AVERAGE(F51:Q51)</f>
        <v>18.666666666666668</v>
      </c>
      <c r="T51" s="20">
        <f>U51/S51</f>
        <v>4.1785714285714279</v>
      </c>
      <c r="U51" s="94">
        <f>SUM(E51-R51)</f>
        <v>78</v>
      </c>
    </row>
    <row r="52" spans="1:21" x14ac:dyDescent="0.2">
      <c r="A52" s="162"/>
      <c r="B52" s="162"/>
      <c r="C52" s="162"/>
      <c r="D52" s="162"/>
      <c r="E52" s="162"/>
      <c r="F52" s="162"/>
      <c r="G52" s="162"/>
      <c r="H52" s="162"/>
      <c r="I52" s="162"/>
      <c r="J52" s="162"/>
      <c r="K52" s="162"/>
      <c r="L52" s="162"/>
      <c r="M52" s="162"/>
      <c r="N52" s="162"/>
      <c r="O52" s="211"/>
      <c r="P52" s="211"/>
      <c r="Q52" s="162"/>
      <c r="R52" s="162"/>
      <c r="S52" s="162"/>
      <c r="T52" s="162"/>
      <c r="U52" s="162"/>
    </row>
    <row r="53" spans="1:21" x14ac:dyDescent="0.2">
      <c r="A53" s="2"/>
      <c r="B53" s="158">
        <v>2011</v>
      </c>
      <c r="C53" s="16"/>
      <c r="D53" s="139"/>
      <c r="E53" s="93">
        <f t="shared" ref="E53:R53" si="12">SUM(E10:E13)</f>
        <v>276</v>
      </c>
      <c r="F53" s="93">
        <f t="shared" si="12"/>
        <v>90</v>
      </c>
      <c r="G53" s="93">
        <f t="shared" si="12"/>
        <v>36</v>
      </c>
      <c r="H53" s="93">
        <f t="shared" si="12"/>
        <v>46</v>
      </c>
      <c r="I53" s="93">
        <f t="shared" si="12"/>
        <v>31</v>
      </c>
      <c r="J53" s="93">
        <f t="shared" si="12"/>
        <v>24</v>
      </c>
      <c r="K53" s="93">
        <f t="shared" si="12"/>
        <v>11</v>
      </c>
      <c r="L53" s="93">
        <f t="shared" si="12"/>
        <v>22</v>
      </c>
      <c r="M53" s="93">
        <f t="shared" si="12"/>
        <v>16</v>
      </c>
      <c r="N53" s="93">
        <f t="shared" si="12"/>
        <v>0</v>
      </c>
      <c r="O53" s="93">
        <f t="shared" si="12"/>
        <v>0</v>
      </c>
      <c r="P53" s="93">
        <f t="shared" si="12"/>
        <v>0</v>
      </c>
      <c r="Q53" s="93">
        <f t="shared" si="12"/>
        <v>0</v>
      </c>
      <c r="R53" s="18">
        <f t="shared" si="12"/>
        <v>276</v>
      </c>
      <c r="S53" s="18">
        <f>AVERAGE(F53:Q53)</f>
        <v>23</v>
      </c>
      <c r="T53" s="20">
        <f>U53/S53</f>
        <v>0</v>
      </c>
      <c r="U53" s="188">
        <f>SUM(U10:U13)</f>
        <v>0</v>
      </c>
    </row>
    <row r="54" spans="1:21" x14ac:dyDescent="0.2">
      <c r="A54" s="2"/>
      <c r="B54" s="134">
        <v>2012</v>
      </c>
      <c r="C54" s="2"/>
      <c r="D54" s="129"/>
      <c r="E54" s="93">
        <f t="shared" ref="E54:R54" si="13">SUM(E15:E21)</f>
        <v>2080</v>
      </c>
      <c r="F54" s="93">
        <f t="shared" si="13"/>
        <v>147</v>
      </c>
      <c r="G54" s="93">
        <f t="shared" si="13"/>
        <v>119</v>
      </c>
      <c r="H54" s="93">
        <f t="shared" si="13"/>
        <v>118</v>
      </c>
      <c r="I54" s="93">
        <f t="shared" si="13"/>
        <v>185</v>
      </c>
      <c r="J54" s="93">
        <f t="shared" si="13"/>
        <v>151</v>
      </c>
      <c r="K54" s="93">
        <f t="shared" si="13"/>
        <v>149</v>
      </c>
      <c r="L54" s="93">
        <f t="shared" si="13"/>
        <v>200</v>
      </c>
      <c r="M54" s="93">
        <f t="shared" si="13"/>
        <v>160</v>
      </c>
      <c r="N54" s="93">
        <f t="shared" si="13"/>
        <v>186</v>
      </c>
      <c r="O54" s="93">
        <f t="shared" si="13"/>
        <v>172</v>
      </c>
      <c r="P54" s="93">
        <f t="shared" si="13"/>
        <v>105</v>
      </c>
      <c r="Q54" s="93">
        <f t="shared" si="13"/>
        <v>59</v>
      </c>
      <c r="R54" s="18">
        <f t="shared" si="13"/>
        <v>1751</v>
      </c>
      <c r="S54" s="18">
        <f>AVERAGE(F54:Q54)</f>
        <v>145.91666666666666</v>
      </c>
      <c r="T54" s="20">
        <f>U54/S54</f>
        <v>2.2547115933752142</v>
      </c>
      <c r="U54" s="188">
        <f>SUM(U15:U21)</f>
        <v>329</v>
      </c>
    </row>
    <row r="55" spans="1:21" x14ac:dyDescent="0.2">
      <c r="A55" s="2"/>
      <c r="B55" s="134">
        <v>2013</v>
      </c>
      <c r="C55" s="2"/>
      <c r="D55" s="129"/>
      <c r="E55" s="93">
        <f t="shared" ref="E55:R55" si="14">SUM(E23:E35)</f>
        <v>3772</v>
      </c>
      <c r="F55" s="93">
        <f t="shared" si="14"/>
        <v>140</v>
      </c>
      <c r="G55" s="93">
        <f t="shared" si="14"/>
        <v>88</v>
      </c>
      <c r="H55" s="93">
        <f t="shared" si="14"/>
        <v>59</v>
      </c>
      <c r="I55" s="93">
        <f t="shared" si="14"/>
        <v>57</v>
      </c>
      <c r="J55" s="93">
        <f t="shared" si="14"/>
        <v>91</v>
      </c>
      <c r="K55" s="93">
        <f t="shared" si="14"/>
        <v>94</v>
      </c>
      <c r="L55" s="93">
        <f t="shared" si="14"/>
        <v>150</v>
      </c>
      <c r="M55" s="93">
        <f t="shared" si="14"/>
        <v>107</v>
      </c>
      <c r="N55" s="93">
        <f t="shared" si="14"/>
        <v>115</v>
      </c>
      <c r="O55" s="93">
        <f t="shared" si="14"/>
        <v>254</v>
      </c>
      <c r="P55" s="93">
        <f t="shared" si="14"/>
        <v>211</v>
      </c>
      <c r="Q55" s="93">
        <f t="shared" si="14"/>
        <v>234</v>
      </c>
      <c r="R55" s="184">
        <f t="shared" si="14"/>
        <v>1600</v>
      </c>
      <c r="S55" s="184">
        <f>AVERAGE(F55:Q55)</f>
        <v>133.33333333333334</v>
      </c>
      <c r="T55" s="185">
        <f>U55/S55</f>
        <v>16.29</v>
      </c>
      <c r="U55" s="184">
        <f>SUM(U23:U35)</f>
        <v>2172</v>
      </c>
    </row>
    <row r="56" spans="1:21" x14ac:dyDescent="0.2">
      <c r="A56" s="2"/>
      <c r="B56" s="134">
        <v>2014</v>
      </c>
      <c r="C56" s="2"/>
      <c r="D56" s="129"/>
      <c r="E56" s="93">
        <f t="shared" ref="E56:R56" si="15">SUM(E37:E48)</f>
        <v>4298</v>
      </c>
      <c r="F56" s="93">
        <f t="shared" si="15"/>
        <v>0</v>
      </c>
      <c r="G56" s="93">
        <f t="shared" si="15"/>
        <v>0</v>
      </c>
      <c r="H56" s="93">
        <f t="shared" si="15"/>
        <v>0</v>
      </c>
      <c r="I56" s="93">
        <f t="shared" si="15"/>
        <v>107</v>
      </c>
      <c r="J56" s="93">
        <f t="shared" si="15"/>
        <v>99</v>
      </c>
      <c r="K56" s="93">
        <f t="shared" si="15"/>
        <v>85</v>
      </c>
      <c r="L56" s="93">
        <f t="shared" si="15"/>
        <v>161</v>
      </c>
      <c r="M56" s="93">
        <f t="shared" si="15"/>
        <v>102</v>
      </c>
      <c r="N56" s="93">
        <f t="shared" si="15"/>
        <v>125</v>
      </c>
      <c r="O56" s="93">
        <f t="shared" si="15"/>
        <v>125</v>
      </c>
      <c r="P56" s="93">
        <f t="shared" si="15"/>
        <v>62</v>
      </c>
      <c r="Q56" s="93">
        <f>SUM(Q37:Q48)</f>
        <v>59</v>
      </c>
      <c r="R56" s="184">
        <f t="shared" si="15"/>
        <v>925</v>
      </c>
      <c r="S56" s="184">
        <f>AVERAGE(F56:Q56)</f>
        <v>77.083333333333329</v>
      </c>
      <c r="T56" s="185">
        <f>U56/S56</f>
        <v>43.75783783783784</v>
      </c>
      <c r="U56" s="184">
        <f>SUM(U37:U48)</f>
        <v>3373</v>
      </c>
    </row>
    <row r="57" spans="1:21" x14ac:dyDescent="0.2">
      <c r="A57" s="2"/>
      <c r="B57" s="159" t="s">
        <v>59</v>
      </c>
      <c r="C57" s="2"/>
      <c r="D57" s="129"/>
      <c r="E57" s="173">
        <f>SUM(E53:E54)</f>
        <v>2356</v>
      </c>
      <c r="F57" s="173">
        <f t="shared" ref="F57:S57" si="16">SUM(F53:F56)</f>
        <v>377</v>
      </c>
      <c r="G57" s="173">
        <f t="shared" si="16"/>
        <v>243</v>
      </c>
      <c r="H57" s="173">
        <f t="shared" si="16"/>
        <v>223</v>
      </c>
      <c r="I57" s="173">
        <f t="shared" si="16"/>
        <v>380</v>
      </c>
      <c r="J57" s="173">
        <f t="shared" si="16"/>
        <v>365</v>
      </c>
      <c r="K57" s="173">
        <f t="shared" si="16"/>
        <v>339</v>
      </c>
      <c r="L57" s="173">
        <f t="shared" si="16"/>
        <v>533</v>
      </c>
      <c r="M57" s="173">
        <f t="shared" si="16"/>
        <v>385</v>
      </c>
      <c r="N57" s="173">
        <f t="shared" si="16"/>
        <v>426</v>
      </c>
      <c r="O57" s="173">
        <f t="shared" si="16"/>
        <v>551</v>
      </c>
      <c r="P57" s="173">
        <f t="shared" si="16"/>
        <v>378</v>
      </c>
      <c r="Q57" s="173">
        <f t="shared" si="16"/>
        <v>352</v>
      </c>
      <c r="R57" s="192">
        <f t="shared" si="16"/>
        <v>4552</v>
      </c>
      <c r="S57" s="11">
        <f t="shared" si="16"/>
        <v>379.33333333333331</v>
      </c>
      <c r="T57" s="20">
        <f>U57/S57</f>
        <v>15.485061511423551</v>
      </c>
      <c r="U57" s="11">
        <f>SUM(U53:U56)</f>
        <v>5874</v>
      </c>
    </row>
    <row r="58" spans="1:21" x14ac:dyDescent="0.2">
      <c r="A58" s="162"/>
      <c r="B58" s="141"/>
      <c r="C58" s="141"/>
      <c r="D58" s="142"/>
      <c r="E58" s="174"/>
      <c r="F58" s="174"/>
      <c r="G58" s="174"/>
      <c r="H58" s="174"/>
      <c r="I58" s="174"/>
      <c r="J58" s="174"/>
      <c r="K58" s="174"/>
      <c r="L58" s="174"/>
      <c r="M58" s="174"/>
      <c r="N58" s="174"/>
      <c r="O58" s="174"/>
      <c r="P58" s="174"/>
      <c r="Q58" s="174"/>
      <c r="R58" s="141"/>
      <c r="S58" s="142"/>
      <c r="T58" s="143"/>
      <c r="U58" s="189"/>
    </row>
    <row r="59" spans="1:21" ht="13.5" thickBot="1" x14ac:dyDescent="0.25">
      <c r="E59" s="168"/>
      <c r="F59" s="168"/>
      <c r="G59" s="168"/>
      <c r="H59" s="168"/>
      <c r="I59" s="168"/>
      <c r="J59" s="168"/>
      <c r="K59" s="168"/>
      <c r="L59" s="168"/>
      <c r="M59" s="168"/>
      <c r="N59" s="168"/>
      <c r="Q59" s="168"/>
    </row>
    <row r="60" spans="1:21" ht="48" thickBot="1" x14ac:dyDescent="0.45">
      <c r="B60" s="116" t="s">
        <v>60</v>
      </c>
      <c r="C60" s="117"/>
      <c r="D60" s="117"/>
      <c r="E60" s="118" t="s">
        <v>61</v>
      </c>
      <c r="F60" s="443" t="s">
        <v>62</v>
      </c>
      <c r="G60" s="444"/>
      <c r="H60" s="444"/>
      <c r="I60" s="444"/>
      <c r="J60" s="444"/>
      <c r="K60" s="444"/>
      <c r="L60" s="444"/>
      <c r="M60" s="444"/>
      <c r="N60" s="444"/>
      <c r="O60" s="444"/>
      <c r="P60" s="444"/>
      <c r="Q60" s="444"/>
      <c r="R60" s="119" t="s">
        <v>63</v>
      </c>
      <c r="S60" s="120"/>
      <c r="T60" s="120"/>
      <c r="U60" s="120"/>
    </row>
    <row r="61" spans="1:21" x14ac:dyDescent="0.2">
      <c r="B61" s="22"/>
      <c r="C61" s="121"/>
      <c r="D61" s="22"/>
      <c r="E61" s="128"/>
      <c r="F61" s="175"/>
      <c r="G61" s="175"/>
      <c r="H61" s="175"/>
      <c r="I61" s="175"/>
      <c r="J61" s="175"/>
      <c r="K61" s="175"/>
      <c r="L61" s="175"/>
      <c r="M61" s="175"/>
      <c r="N61" s="175"/>
      <c r="O61" s="175"/>
      <c r="P61" s="175"/>
      <c r="Q61" s="176"/>
      <c r="R61" s="22"/>
    </row>
    <row r="62" spans="1:21" x14ac:dyDescent="0.2">
      <c r="B62" s="2"/>
      <c r="C62" s="114"/>
      <c r="D62" s="2"/>
      <c r="E62" s="175"/>
      <c r="F62" s="146"/>
      <c r="G62" s="146"/>
      <c r="H62" s="146"/>
      <c r="I62" s="146"/>
      <c r="J62" s="146"/>
      <c r="K62" s="146"/>
      <c r="L62" s="146"/>
      <c r="M62" s="146"/>
      <c r="N62" s="146"/>
      <c r="O62" s="146"/>
      <c r="P62" s="146"/>
      <c r="Q62" s="177"/>
      <c r="R62" s="2"/>
    </row>
    <row r="63" spans="1:21" x14ac:dyDescent="0.2">
      <c r="B63" s="46"/>
      <c r="C63" s="46"/>
      <c r="D63" s="46"/>
      <c r="E63" s="170"/>
      <c r="F63" s="170"/>
      <c r="G63" s="170"/>
      <c r="H63" s="170"/>
      <c r="I63" s="170"/>
      <c r="J63" s="170"/>
      <c r="K63" s="170"/>
      <c r="L63" s="170"/>
      <c r="M63" s="170"/>
      <c r="N63" s="170"/>
      <c r="O63" s="170"/>
      <c r="P63" s="170"/>
      <c r="Q63" s="178"/>
      <c r="R63" s="46"/>
    </row>
    <row r="64" spans="1:21" x14ac:dyDescent="0.2">
      <c r="B64" s="2"/>
      <c r="C64" s="114"/>
      <c r="D64" s="2"/>
      <c r="E64" s="146"/>
      <c r="F64" s="146"/>
      <c r="G64" s="146"/>
      <c r="H64" s="146"/>
      <c r="I64" s="146"/>
      <c r="J64" s="146"/>
      <c r="K64" s="146"/>
      <c r="L64" s="146"/>
      <c r="M64" s="146"/>
      <c r="N64" s="146"/>
      <c r="O64" s="146"/>
      <c r="P64" s="146"/>
      <c r="Q64" s="177"/>
      <c r="R64" s="2"/>
    </row>
    <row r="65" spans="2:18" x14ac:dyDescent="0.2">
      <c r="B65" s="2"/>
      <c r="C65" s="114"/>
      <c r="D65" s="2"/>
      <c r="E65" s="146"/>
      <c r="F65" s="146"/>
      <c r="G65" s="146"/>
      <c r="H65" s="146"/>
      <c r="I65" s="146"/>
      <c r="J65" s="146"/>
      <c r="K65" s="146"/>
      <c r="L65" s="146"/>
      <c r="M65" s="146"/>
      <c r="N65" s="146"/>
      <c r="O65" s="146"/>
      <c r="P65" s="146"/>
      <c r="Q65" s="177"/>
      <c r="R65" s="2"/>
    </row>
    <row r="66" spans="2:18" x14ac:dyDescent="0.2">
      <c r="B66" s="75"/>
      <c r="C66" s="125"/>
      <c r="D66" s="75"/>
      <c r="E66" s="179"/>
      <c r="F66" s="179"/>
      <c r="G66" s="179"/>
      <c r="H66" s="179"/>
      <c r="I66" s="179"/>
      <c r="J66" s="179"/>
      <c r="K66" s="179"/>
      <c r="L66" s="179"/>
      <c r="M66" s="179"/>
      <c r="N66" s="179"/>
      <c r="O66" s="179"/>
      <c r="P66" s="179"/>
      <c r="Q66" s="179"/>
      <c r="R66" s="46"/>
    </row>
    <row r="67" spans="2:18" ht="13.5" thickBot="1" x14ac:dyDescent="0.25">
      <c r="C67" s="126"/>
      <c r="E67" s="168"/>
      <c r="F67" s="168"/>
      <c r="G67" s="168"/>
      <c r="H67" s="168"/>
      <c r="I67" s="168"/>
      <c r="J67" s="168"/>
      <c r="K67" s="168"/>
      <c r="L67" s="168"/>
      <c r="M67" s="168"/>
      <c r="N67" s="168"/>
      <c r="Q67" s="168"/>
    </row>
    <row r="68" spans="2:18" ht="63.75" thickBot="1" x14ac:dyDescent="0.45">
      <c r="B68" s="445" t="s">
        <v>60</v>
      </c>
      <c r="C68" s="446"/>
      <c r="D68" s="447"/>
      <c r="E68" s="127" t="s">
        <v>64</v>
      </c>
      <c r="F68" s="443" t="s">
        <v>65</v>
      </c>
      <c r="G68" s="444"/>
      <c r="H68" s="444"/>
      <c r="I68" s="444"/>
      <c r="J68" s="444"/>
      <c r="K68" s="444"/>
      <c r="L68" s="444"/>
      <c r="M68" s="444"/>
      <c r="N68" s="444"/>
      <c r="O68" s="444"/>
      <c r="P68" s="444"/>
      <c r="Q68" s="448"/>
      <c r="R68" s="119" t="s">
        <v>66</v>
      </c>
    </row>
    <row r="69" spans="2:18" ht="15.75" x14ac:dyDescent="0.25">
      <c r="B69" s="22"/>
      <c r="C69" s="121"/>
      <c r="D69" s="22"/>
      <c r="E69" s="122"/>
      <c r="F69" s="175"/>
      <c r="G69" s="175"/>
      <c r="H69" s="175"/>
      <c r="I69" s="175"/>
      <c r="J69" s="175"/>
      <c r="K69" s="175"/>
      <c r="L69" s="175"/>
      <c r="M69" s="175"/>
      <c r="N69" s="175"/>
      <c r="O69" s="175"/>
      <c r="P69" s="175"/>
      <c r="Q69" s="175"/>
      <c r="R69" s="22"/>
    </row>
    <row r="70" spans="2:18" x14ac:dyDescent="0.2">
      <c r="B70" s="2"/>
      <c r="C70" s="114"/>
      <c r="D70" s="2"/>
      <c r="E70" s="175"/>
      <c r="F70" s="146"/>
      <c r="G70" s="146"/>
      <c r="H70" s="146"/>
      <c r="I70" s="146"/>
      <c r="J70" s="146"/>
      <c r="K70" s="146"/>
      <c r="L70" s="146"/>
      <c r="M70" s="146"/>
      <c r="N70" s="146"/>
      <c r="O70" s="146"/>
      <c r="P70" s="146"/>
      <c r="Q70" s="146"/>
      <c r="R70" s="2"/>
    </row>
    <row r="71" spans="2:18" x14ac:dyDescent="0.2">
      <c r="B71" s="46"/>
      <c r="C71" s="46"/>
      <c r="D71" s="46"/>
      <c r="E71" s="170"/>
      <c r="F71" s="170"/>
      <c r="G71" s="170"/>
      <c r="H71" s="170"/>
      <c r="I71" s="170"/>
      <c r="J71" s="170"/>
      <c r="K71" s="170"/>
      <c r="L71" s="170"/>
      <c r="M71" s="170"/>
      <c r="N71" s="170"/>
      <c r="O71" s="170"/>
      <c r="P71" s="170"/>
      <c r="Q71" s="170"/>
      <c r="R71" s="46"/>
    </row>
    <row r="72" spans="2:18" x14ac:dyDescent="0.2">
      <c r="B72" s="2"/>
      <c r="C72" s="114"/>
      <c r="D72" s="2"/>
      <c r="E72" s="146"/>
      <c r="F72" s="146"/>
      <c r="G72" s="146"/>
      <c r="H72" s="146"/>
      <c r="I72" s="146"/>
      <c r="J72" s="146"/>
      <c r="K72" s="146"/>
      <c r="L72" s="146"/>
      <c r="M72" s="146"/>
      <c r="N72" s="146"/>
      <c r="O72" s="146"/>
      <c r="P72" s="146"/>
      <c r="Q72" s="146"/>
      <c r="R72" s="2"/>
    </row>
    <row r="73" spans="2:18" x14ac:dyDescent="0.2">
      <c r="B73" s="2"/>
      <c r="C73" s="114"/>
      <c r="D73" s="2"/>
      <c r="E73" s="146"/>
      <c r="F73" s="146"/>
      <c r="G73" s="146"/>
      <c r="H73" s="146"/>
      <c r="I73" s="146"/>
      <c r="J73" s="146"/>
      <c r="K73" s="146"/>
      <c r="L73" s="146"/>
      <c r="M73" s="146"/>
      <c r="N73" s="146"/>
      <c r="O73" s="146"/>
      <c r="P73" s="146"/>
      <c r="Q73" s="146"/>
      <c r="R73" s="2"/>
    </row>
  </sheetData>
  <mergeCells count="3">
    <mergeCell ref="F60:Q60"/>
    <mergeCell ref="B68:D68"/>
    <mergeCell ref="F68:Q68"/>
  </mergeCells>
  <pageMargins left="0.7" right="0.7" top="0.75" bottom="0.75" header="0.3" footer="0.3"/>
  <pageSetup orientation="portrait" horizontalDpi="4294967293" vertic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5"/>
  <sheetViews>
    <sheetView workbookViewId="0">
      <selection sqref="A1:D25"/>
    </sheetView>
  </sheetViews>
  <sheetFormatPr defaultRowHeight="12.75" x14ac:dyDescent="0.2"/>
  <cols>
    <col min="1" max="1" width="12.42578125" style="168" bestFit="1" customWidth="1"/>
    <col min="2" max="3" width="9.28515625" style="168"/>
    <col min="4" max="4" width="9.28515625" style="216"/>
    <col min="9" max="9" width="10.7109375" style="168" bestFit="1" customWidth="1"/>
    <col min="10" max="10" width="9.28515625" style="168"/>
  </cols>
  <sheetData>
    <row r="1" spans="1:10" x14ac:dyDescent="0.2">
      <c r="A1" s="217" t="s">
        <v>81</v>
      </c>
      <c r="B1" s="217"/>
      <c r="C1" s="217" t="s">
        <v>101</v>
      </c>
      <c r="D1" s="218" t="s">
        <v>102</v>
      </c>
      <c r="I1" s="217" t="s">
        <v>103</v>
      </c>
      <c r="J1" s="217" t="s">
        <v>104</v>
      </c>
    </row>
    <row r="2" spans="1:10" x14ac:dyDescent="0.2">
      <c r="A2" s="168">
        <v>2012</v>
      </c>
      <c r="B2" s="215" t="s">
        <v>105</v>
      </c>
      <c r="C2" s="168">
        <v>3</v>
      </c>
      <c r="D2" s="216">
        <f>C2/12</f>
        <v>0.25</v>
      </c>
      <c r="I2" s="215" t="s">
        <v>106</v>
      </c>
      <c r="J2" s="168">
        <v>1860</v>
      </c>
    </row>
    <row r="3" spans="1:10" x14ac:dyDescent="0.2">
      <c r="A3" s="168">
        <v>2013</v>
      </c>
      <c r="B3" s="215" t="s">
        <v>105</v>
      </c>
      <c r="C3" s="168">
        <v>43</v>
      </c>
      <c r="D3" s="216">
        <f>C3/12</f>
        <v>3.5833333333333335</v>
      </c>
      <c r="I3" s="215" t="s">
        <v>107</v>
      </c>
      <c r="J3" s="168">
        <v>850</v>
      </c>
    </row>
    <row r="4" spans="1:10" x14ac:dyDescent="0.2">
      <c r="A4" s="168">
        <v>2014</v>
      </c>
      <c r="B4" s="215" t="s">
        <v>105</v>
      </c>
      <c r="C4" s="168">
        <v>14</v>
      </c>
      <c r="D4" s="216">
        <f t="shared" ref="D4:D25" si="0">C4/12</f>
        <v>1.1666666666666667</v>
      </c>
      <c r="I4" s="215" t="s">
        <v>108</v>
      </c>
      <c r="J4" s="168">
        <v>825</v>
      </c>
    </row>
    <row r="5" spans="1:10" x14ac:dyDescent="0.2">
      <c r="A5" s="168">
        <v>2013</v>
      </c>
      <c r="B5" s="215" t="s">
        <v>109</v>
      </c>
      <c r="C5" s="168">
        <v>28</v>
      </c>
      <c r="D5" s="216">
        <f t="shared" si="0"/>
        <v>2.3333333333333335</v>
      </c>
      <c r="I5" s="215" t="s">
        <v>110</v>
      </c>
      <c r="J5" s="168">
        <v>800</v>
      </c>
    </row>
    <row r="6" spans="1:10" x14ac:dyDescent="0.2">
      <c r="A6" s="168">
        <v>2014</v>
      </c>
      <c r="B6" s="215" t="s">
        <v>109</v>
      </c>
      <c r="C6" s="168">
        <v>33</v>
      </c>
      <c r="D6" s="216">
        <f t="shared" si="0"/>
        <v>2.75</v>
      </c>
      <c r="I6" s="215" t="s">
        <v>111</v>
      </c>
      <c r="J6" s="168">
        <v>2650</v>
      </c>
    </row>
    <row r="7" spans="1:10" x14ac:dyDescent="0.2">
      <c r="A7" s="168">
        <v>2014</v>
      </c>
      <c r="B7" s="215" t="s">
        <v>106</v>
      </c>
      <c r="C7" s="168">
        <v>41</v>
      </c>
      <c r="D7" s="216">
        <f t="shared" si="0"/>
        <v>3.4166666666666665</v>
      </c>
      <c r="I7" s="215" t="s">
        <v>25</v>
      </c>
      <c r="J7" s="168">
        <v>3700</v>
      </c>
    </row>
    <row r="8" spans="1:10" x14ac:dyDescent="0.2">
      <c r="A8" s="168">
        <v>2012</v>
      </c>
      <c r="B8" s="215" t="s">
        <v>112</v>
      </c>
      <c r="C8" s="168">
        <v>35</v>
      </c>
      <c r="D8" s="216">
        <f t="shared" si="0"/>
        <v>2.9166666666666665</v>
      </c>
      <c r="I8" s="215" t="s">
        <v>109</v>
      </c>
      <c r="J8" s="168">
        <v>2380</v>
      </c>
    </row>
    <row r="9" spans="1:10" x14ac:dyDescent="0.2">
      <c r="A9" s="168">
        <v>2013</v>
      </c>
      <c r="B9" s="215" t="s">
        <v>112</v>
      </c>
      <c r="C9" s="168">
        <v>44</v>
      </c>
      <c r="D9" s="216">
        <f t="shared" si="0"/>
        <v>3.6666666666666665</v>
      </c>
      <c r="I9" s="215" t="s">
        <v>24</v>
      </c>
      <c r="J9" s="168">
        <v>2360</v>
      </c>
    </row>
    <row r="10" spans="1:10" x14ac:dyDescent="0.2">
      <c r="A10" s="168">
        <v>2014</v>
      </c>
      <c r="B10" s="215" t="s">
        <v>112</v>
      </c>
      <c r="C10" s="168">
        <v>9</v>
      </c>
      <c r="D10" s="216">
        <f t="shared" si="0"/>
        <v>0.75</v>
      </c>
      <c r="I10" s="215" t="s">
        <v>113</v>
      </c>
      <c r="J10" s="168">
        <v>700</v>
      </c>
    </row>
    <row r="11" spans="1:10" x14ac:dyDescent="0.2">
      <c r="A11" s="168">
        <v>2013</v>
      </c>
      <c r="B11" s="215" t="s">
        <v>114</v>
      </c>
      <c r="C11" s="168">
        <v>37</v>
      </c>
      <c r="D11" s="216">
        <f t="shared" si="0"/>
        <v>3.0833333333333335</v>
      </c>
      <c r="I11" s="215" t="s">
        <v>115</v>
      </c>
      <c r="J11" s="168">
        <v>1330</v>
      </c>
    </row>
    <row r="12" spans="1:10" x14ac:dyDescent="0.2">
      <c r="A12" s="168">
        <v>2014</v>
      </c>
      <c r="B12" s="215" t="s">
        <v>114</v>
      </c>
      <c r="C12" s="168">
        <v>21</v>
      </c>
      <c r="D12" s="216">
        <f t="shared" si="0"/>
        <v>1.75</v>
      </c>
      <c r="I12" s="215" t="s">
        <v>116</v>
      </c>
      <c r="J12" s="168">
        <v>1835</v>
      </c>
    </row>
    <row r="13" spans="1:10" x14ac:dyDescent="0.2">
      <c r="A13" s="168">
        <v>2013</v>
      </c>
      <c r="B13" s="215" t="s">
        <v>116</v>
      </c>
      <c r="C13" s="168">
        <v>18</v>
      </c>
      <c r="D13" s="216">
        <f t="shared" si="0"/>
        <v>1.5</v>
      </c>
      <c r="I13" s="215" t="s">
        <v>23</v>
      </c>
      <c r="J13" s="168">
        <v>1465</v>
      </c>
    </row>
    <row r="14" spans="1:10" x14ac:dyDescent="0.2">
      <c r="A14" s="168">
        <v>2014</v>
      </c>
      <c r="B14" s="215" t="s">
        <v>116</v>
      </c>
      <c r="C14" s="168">
        <v>30</v>
      </c>
      <c r="D14" s="216">
        <f t="shared" si="0"/>
        <v>2.5</v>
      </c>
      <c r="I14" s="215" t="s">
        <v>112</v>
      </c>
      <c r="J14" s="168">
        <v>1050</v>
      </c>
    </row>
    <row r="15" spans="1:10" x14ac:dyDescent="0.2">
      <c r="A15" s="168">
        <v>2012</v>
      </c>
      <c r="B15" s="215" t="s">
        <v>117</v>
      </c>
      <c r="C15" s="168">
        <v>11</v>
      </c>
      <c r="D15" s="216">
        <f t="shared" si="0"/>
        <v>0.91666666666666663</v>
      </c>
      <c r="I15" s="215" t="s">
        <v>118</v>
      </c>
      <c r="J15" s="168">
        <v>70</v>
      </c>
    </row>
    <row r="16" spans="1:10" x14ac:dyDescent="0.2">
      <c r="A16" s="168">
        <v>2013</v>
      </c>
      <c r="B16" s="215" t="s">
        <v>117</v>
      </c>
      <c r="C16" s="168">
        <v>27</v>
      </c>
      <c r="D16" s="216">
        <f t="shared" si="0"/>
        <v>2.25</v>
      </c>
      <c r="I16" s="215" t="s">
        <v>119</v>
      </c>
      <c r="J16" s="168">
        <v>550</v>
      </c>
    </row>
    <row r="17" spans="1:10" x14ac:dyDescent="0.2">
      <c r="A17" s="168">
        <v>2014</v>
      </c>
      <c r="B17" s="215" t="s">
        <v>117</v>
      </c>
      <c r="C17" s="168">
        <v>12</v>
      </c>
      <c r="D17" s="216">
        <f t="shared" si="0"/>
        <v>1</v>
      </c>
      <c r="I17" s="215" t="s">
        <v>120</v>
      </c>
      <c r="J17" s="168">
        <v>1100</v>
      </c>
    </row>
    <row r="18" spans="1:10" x14ac:dyDescent="0.2">
      <c r="A18" s="168">
        <v>2013</v>
      </c>
      <c r="B18" s="215" t="s">
        <v>121</v>
      </c>
      <c r="C18" s="168">
        <v>11</v>
      </c>
      <c r="D18" s="216">
        <f t="shared" si="0"/>
        <v>0.91666666666666663</v>
      </c>
    </row>
    <row r="19" spans="1:10" x14ac:dyDescent="0.2">
      <c r="A19" s="168">
        <v>2014</v>
      </c>
      <c r="B19" s="215" t="s">
        <v>121</v>
      </c>
      <c r="C19" s="168">
        <v>18</v>
      </c>
      <c r="D19" s="216">
        <f t="shared" si="0"/>
        <v>1.5</v>
      </c>
    </row>
    <row r="20" spans="1:10" x14ac:dyDescent="0.2">
      <c r="A20" s="168">
        <v>2013</v>
      </c>
      <c r="B20" s="215" t="s">
        <v>118</v>
      </c>
      <c r="C20" s="168">
        <v>21</v>
      </c>
      <c r="D20" s="216">
        <f t="shared" si="0"/>
        <v>1.75</v>
      </c>
    </row>
    <row r="21" spans="1:10" x14ac:dyDescent="0.2">
      <c r="A21" s="168">
        <v>2014</v>
      </c>
      <c r="B21" s="215" t="s">
        <v>118</v>
      </c>
      <c r="C21" s="168">
        <v>9</v>
      </c>
      <c r="D21" s="216">
        <f t="shared" si="0"/>
        <v>0.75</v>
      </c>
    </row>
    <row r="22" spans="1:10" x14ac:dyDescent="0.2">
      <c r="A22" s="215">
        <v>2014</v>
      </c>
      <c r="B22" s="215" t="s">
        <v>100</v>
      </c>
      <c r="C22" s="168">
        <v>57</v>
      </c>
      <c r="D22" s="216">
        <f t="shared" si="0"/>
        <v>4.75</v>
      </c>
    </row>
    <row r="23" spans="1:10" x14ac:dyDescent="0.2">
      <c r="A23" s="168">
        <v>2013</v>
      </c>
      <c r="B23" s="215" t="s">
        <v>119</v>
      </c>
      <c r="C23" s="168">
        <v>45</v>
      </c>
      <c r="D23" s="216">
        <f t="shared" si="0"/>
        <v>3.75</v>
      </c>
    </row>
    <row r="24" spans="1:10" x14ac:dyDescent="0.2">
      <c r="A24" s="168">
        <v>2014</v>
      </c>
      <c r="B24" s="215" t="s">
        <v>122</v>
      </c>
      <c r="C24" s="168">
        <v>13</v>
      </c>
      <c r="D24" s="216">
        <f t="shared" si="0"/>
        <v>1.0833333333333333</v>
      </c>
    </row>
    <row r="25" spans="1:10" x14ac:dyDescent="0.2">
      <c r="A25" s="168">
        <v>2014</v>
      </c>
      <c r="B25" s="215" t="s">
        <v>123</v>
      </c>
      <c r="C25" s="168">
        <v>37</v>
      </c>
      <c r="D25" s="216">
        <f t="shared" si="0"/>
        <v>3.0833333333333335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105"/>
  <sheetViews>
    <sheetView topLeftCell="A7" zoomScale="80" zoomScaleNormal="80" workbookViewId="0">
      <selection activeCell="AA7" sqref="AA7"/>
    </sheetView>
  </sheetViews>
  <sheetFormatPr defaultColWidth="9.28515625" defaultRowHeight="15" x14ac:dyDescent="0.2"/>
  <cols>
    <col min="1" max="2" width="9.28515625" style="220"/>
    <col min="3" max="3" width="29" style="220" customWidth="1"/>
    <col min="4" max="4" width="9.42578125" style="220" customWidth="1"/>
    <col min="5" max="5" width="8.5703125" style="220" customWidth="1"/>
    <col min="6" max="6" width="6.28515625" style="220" customWidth="1"/>
    <col min="7" max="7" width="7.28515625" style="220" customWidth="1"/>
    <col min="8" max="8" width="6.28515625" style="220" customWidth="1"/>
    <col min="9" max="10" width="7.28515625" style="220" customWidth="1"/>
    <col min="11" max="11" width="8.28515625" style="220" customWidth="1"/>
    <col min="12" max="12" width="6.7109375" style="220" customWidth="1"/>
    <col min="13" max="13" width="8.42578125" style="220" customWidth="1"/>
    <col min="14" max="18" width="8.7109375" style="220" customWidth="1"/>
    <col min="19" max="19" width="10.28515625" style="220" customWidth="1"/>
    <col min="20" max="21" width="8.7109375" style="220" customWidth="1"/>
    <col min="22" max="22" width="9.28515625" style="220"/>
    <col min="23" max="23" width="15.7109375" style="220" customWidth="1"/>
    <col min="24" max="16384" width="9.28515625" style="220"/>
  </cols>
  <sheetData>
    <row r="1" spans="1:23" x14ac:dyDescent="0.2">
      <c r="E1" s="221"/>
      <c r="F1" s="221"/>
      <c r="G1" s="221"/>
      <c r="H1" s="221"/>
      <c r="I1" s="221"/>
      <c r="J1" s="221"/>
      <c r="K1" s="221"/>
      <c r="L1" s="221"/>
      <c r="M1" s="221"/>
      <c r="N1" s="221"/>
      <c r="O1" s="221"/>
      <c r="P1" s="221"/>
      <c r="Q1" s="221"/>
    </row>
    <row r="2" spans="1:23" ht="15.75" x14ac:dyDescent="0.2">
      <c r="E2" s="169"/>
      <c r="F2" s="221"/>
      <c r="G2" s="221"/>
      <c r="H2" s="221"/>
      <c r="I2" s="221"/>
      <c r="J2" s="221"/>
      <c r="K2" s="221"/>
      <c r="L2" s="221"/>
      <c r="M2" s="221"/>
      <c r="N2" s="221"/>
      <c r="O2" s="221"/>
      <c r="P2" s="221"/>
      <c r="Q2" s="221"/>
    </row>
    <row r="3" spans="1:23" ht="15.75" x14ac:dyDescent="0.2">
      <c r="E3" s="169"/>
      <c r="F3" s="221"/>
      <c r="G3" s="221"/>
      <c r="H3" s="221"/>
      <c r="I3" s="221"/>
      <c r="J3" s="221"/>
      <c r="K3" s="221"/>
      <c r="L3" s="221"/>
      <c r="M3" s="221"/>
      <c r="N3" s="221"/>
      <c r="O3" s="221"/>
      <c r="P3" s="221"/>
      <c r="Q3" s="221"/>
    </row>
    <row r="4" spans="1:23" ht="15.75" x14ac:dyDescent="0.2">
      <c r="E4" s="169"/>
      <c r="F4" s="221"/>
      <c r="G4" s="221"/>
      <c r="H4" s="221"/>
      <c r="I4" s="221"/>
      <c r="J4" s="221"/>
      <c r="K4" s="221"/>
      <c r="L4" s="221"/>
      <c r="M4" s="221"/>
      <c r="N4" s="221"/>
      <c r="O4" s="221"/>
      <c r="P4" s="221"/>
      <c r="Q4" s="221"/>
    </row>
    <row r="5" spans="1:23" x14ac:dyDescent="0.2">
      <c r="E5" s="221"/>
      <c r="F5" s="221"/>
      <c r="G5" s="221"/>
      <c r="H5" s="221"/>
      <c r="I5" s="221"/>
      <c r="J5" s="221"/>
      <c r="K5" s="221"/>
      <c r="L5" s="221"/>
      <c r="M5" s="221"/>
      <c r="N5" s="221"/>
      <c r="O5" s="221"/>
      <c r="P5" s="221"/>
      <c r="Q5" s="221"/>
    </row>
    <row r="6" spans="1:23" ht="15.75" thickBot="1" x14ac:dyDescent="0.25">
      <c r="E6" s="221"/>
      <c r="F6" s="221"/>
      <c r="G6" s="221"/>
      <c r="H6" s="221"/>
      <c r="I6" s="221"/>
      <c r="J6" s="221"/>
      <c r="K6" s="221"/>
      <c r="L6" s="221"/>
      <c r="M6" s="221"/>
      <c r="N6" s="221"/>
      <c r="O6" s="221"/>
      <c r="P6" s="221"/>
      <c r="Q6" s="221"/>
    </row>
    <row r="7" spans="1:23" ht="16.5" thickBot="1" x14ac:dyDescent="0.3">
      <c r="A7" s="222"/>
      <c r="B7" s="223" t="s">
        <v>0</v>
      </c>
      <c r="C7" s="224"/>
      <c r="D7" s="224"/>
      <c r="E7" s="327"/>
      <c r="F7" s="327"/>
      <c r="G7" s="327"/>
      <c r="H7" s="327"/>
      <c r="I7" s="327"/>
      <c r="J7" s="327"/>
      <c r="K7" s="327"/>
      <c r="L7" s="327"/>
      <c r="M7" s="327"/>
      <c r="N7" s="327"/>
      <c r="O7" s="327"/>
      <c r="P7" s="327"/>
      <c r="Q7" s="327"/>
      <c r="R7" s="224"/>
      <c r="S7" s="224"/>
      <c r="T7" s="224"/>
      <c r="U7" s="225"/>
      <c r="V7" s="223" t="s">
        <v>0</v>
      </c>
      <c r="W7" s="224"/>
    </row>
    <row r="8" spans="1:23" ht="63.75" thickBot="1" x14ac:dyDescent="0.3">
      <c r="A8" s="160" t="s">
        <v>79</v>
      </c>
      <c r="B8" s="156" t="s">
        <v>3</v>
      </c>
      <c r="C8" s="107" t="s">
        <v>2</v>
      </c>
      <c r="D8" s="108" t="s">
        <v>97</v>
      </c>
      <c r="E8" s="109" t="s">
        <v>124</v>
      </c>
      <c r="F8" s="219" t="s">
        <v>4</v>
      </c>
      <c r="G8" s="110" t="s">
        <v>5</v>
      </c>
      <c r="H8" s="110" t="s">
        <v>6</v>
      </c>
      <c r="I8" s="110" t="s">
        <v>7</v>
      </c>
      <c r="J8" s="110" t="s">
        <v>8</v>
      </c>
      <c r="K8" s="110" t="s">
        <v>9</v>
      </c>
      <c r="L8" s="110" t="s">
        <v>10</v>
      </c>
      <c r="M8" s="110" t="s">
        <v>11</v>
      </c>
      <c r="N8" s="110" t="s">
        <v>12</v>
      </c>
      <c r="O8" s="110" t="s">
        <v>13</v>
      </c>
      <c r="P8" s="110" t="s">
        <v>14</v>
      </c>
      <c r="Q8" s="110" t="s">
        <v>15</v>
      </c>
      <c r="R8" s="111" t="s">
        <v>16</v>
      </c>
      <c r="S8" s="112" t="s">
        <v>125</v>
      </c>
      <c r="T8" s="109" t="s">
        <v>19</v>
      </c>
      <c r="U8" s="113" t="s">
        <v>41</v>
      </c>
      <c r="V8" s="156" t="s">
        <v>3</v>
      </c>
      <c r="W8" s="107" t="s">
        <v>2</v>
      </c>
    </row>
    <row r="9" spans="1:23" x14ac:dyDescent="0.2">
      <c r="A9" s="226"/>
      <c r="B9" s="227"/>
      <c r="C9" s="228"/>
      <c r="D9" s="228"/>
      <c r="E9" s="229"/>
      <c r="F9" s="229">
        <v>1</v>
      </c>
      <c r="G9" s="229"/>
      <c r="H9" s="229"/>
      <c r="I9" s="229"/>
      <c r="J9" s="229"/>
      <c r="K9" s="229"/>
      <c r="L9" s="229"/>
      <c r="M9" s="229"/>
      <c r="N9" s="229"/>
      <c r="O9" s="229"/>
      <c r="P9" s="229"/>
      <c r="Q9" s="229"/>
      <c r="R9" s="228"/>
      <c r="S9" s="230"/>
      <c r="T9" s="231"/>
      <c r="U9" s="232"/>
      <c r="V9" s="227"/>
      <c r="W9" s="228"/>
    </row>
    <row r="10" spans="1:23" x14ac:dyDescent="0.2">
      <c r="A10" s="220">
        <v>22384</v>
      </c>
      <c r="B10" s="233">
        <v>2012</v>
      </c>
      <c r="C10" s="234" t="s">
        <v>26</v>
      </c>
      <c r="D10" s="235">
        <v>36</v>
      </c>
      <c r="E10" s="236">
        <v>208</v>
      </c>
      <c r="F10" s="237">
        <v>23</v>
      </c>
      <c r="G10" s="237">
        <v>9</v>
      </c>
      <c r="H10" s="237">
        <v>8</v>
      </c>
      <c r="I10" s="237">
        <v>17</v>
      </c>
      <c r="J10" s="237">
        <v>27</v>
      </c>
      <c r="K10" s="237">
        <v>16</v>
      </c>
      <c r="L10" s="237">
        <v>15</v>
      </c>
      <c r="M10" s="237">
        <v>15</v>
      </c>
      <c r="N10" s="237">
        <v>23</v>
      </c>
      <c r="O10" s="237">
        <v>28</v>
      </c>
      <c r="P10" s="237">
        <v>22</v>
      </c>
      <c r="Q10" s="237"/>
      <c r="R10" s="238">
        <f t="shared" ref="R10:R51" si="0">SUM(F10:Q10)</f>
        <v>203</v>
      </c>
      <c r="S10" s="239">
        <f>IFERROR((AVERAGE(F10:Q10)),0)</f>
        <v>18.454545454545453</v>
      </c>
      <c r="T10" s="240">
        <f>IFERROR((U10/S10),0)</f>
        <v>0.27093596059113301</v>
      </c>
      <c r="U10" s="241">
        <f>SUM(E10-R10)</f>
        <v>5</v>
      </c>
      <c r="V10" s="233">
        <v>2012</v>
      </c>
      <c r="W10" s="234" t="s">
        <v>26</v>
      </c>
    </row>
    <row r="11" spans="1:23" x14ac:dyDescent="0.2">
      <c r="A11" s="220">
        <v>28361</v>
      </c>
      <c r="B11" s="233">
        <v>2012</v>
      </c>
      <c r="C11" s="234" t="s">
        <v>24</v>
      </c>
      <c r="D11" s="235">
        <v>22</v>
      </c>
      <c r="E11" s="236">
        <v>96</v>
      </c>
      <c r="F11" s="237">
        <v>22</v>
      </c>
      <c r="G11" s="237">
        <v>19</v>
      </c>
      <c r="H11" s="237">
        <v>13</v>
      </c>
      <c r="I11" s="237">
        <v>26</v>
      </c>
      <c r="J11" s="237">
        <v>16</v>
      </c>
      <c r="K11" s="242"/>
      <c r="L11" s="242"/>
      <c r="M11" s="242"/>
      <c r="N11" s="242"/>
      <c r="O11" s="242"/>
      <c r="P11" s="242"/>
      <c r="Q11" s="242"/>
      <c r="R11" s="238">
        <f t="shared" si="0"/>
        <v>96</v>
      </c>
      <c r="S11" s="239">
        <f>IFERROR((AVERAGE(F11:Q11)),0)</f>
        <v>19.2</v>
      </c>
      <c r="T11" s="240">
        <f>IFERROR((U11/S11),0)</f>
        <v>0</v>
      </c>
      <c r="U11" s="241">
        <f>SUM(E11-R11)</f>
        <v>0</v>
      </c>
      <c r="V11" s="233">
        <v>2012</v>
      </c>
      <c r="W11" s="234" t="s">
        <v>24</v>
      </c>
    </row>
    <row r="12" spans="1:23" x14ac:dyDescent="0.2">
      <c r="A12" s="226"/>
      <c r="B12" s="226"/>
      <c r="C12" s="226"/>
      <c r="D12" s="226"/>
      <c r="E12" s="226"/>
      <c r="F12" s="226"/>
      <c r="G12" s="226"/>
      <c r="H12" s="226"/>
      <c r="I12" s="226"/>
      <c r="J12" s="226"/>
      <c r="K12" s="226"/>
      <c r="L12" s="226"/>
      <c r="M12" s="226"/>
      <c r="N12" s="226"/>
      <c r="O12" s="243"/>
      <c r="P12" s="243"/>
      <c r="Q12" s="226"/>
      <c r="R12" s="226"/>
      <c r="S12" s="226"/>
      <c r="T12" s="226"/>
      <c r="U12" s="226"/>
      <c r="V12" s="226"/>
      <c r="W12" s="226"/>
    </row>
    <row r="13" spans="1:23" x14ac:dyDescent="0.2">
      <c r="A13" s="234">
        <v>57632</v>
      </c>
      <c r="B13" s="233">
        <v>2013</v>
      </c>
      <c r="C13" s="234" t="s">
        <v>31</v>
      </c>
      <c r="D13" s="235">
        <v>45</v>
      </c>
      <c r="E13" s="236">
        <v>24</v>
      </c>
      <c r="F13" s="237">
        <v>21</v>
      </c>
      <c r="G13" s="237">
        <v>3</v>
      </c>
      <c r="H13" s="242"/>
      <c r="I13" s="242"/>
      <c r="J13" s="242"/>
      <c r="K13" s="242"/>
      <c r="L13" s="242"/>
      <c r="M13" s="242"/>
      <c r="N13" s="242"/>
      <c r="O13" s="242"/>
      <c r="P13" s="242"/>
      <c r="Q13" s="242"/>
      <c r="R13" s="238">
        <f t="shared" si="0"/>
        <v>24</v>
      </c>
      <c r="S13" s="239">
        <f t="shared" ref="S13:S21" si="1">IFERROR((AVERAGE(F13:Q13)),0)</f>
        <v>12</v>
      </c>
      <c r="T13" s="240">
        <f t="shared" ref="T13:T21" si="2">IFERROR((U13/S13),0)</f>
        <v>0</v>
      </c>
      <c r="U13" s="241">
        <f t="shared" ref="U13:U18" si="3">SUM(E13-R13)</f>
        <v>0</v>
      </c>
      <c r="V13" s="233">
        <v>2013</v>
      </c>
      <c r="W13" s="234" t="s">
        <v>31</v>
      </c>
    </row>
    <row r="14" spans="1:23" x14ac:dyDescent="0.2">
      <c r="A14" s="234">
        <v>57630</v>
      </c>
      <c r="B14" s="233">
        <v>2013</v>
      </c>
      <c r="C14" s="234" t="s">
        <v>25</v>
      </c>
      <c r="D14" s="235">
        <v>45</v>
      </c>
      <c r="E14" s="236">
        <v>406</v>
      </c>
      <c r="F14" s="237">
        <v>32</v>
      </c>
      <c r="G14" s="237">
        <v>24</v>
      </c>
      <c r="H14" s="237">
        <v>27</v>
      </c>
      <c r="I14" s="237">
        <v>49</v>
      </c>
      <c r="J14" s="237">
        <f>274-227</f>
        <v>47</v>
      </c>
      <c r="K14" s="237">
        <v>75</v>
      </c>
      <c r="L14" s="237">
        <v>48</v>
      </c>
      <c r="M14" s="237">
        <v>53</v>
      </c>
      <c r="N14" s="237">
        <v>51</v>
      </c>
      <c r="O14" s="242"/>
      <c r="P14" s="242"/>
      <c r="Q14" s="242"/>
      <c r="R14" s="238">
        <f t="shared" si="0"/>
        <v>406</v>
      </c>
      <c r="S14" s="239">
        <f t="shared" si="1"/>
        <v>45.111111111111114</v>
      </c>
      <c r="T14" s="240">
        <f t="shared" si="2"/>
        <v>0</v>
      </c>
      <c r="U14" s="241">
        <f t="shared" si="3"/>
        <v>0</v>
      </c>
      <c r="V14" s="233">
        <v>2013</v>
      </c>
      <c r="W14" s="234" t="s">
        <v>25</v>
      </c>
    </row>
    <row r="15" spans="1:23" x14ac:dyDescent="0.2">
      <c r="A15" s="234">
        <v>22382</v>
      </c>
      <c r="B15" s="233">
        <v>2013</v>
      </c>
      <c r="C15" s="234" t="s">
        <v>23</v>
      </c>
      <c r="D15" s="235">
        <v>29</v>
      </c>
      <c r="E15" s="236">
        <v>190</v>
      </c>
      <c r="F15" s="237">
        <v>31</v>
      </c>
      <c r="G15" s="237">
        <v>55</v>
      </c>
      <c r="H15" s="237">
        <v>25</v>
      </c>
      <c r="I15" s="237">
        <v>45</v>
      </c>
      <c r="J15" s="244">
        <v>-15</v>
      </c>
      <c r="K15" s="237">
        <f>49-21</f>
        <v>28</v>
      </c>
      <c r="L15" s="237">
        <v>21</v>
      </c>
      <c r="M15" s="242"/>
      <c r="N15" s="242"/>
      <c r="O15" s="242"/>
      <c r="P15" s="242"/>
      <c r="Q15" s="245"/>
      <c r="R15" s="238">
        <f t="shared" si="0"/>
        <v>190</v>
      </c>
      <c r="S15" s="239">
        <f t="shared" si="1"/>
        <v>27.142857142857142</v>
      </c>
      <c r="T15" s="240">
        <f t="shared" si="2"/>
        <v>0</v>
      </c>
      <c r="U15" s="241">
        <f t="shared" si="3"/>
        <v>0</v>
      </c>
      <c r="V15" s="233">
        <v>2013</v>
      </c>
      <c r="W15" s="234" t="s">
        <v>23</v>
      </c>
    </row>
    <row r="16" spans="1:23" x14ac:dyDescent="0.2">
      <c r="A16" s="234">
        <v>84802</v>
      </c>
      <c r="B16" s="233">
        <v>2013</v>
      </c>
      <c r="C16" s="234" t="s">
        <v>93</v>
      </c>
      <c r="D16" s="235">
        <v>18</v>
      </c>
      <c r="E16" s="236">
        <v>81</v>
      </c>
      <c r="F16" s="237">
        <v>11</v>
      </c>
      <c r="G16" s="237">
        <v>4</v>
      </c>
      <c r="H16" s="237">
        <v>2</v>
      </c>
      <c r="I16" s="237">
        <v>11</v>
      </c>
      <c r="J16" s="237">
        <v>8</v>
      </c>
      <c r="K16" s="237">
        <v>7</v>
      </c>
      <c r="L16" s="237">
        <v>20</v>
      </c>
      <c r="M16" s="237">
        <v>6</v>
      </c>
      <c r="N16" s="237">
        <v>12</v>
      </c>
      <c r="O16" s="242" t="s">
        <v>35</v>
      </c>
      <c r="P16" s="242"/>
      <c r="Q16" s="245"/>
      <c r="R16" s="238">
        <f t="shared" si="0"/>
        <v>81</v>
      </c>
      <c r="S16" s="239">
        <f t="shared" si="1"/>
        <v>9</v>
      </c>
      <c r="T16" s="240">
        <f t="shared" si="2"/>
        <v>0</v>
      </c>
      <c r="U16" s="241">
        <f t="shared" si="3"/>
        <v>0</v>
      </c>
      <c r="V16" s="233">
        <v>2013</v>
      </c>
      <c r="W16" s="234" t="s">
        <v>93</v>
      </c>
    </row>
    <row r="17" spans="1:23" x14ac:dyDescent="0.2">
      <c r="A17" s="234">
        <v>22384</v>
      </c>
      <c r="B17" s="233">
        <v>2013</v>
      </c>
      <c r="C17" s="234" t="s">
        <v>26</v>
      </c>
      <c r="D17" s="235">
        <v>36</v>
      </c>
      <c r="E17" s="236">
        <v>249</v>
      </c>
      <c r="F17" s="246">
        <v>6</v>
      </c>
      <c r="G17" s="246"/>
      <c r="H17" s="246">
        <v>1</v>
      </c>
      <c r="I17" s="246">
        <v>1</v>
      </c>
      <c r="J17" s="246">
        <v>0</v>
      </c>
      <c r="K17" s="246">
        <v>0</v>
      </c>
      <c r="L17" s="246">
        <v>0</v>
      </c>
      <c r="M17" s="246">
        <v>0</v>
      </c>
      <c r="N17" s="246"/>
      <c r="O17" s="246">
        <v>8</v>
      </c>
      <c r="P17" s="236">
        <v>11</v>
      </c>
      <c r="Q17" s="236">
        <v>18</v>
      </c>
      <c r="R17" s="238">
        <f t="shared" si="0"/>
        <v>45</v>
      </c>
      <c r="S17" s="239">
        <f t="shared" si="1"/>
        <v>4.5</v>
      </c>
      <c r="T17" s="240">
        <f t="shared" si="2"/>
        <v>45.333333333333336</v>
      </c>
      <c r="U17" s="241">
        <f t="shared" si="3"/>
        <v>204</v>
      </c>
      <c r="V17" s="233">
        <v>2013</v>
      </c>
      <c r="W17" s="234" t="s">
        <v>26</v>
      </c>
    </row>
    <row r="18" spans="1:23" x14ac:dyDescent="0.2">
      <c r="A18" s="234">
        <v>27736</v>
      </c>
      <c r="B18" s="233">
        <v>2013</v>
      </c>
      <c r="C18" s="234" t="s">
        <v>56</v>
      </c>
      <c r="D18" s="235">
        <v>22</v>
      </c>
      <c r="E18" s="236">
        <v>232</v>
      </c>
      <c r="F18" s="237">
        <v>30</v>
      </c>
      <c r="G18" s="237">
        <v>28</v>
      </c>
      <c r="H18" s="237">
        <v>24</v>
      </c>
      <c r="I18" s="237">
        <v>51</v>
      </c>
      <c r="J18" s="237">
        <v>33</v>
      </c>
      <c r="K18" s="237">
        <v>34</v>
      </c>
      <c r="L18" s="237">
        <v>32</v>
      </c>
      <c r="M18" s="242"/>
      <c r="N18" s="242"/>
      <c r="O18" s="242"/>
      <c r="P18" s="242"/>
      <c r="Q18" s="242"/>
      <c r="R18" s="238">
        <f t="shared" si="0"/>
        <v>232</v>
      </c>
      <c r="S18" s="239">
        <f t="shared" si="1"/>
        <v>33.142857142857146</v>
      </c>
      <c r="T18" s="240">
        <f t="shared" si="2"/>
        <v>0</v>
      </c>
      <c r="U18" s="241">
        <f t="shared" si="3"/>
        <v>0</v>
      </c>
      <c r="V18" s="233">
        <v>2013</v>
      </c>
      <c r="W18" s="234" t="s">
        <v>56</v>
      </c>
    </row>
    <row r="19" spans="1:23" x14ac:dyDescent="0.2">
      <c r="A19" s="234">
        <v>28361</v>
      </c>
      <c r="B19" s="233">
        <v>2013</v>
      </c>
      <c r="C19" s="234" t="s">
        <v>24</v>
      </c>
      <c r="D19" s="235">
        <v>22</v>
      </c>
      <c r="E19" s="236">
        <v>259</v>
      </c>
      <c r="F19" s="246">
        <v>53</v>
      </c>
      <c r="G19" s="246"/>
      <c r="H19" s="246">
        <v>5</v>
      </c>
      <c r="I19" s="246"/>
      <c r="J19" s="246">
        <v>16</v>
      </c>
      <c r="K19" s="246">
        <v>21</v>
      </c>
      <c r="L19" s="237">
        <v>22</v>
      </c>
      <c r="M19" s="237">
        <v>20</v>
      </c>
      <c r="N19" s="237">
        <v>25</v>
      </c>
      <c r="O19" s="237">
        <v>10</v>
      </c>
      <c r="P19" s="237">
        <v>0</v>
      </c>
      <c r="Q19" s="237">
        <v>0</v>
      </c>
      <c r="R19" s="238">
        <f t="shared" si="0"/>
        <v>172</v>
      </c>
      <c r="S19" s="239">
        <f t="shared" si="1"/>
        <v>17.2</v>
      </c>
      <c r="T19" s="240">
        <f t="shared" si="2"/>
        <v>5.058139534883721</v>
      </c>
      <c r="U19" s="241">
        <f>SUM(E19-R19)</f>
        <v>87</v>
      </c>
      <c r="V19" s="233">
        <v>2013</v>
      </c>
      <c r="W19" s="234" t="s">
        <v>24</v>
      </c>
    </row>
    <row r="20" spans="1:23" x14ac:dyDescent="0.2">
      <c r="A20" s="234">
        <v>22921</v>
      </c>
      <c r="B20" s="233">
        <v>2013</v>
      </c>
      <c r="C20" s="234" t="s">
        <v>22</v>
      </c>
      <c r="D20" s="235">
        <v>50</v>
      </c>
      <c r="E20" s="236">
        <v>478</v>
      </c>
      <c r="F20" s="237">
        <v>26</v>
      </c>
      <c r="G20" s="237">
        <v>38</v>
      </c>
      <c r="H20" s="237">
        <v>32</v>
      </c>
      <c r="I20" s="237">
        <v>49</v>
      </c>
      <c r="J20" s="237">
        <v>68</v>
      </c>
      <c r="K20" s="237">
        <v>55</v>
      </c>
      <c r="L20" s="237">
        <v>47</v>
      </c>
      <c r="M20" s="237">
        <v>54</v>
      </c>
      <c r="N20" s="237">
        <v>43</v>
      </c>
      <c r="O20" s="237">
        <v>61</v>
      </c>
      <c r="P20" s="296">
        <v>5</v>
      </c>
      <c r="Q20" s="242"/>
      <c r="R20" s="238">
        <f t="shared" si="0"/>
        <v>478</v>
      </c>
      <c r="S20" s="239">
        <f t="shared" si="1"/>
        <v>43.454545454545453</v>
      </c>
      <c r="T20" s="240">
        <f t="shared" si="2"/>
        <v>0</v>
      </c>
      <c r="U20" s="241">
        <f>SUM(E20-R20)</f>
        <v>0</v>
      </c>
      <c r="V20" s="233">
        <v>2013</v>
      </c>
      <c r="W20" s="234" t="s">
        <v>22</v>
      </c>
    </row>
    <row r="21" spans="1:23" x14ac:dyDescent="0.2">
      <c r="A21" s="234">
        <v>34641</v>
      </c>
      <c r="B21" s="233">
        <v>2013</v>
      </c>
      <c r="C21" s="234" t="s">
        <v>52</v>
      </c>
      <c r="D21" s="235">
        <v>31</v>
      </c>
      <c r="E21" s="236">
        <v>273</v>
      </c>
      <c r="F21" s="237">
        <v>22</v>
      </c>
      <c r="G21" s="237">
        <v>17</v>
      </c>
      <c r="H21" s="237">
        <v>35</v>
      </c>
      <c r="I21" s="237">
        <v>35</v>
      </c>
      <c r="J21" s="244">
        <v>15</v>
      </c>
      <c r="K21" s="237">
        <v>1</v>
      </c>
      <c r="L21" s="237">
        <v>25</v>
      </c>
      <c r="M21" s="237">
        <v>29</v>
      </c>
      <c r="N21" s="237">
        <v>38</v>
      </c>
      <c r="O21" s="237">
        <v>18</v>
      </c>
      <c r="P21" s="237">
        <v>31</v>
      </c>
      <c r="Q21" s="242"/>
      <c r="R21" s="238">
        <f t="shared" si="0"/>
        <v>266</v>
      </c>
      <c r="S21" s="239">
        <f t="shared" si="1"/>
        <v>24.181818181818183</v>
      </c>
      <c r="T21" s="240">
        <f t="shared" si="2"/>
        <v>0.28947368421052627</v>
      </c>
      <c r="U21" s="241">
        <f>SUM(E21-R21)</f>
        <v>7</v>
      </c>
      <c r="V21" s="233">
        <v>2013</v>
      </c>
      <c r="W21" s="234" t="s">
        <v>52</v>
      </c>
    </row>
    <row r="22" spans="1:23" x14ac:dyDescent="0.2">
      <c r="A22" s="226"/>
      <c r="B22" s="227"/>
      <c r="C22" s="228"/>
      <c r="D22" s="230"/>
      <c r="E22" s="229"/>
      <c r="F22" s="229"/>
      <c r="G22" s="229"/>
      <c r="H22" s="229"/>
      <c r="I22" s="229"/>
      <c r="J22" s="229"/>
      <c r="K22" s="229"/>
      <c r="L22" s="229"/>
      <c r="M22" s="229"/>
      <c r="N22" s="229"/>
      <c r="O22" s="229"/>
      <c r="P22" s="229"/>
      <c r="Q22" s="229"/>
      <c r="R22" s="228"/>
      <c r="S22" s="230"/>
      <c r="T22" s="231"/>
      <c r="U22" s="247"/>
      <c r="V22" s="227"/>
      <c r="W22" s="228"/>
    </row>
    <row r="23" spans="1:23" x14ac:dyDescent="0.2">
      <c r="A23" s="234">
        <v>11198</v>
      </c>
      <c r="B23" s="248">
        <v>2014</v>
      </c>
      <c r="C23" s="234" t="s">
        <v>46</v>
      </c>
      <c r="D23" s="235"/>
      <c r="E23" s="236">
        <v>59</v>
      </c>
      <c r="F23" s="237">
        <v>40</v>
      </c>
      <c r="G23" s="237">
        <v>13</v>
      </c>
      <c r="H23" s="237">
        <v>6</v>
      </c>
      <c r="I23" s="242"/>
      <c r="J23" s="242"/>
      <c r="K23" s="242"/>
      <c r="L23" s="242"/>
      <c r="M23" s="242"/>
      <c r="N23" s="242"/>
      <c r="O23" s="249"/>
      <c r="P23" s="242"/>
      <c r="Q23" s="242"/>
      <c r="R23" s="238">
        <f t="shared" si="0"/>
        <v>59</v>
      </c>
      <c r="S23" s="239">
        <f t="shared" ref="S23:S34" si="4">IFERROR((AVERAGE(F23:Q23)),0)</f>
        <v>19.666666666666668</v>
      </c>
      <c r="T23" s="240">
        <f t="shared" ref="T23:T34" si="5">IFERROR((U23/S23),0)</f>
        <v>0</v>
      </c>
      <c r="U23" s="241">
        <f t="shared" ref="U23:U31" si="6">SUM(E23-R23)</f>
        <v>0</v>
      </c>
      <c r="V23" s="248">
        <v>2014</v>
      </c>
      <c r="W23" s="234" t="s">
        <v>46</v>
      </c>
    </row>
    <row r="24" spans="1:23" x14ac:dyDescent="0.2">
      <c r="A24" s="234">
        <v>57632</v>
      </c>
      <c r="B24" s="248">
        <v>2014</v>
      </c>
      <c r="C24" s="234" t="s">
        <v>31</v>
      </c>
      <c r="D24" s="235"/>
      <c r="E24" s="236">
        <v>444</v>
      </c>
      <c r="F24" s="246">
        <v>8</v>
      </c>
      <c r="G24" s="237">
        <v>18</v>
      </c>
      <c r="H24" s="237">
        <v>18</v>
      </c>
      <c r="I24" s="237">
        <v>40</v>
      </c>
      <c r="J24" s="237">
        <f>360-327</f>
        <v>33</v>
      </c>
      <c r="K24" s="237">
        <v>41</v>
      </c>
      <c r="L24" s="237">
        <v>49</v>
      </c>
      <c r="M24" s="237">
        <v>55</v>
      </c>
      <c r="N24" s="237">
        <v>25</v>
      </c>
      <c r="O24" s="237">
        <v>28</v>
      </c>
      <c r="P24" s="237">
        <v>89</v>
      </c>
      <c r="Q24" s="237">
        <v>0</v>
      </c>
      <c r="R24" s="238">
        <f t="shared" si="0"/>
        <v>404</v>
      </c>
      <c r="S24" s="239">
        <f t="shared" si="4"/>
        <v>33.666666666666664</v>
      </c>
      <c r="T24" s="240">
        <f t="shared" si="5"/>
        <v>1.1881188118811883</v>
      </c>
      <c r="U24" s="241">
        <f t="shared" si="6"/>
        <v>40</v>
      </c>
      <c r="V24" s="248">
        <v>2014</v>
      </c>
      <c r="W24" s="234" t="s">
        <v>31</v>
      </c>
    </row>
    <row r="25" spans="1:23" x14ac:dyDescent="0.2">
      <c r="A25" s="234">
        <v>57630</v>
      </c>
      <c r="B25" s="248">
        <v>2014</v>
      </c>
      <c r="C25" s="234" t="s">
        <v>25</v>
      </c>
      <c r="D25" s="235"/>
      <c r="E25" s="236">
        <v>469</v>
      </c>
      <c r="F25" s="246">
        <v>21</v>
      </c>
      <c r="G25" s="246">
        <v>9</v>
      </c>
      <c r="H25" s="246"/>
      <c r="I25" s="246">
        <v>6</v>
      </c>
      <c r="J25" s="246">
        <v>10</v>
      </c>
      <c r="K25" s="246">
        <v>2</v>
      </c>
      <c r="L25" s="246">
        <v>19</v>
      </c>
      <c r="M25" s="246">
        <v>6</v>
      </c>
      <c r="N25" s="237">
        <v>17</v>
      </c>
      <c r="O25" s="237">
        <v>43</v>
      </c>
      <c r="P25" s="237">
        <v>31</v>
      </c>
      <c r="Q25" s="237">
        <v>48</v>
      </c>
      <c r="R25" s="238">
        <f t="shared" si="0"/>
        <v>212</v>
      </c>
      <c r="S25" s="239">
        <f t="shared" si="4"/>
        <v>19.272727272727273</v>
      </c>
      <c r="T25" s="240">
        <f t="shared" si="5"/>
        <v>13.334905660377357</v>
      </c>
      <c r="U25" s="241">
        <f t="shared" si="6"/>
        <v>257</v>
      </c>
      <c r="V25" s="248">
        <v>2014</v>
      </c>
      <c r="W25" s="234" t="s">
        <v>25</v>
      </c>
    </row>
    <row r="26" spans="1:23" x14ac:dyDescent="0.2">
      <c r="A26" s="234">
        <v>22382</v>
      </c>
      <c r="B26" s="248">
        <v>2014</v>
      </c>
      <c r="C26" s="234" t="s">
        <v>23</v>
      </c>
      <c r="D26" s="235"/>
      <c r="E26" s="236">
        <v>308</v>
      </c>
      <c r="F26" s="246">
        <v>13</v>
      </c>
      <c r="G26" s="246">
        <v>8</v>
      </c>
      <c r="H26" s="246">
        <v>4</v>
      </c>
      <c r="I26" s="246">
        <v>3</v>
      </c>
      <c r="J26" s="246">
        <v>0</v>
      </c>
      <c r="K26" s="246">
        <v>0</v>
      </c>
      <c r="L26" s="237">
        <v>8</v>
      </c>
      <c r="M26" s="237">
        <v>30</v>
      </c>
      <c r="N26" s="237">
        <v>39</v>
      </c>
      <c r="O26" s="237">
        <v>49</v>
      </c>
      <c r="P26" s="237">
        <v>50</v>
      </c>
      <c r="Q26" s="237">
        <v>29</v>
      </c>
      <c r="R26" s="238">
        <f t="shared" si="0"/>
        <v>233</v>
      </c>
      <c r="S26" s="239">
        <f t="shared" si="4"/>
        <v>19.416666666666668</v>
      </c>
      <c r="T26" s="240">
        <f t="shared" si="5"/>
        <v>3.8626609442060085</v>
      </c>
      <c r="U26" s="241">
        <f t="shared" si="6"/>
        <v>75</v>
      </c>
      <c r="V26" s="248">
        <v>2014</v>
      </c>
      <c r="W26" s="234" t="s">
        <v>23</v>
      </c>
    </row>
    <row r="27" spans="1:23" x14ac:dyDescent="0.2">
      <c r="A27" s="234">
        <v>84802</v>
      </c>
      <c r="B27" s="248">
        <v>2014</v>
      </c>
      <c r="C27" s="234" t="s">
        <v>93</v>
      </c>
      <c r="D27" s="235"/>
      <c r="E27" s="236">
        <v>271</v>
      </c>
      <c r="F27" s="246">
        <v>1</v>
      </c>
      <c r="G27" s="246" t="s">
        <v>35</v>
      </c>
      <c r="H27" s="246"/>
      <c r="I27" s="246"/>
      <c r="J27" s="246">
        <v>2</v>
      </c>
      <c r="K27" s="246">
        <v>1</v>
      </c>
      <c r="L27" s="246">
        <v>0</v>
      </c>
      <c r="M27" s="246">
        <v>4</v>
      </c>
      <c r="N27" s="237">
        <v>12</v>
      </c>
      <c r="O27" s="237">
        <v>5</v>
      </c>
      <c r="P27" s="237">
        <v>23</v>
      </c>
      <c r="Q27" s="237">
        <v>68</v>
      </c>
      <c r="R27" s="238">
        <f t="shared" si="0"/>
        <v>116</v>
      </c>
      <c r="S27" s="239">
        <f t="shared" si="4"/>
        <v>12.888888888888889</v>
      </c>
      <c r="T27" s="240">
        <f t="shared" si="5"/>
        <v>12.025862068965516</v>
      </c>
      <c r="U27" s="241">
        <f t="shared" si="6"/>
        <v>155</v>
      </c>
      <c r="V27" s="248">
        <v>2014</v>
      </c>
      <c r="W27" s="234" t="s">
        <v>93</v>
      </c>
    </row>
    <row r="28" spans="1:23" x14ac:dyDescent="0.2">
      <c r="A28" s="234">
        <v>22384</v>
      </c>
      <c r="B28" s="248">
        <v>2014</v>
      </c>
      <c r="C28" s="234" t="s">
        <v>26</v>
      </c>
      <c r="D28" s="235"/>
      <c r="E28" s="236">
        <v>219</v>
      </c>
      <c r="F28" s="246">
        <v>12</v>
      </c>
      <c r="G28" s="246"/>
      <c r="H28" s="246">
        <v>8</v>
      </c>
      <c r="I28" s="246">
        <v>1</v>
      </c>
      <c r="J28" s="246">
        <v>3</v>
      </c>
      <c r="K28" s="246">
        <v>0</v>
      </c>
      <c r="L28" s="246">
        <v>0</v>
      </c>
      <c r="M28" s="246">
        <v>13</v>
      </c>
      <c r="N28" s="246"/>
      <c r="O28" s="246">
        <v>0</v>
      </c>
      <c r="P28" s="246">
        <v>0</v>
      </c>
      <c r="Q28" s="246">
        <v>0</v>
      </c>
      <c r="R28" s="238">
        <f t="shared" si="0"/>
        <v>37</v>
      </c>
      <c r="S28" s="239">
        <f t="shared" si="4"/>
        <v>3.7</v>
      </c>
      <c r="T28" s="240">
        <f t="shared" si="5"/>
        <v>49.189189189189186</v>
      </c>
      <c r="U28" s="241">
        <f t="shared" si="6"/>
        <v>182</v>
      </c>
      <c r="V28" s="248">
        <v>2014</v>
      </c>
      <c r="W28" s="234" t="s">
        <v>26</v>
      </c>
    </row>
    <row r="29" spans="1:23" x14ac:dyDescent="0.2">
      <c r="A29" s="234">
        <v>27736</v>
      </c>
      <c r="B29" s="248">
        <v>2014</v>
      </c>
      <c r="C29" s="234" t="s">
        <v>56</v>
      </c>
      <c r="D29" s="235"/>
      <c r="E29" s="236">
        <v>427</v>
      </c>
      <c r="F29" s="246">
        <v>3</v>
      </c>
      <c r="G29" s="246">
        <v>3</v>
      </c>
      <c r="H29" s="246"/>
      <c r="I29" s="246"/>
      <c r="J29" s="246">
        <v>2</v>
      </c>
      <c r="K29" s="246">
        <v>0</v>
      </c>
      <c r="L29" s="237">
        <v>35</v>
      </c>
      <c r="M29" s="237">
        <v>40</v>
      </c>
      <c r="N29" s="237">
        <v>44</v>
      </c>
      <c r="O29" s="237">
        <v>38</v>
      </c>
      <c r="P29" s="237">
        <v>44</v>
      </c>
      <c r="Q29" s="237">
        <v>39</v>
      </c>
      <c r="R29" s="238">
        <f t="shared" si="0"/>
        <v>248</v>
      </c>
      <c r="S29" s="239">
        <f t="shared" si="4"/>
        <v>24.8</v>
      </c>
      <c r="T29" s="240">
        <f t="shared" si="5"/>
        <v>7.217741935483871</v>
      </c>
      <c r="U29" s="241">
        <f t="shared" si="6"/>
        <v>179</v>
      </c>
      <c r="V29" s="248">
        <v>2014</v>
      </c>
      <c r="W29" s="234" t="s">
        <v>56</v>
      </c>
    </row>
    <row r="30" spans="1:23" x14ac:dyDescent="0.2">
      <c r="A30" s="234">
        <v>28361</v>
      </c>
      <c r="B30" s="248">
        <v>2014</v>
      </c>
      <c r="C30" s="234" t="s">
        <v>24</v>
      </c>
      <c r="D30" s="235"/>
      <c r="E30" s="236">
        <v>141</v>
      </c>
      <c r="F30" s="246">
        <v>15</v>
      </c>
      <c r="G30" s="246"/>
      <c r="H30" s="246"/>
      <c r="I30" s="246">
        <v>6</v>
      </c>
      <c r="J30" s="246">
        <v>7</v>
      </c>
      <c r="K30" s="246">
        <v>4</v>
      </c>
      <c r="L30" s="246">
        <v>1</v>
      </c>
      <c r="M30" s="246">
        <v>1</v>
      </c>
      <c r="N30" s="246">
        <v>4</v>
      </c>
      <c r="O30" s="246">
        <v>2</v>
      </c>
      <c r="P30" s="246">
        <v>0</v>
      </c>
      <c r="Q30" s="246">
        <v>0</v>
      </c>
      <c r="R30" s="238">
        <f t="shared" si="0"/>
        <v>40</v>
      </c>
      <c r="S30" s="239">
        <f t="shared" si="4"/>
        <v>4</v>
      </c>
      <c r="T30" s="240">
        <f t="shared" si="5"/>
        <v>25.25</v>
      </c>
      <c r="U30" s="241">
        <f t="shared" si="6"/>
        <v>101</v>
      </c>
      <c r="V30" s="248">
        <v>2014</v>
      </c>
      <c r="W30" s="234" t="s">
        <v>24</v>
      </c>
    </row>
    <row r="31" spans="1:23" x14ac:dyDescent="0.2">
      <c r="A31" s="234">
        <v>22921</v>
      </c>
      <c r="B31" s="248">
        <v>2014</v>
      </c>
      <c r="C31" s="234" t="s">
        <v>22</v>
      </c>
      <c r="D31" s="235"/>
      <c r="E31" s="236">
        <v>676</v>
      </c>
      <c r="F31" s="246">
        <v>1</v>
      </c>
      <c r="G31" s="246">
        <v>22</v>
      </c>
      <c r="H31" s="246">
        <v>7</v>
      </c>
      <c r="I31" s="246"/>
      <c r="J31" s="246">
        <v>0</v>
      </c>
      <c r="K31" s="246">
        <v>0</v>
      </c>
      <c r="L31" s="246">
        <v>0</v>
      </c>
      <c r="M31" s="246"/>
      <c r="N31" s="246"/>
      <c r="O31" s="246">
        <v>5</v>
      </c>
      <c r="P31" s="246">
        <v>2</v>
      </c>
      <c r="Q31" s="236">
        <v>126</v>
      </c>
      <c r="R31" s="238">
        <f t="shared" si="0"/>
        <v>163</v>
      </c>
      <c r="S31" s="239">
        <f t="shared" si="4"/>
        <v>18.111111111111111</v>
      </c>
      <c r="T31" s="240">
        <f t="shared" si="5"/>
        <v>28.325153374233128</v>
      </c>
      <c r="U31" s="241">
        <f t="shared" si="6"/>
        <v>513</v>
      </c>
      <c r="V31" s="248">
        <v>2014</v>
      </c>
      <c r="W31" s="234" t="s">
        <v>22</v>
      </c>
    </row>
    <row r="32" spans="1:23" x14ac:dyDescent="0.2">
      <c r="A32" s="250">
        <v>34641</v>
      </c>
      <c r="B32" s="248">
        <v>2014</v>
      </c>
      <c r="C32" s="250" t="s">
        <v>52</v>
      </c>
      <c r="D32" s="251"/>
      <c r="E32" s="252">
        <v>372</v>
      </c>
      <c r="F32" s="253">
        <v>5</v>
      </c>
      <c r="G32" s="253"/>
      <c r="H32" s="253"/>
      <c r="I32" s="253">
        <v>3</v>
      </c>
      <c r="J32" s="253">
        <v>4</v>
      </c>
      <c r="K32" s="253">
        <v>0</v>
      </c>
      <c r="L32" s="253">
        <v>0</v>
      </c>
      <c r="M32" s="253">
        <v>3</v>
      </c>
      <c r="N32" s="253"/>
      <c r="O32" s="253">
        <v>0</v>
      </c>
      <c r="P32" s="253">
        <v>0</v>
      </c>
      <c r="Q32" s="253">
        <v>0</v>
      </c>
      <c r="R32" s="238">
        <f t="shared" si="0"/>
        <v>15</v>
      </c>
      <c r="S32" s="239">
        <f t="shared" si="4"/>
        <v>1.6666666666666667</v>
      </c>
      <c r="T32" s="240">
        <f t="shared" si="5"/>
        <v>214.2</v>
      </c>
      <c r="U32" s="254">
        <f>SUM(E32-R32)</f>
        <v>357</v>
      </c>
      <c r="V32" s="248">
        <v>2014</v>
      </c>
      <c r="W32" s="250" t="s">
        <v>52</v>
      </c>
    </row>
    <row r="33" spans="1:28" x14ac:dyDescent="0.2">
      <c r="A33" s="234">
        <v>18004</v>
      </c>
      <c r="B33" s="255">
        <v>2014</v>
      </c>
      <c r="C33" s="234" t="s">
        <v>126</v>
      </c>
      <c r="D33" s="235"/>
      <c r="E33" s="236">
        <v>226</v>
      </c>
      <c r="F33" s="246">
        <v>3</v>
      </c>
      <c r="G33" s="246">
        <v>8</v>
      </c>
      <c r="H33" s="246">
        <v>5</v>
      </c>
      <c r="I33" s="246">
        <v>7</v>
      </c>
      <c r="J33" s="246">
        <v>9</v>
      </c>
      <c r="K33" s="246">
        <v>13</v>
      </c>
      <c r="L33" s="237">
        <v>17</v>
      </c>
      <c r="M33" s="237">
        <v>18</v>
      </c>
      <c r="N33" s="237">
        <v>16</v>
      </c>
      <c r="O33" s="237">
        <v>13</v>
      </c>
      <c r="P33" s="237">
        <v>21</v>
      </c>
      <c r="Q33" s="237">
        <v>14</v>
      </c>
      <c r="R33" s="238">
        <f t="shared" si="0"/>
        <v>144</v>
      </c>
      <c r="S33" s="239">
        <f t="shared" si="4"/>
        <v>12</v>
      </c>
      <c r="T33" s="240">
        <f t="shared" si="5"/>
        <v>6.833333333333333</v>
      </c>
      <c r="U33" s="254">
        <f>SUM(E33-R33)</f>
        <v>82</v>
      </c>
      <c r="V33" s="255">
        <v>2014</v>
      </c>
      <c r="W33" s="234" t="s">
        <v>127</v>
      </c>
    </row>
    <row r="34" spans="1:28" x14ac:dyDescent="0.2">
      <c r="A34" s="234">
        <v>86051</v>
      </c>
      <c r="B34" s="255">
        <v>2014</v>
      </c>
      <c r="C34" s="234" t="s">
        <v>94</v>
      </c>
      <c r="D34" s="256"/>
      <c r="E34" s="236">
        <v>322</v>
      </c>
      <c r="F34" s="246">
        <v>2</v>
      </c>
      <c r="G34" s="246"/>
      <c r="H34" s="246">
        <v>2</v>
      </c>
      <c r="I34" s="237">
        <v>18</v>
      </c>
      <c r="J34" s="244">
        <v>15</v>
      </c>
      <c r="K34" s="237">
        <f>285-252</f>
        <v>33</v>
      </c>
      <c r="L34" s="237">
        <v>33</v>
      </c>
      <c r="M34" s="237">
        <v>76</v>
      </c>
      <c r="N34" s="237">
        <v>38</v>
      </c>
      <c r="O34" s="237">
        <v>35</v>
      </c>
      <c r="P34" s="237">
        <v>53</v>
      </c>
      <c r="Q34" s="237">
        <v>7</v>
      </c>
      <c r="R34" s="238">
        <f t="shared" si="0"/>
        <v>312</v>
      </c>
      <c r="S34" s="239">
        <f t="shared" si="4"/>
        <v>28.363636363636363</v>
      </c>
      <c r="T34" s="240">
        <f t="shared" si="5"/>
        <v>0.35256410256410259</v>
      </c>
      <c r="U34" s="254">
        <f>SUM(E34-R34)</f>
        <v>10</v>
      </c>
      <c r="V34" s="255">
        <v>2014</v>
      </c>
      <c r="W34" s="234" t="s">
        <v>94</v>
      </c>
    </row>
    <row r="35" spans="1:28" x14ac:dyDescent="0.2">
      <c r="A35" s="234">
        <v>28381</v>
      </c>
      <c r="B35" s="255">
        <v>2014</v>
      </c>
      <c r="C35" s="234" t="s">
        <v>100</v>
      </c>
      <c r="D35" s="256"/>
      <c r="E35" s="236">
        <f>84+225</f>
        <v>309</v>
      </c>
      <c r="F35" s="237">
        <v>27</v>
      </c>
      <c r="G35" s="237">
        <v>9</v>
      </c>
      <c r="H35" s="237">
        <v>32</v>
      </c>
      <c r="I35" s="237">
        <v>16</v>
      </c>
      <c r="J35" s="242"/>
      <c r="K35" s="237"/>
      <c r="L35" s="237">
        <v>41</v>
      </c>
      <c r="M35" s="237">
        <v>56</v>
      </c>
      <c r="N35" s="237"/>
      <c r="O35" s="237">
        <v>0</v>
      </c>
      <c r="P35" s="237">
        <v>0</v>
      </c>
      <c r="Q35" s="237">
        <v>0</v>
      </c>
      <c r="R35" s="238">
        <f t="shared" si="0"/>
        <v>181</v>
      </c>
      <c r="S35" s="239">
        <f>IFERROR((AVERAGE(F35:Q35)),0)</f>
        <v>20.111111111111111</v>
      </c>
      <c r="T35" s="240">
        <f>IFERROR((U35/S35),0)</f>
        <v>6.3646408839779003</v>
      </c>
      <c r="U35" s="254">
        <f>SUM(E35-R35)</f>
        <v>128</v>
      </c>
      <c r="V35" s="255">
        <v>2014</v>
      </c>
      <c r="W35" s="234" t="s">
        <v>100</v>
      </c>
    </row>
    <row r="36" spans="1:28" x14ac:dyDescent="0.2">
      <c r="A36" s="226"/>
      <c r="B36" s="226"/>
      <c r="C36" s="226"/>
      <c r="D36" s="226"/>
      <c r="E36" s="243"/>
      <c r="F36" s="226"/>
      <c r="G36" s="226"/>
      <c r="H36" s="226"/>
      <c r="I36" s="226"/>
      <c r="J36" s="226"/>
      <c r="K36" s="226"/>
      <c r="L36" s="226"/>
      <c r="M36" s="226"/>
      <c r="N36" s="226"/>
      <c r="O36" s="243"/>
      <c r="P36" s="243"/>
      <c r="Q36" s="243"/>
      <c r="R36" s="257"/>
      <c r="S36" s="258"/>
      <c r="T36" s="259"/>
      <c r="U36" s="260"/>
      <c r="V36" s="226"/>
      <c r="W36" s="226"/>
      <c r="AB36" s="220" t="s">
        <v>35</v>
      </c>
    </row>
    <row r="37" spans="1:28" x14ac:dyDescent="0.2">
      <c r="A37" s="234">
        <v>11198</v>
      </c>
      <c r="B37" s="255">
        <v>2015</v>
      </c>
      <c r="C37" s="234" t="s">
        <v>46</v>
      </c>
      <c r="D37" s="256"/>
      <c r="E37" s="236">
        <v>400</v>
      </c>
      <c r="F37" s="237">
        <v>1</v>
      </c>
      <c r="G37" s="237">
        <v>15</v>
      </c>
      <c r="H37" s="237">
        <v>29</v>
      </c>
      <c r="I37" s="237">
        <v>47</v>
      </c>
      <c r="J37" s="237">
        <v>40</v>
      </c>
      <c r="K37" s="237">
        <v>33</v>
      </c>
      <c r="L37" s="237">
        <v>45</v>
      </c>
      <c r="M37" s="237">
        <v>37</v>
      </c>
      <c r="N37" s="237">
        <v>59</v>
      </c>
      <c r="O37" s="237">
        <v>45</v>
      </c>
      <c r="P37" s="237">
        <v>37</v>
      </c>
      <c r="Q37" s="237">
        <v>12</v>
      </c>
      <c r="R37" s="238">
        <f t="shared" si="0"/>
        <v>400</v>
      </c>
      <c r="S37" s="239">
        <f>IFERROR((AVERAGE(F37:Q37)),0)</f>
        <v>33.333333333333336</v>
      </c>
      <c r="T37" s="240">
        <f>IFERROR((U37/S37),0)</f>
        <v>0</v>
      </c>
      <c r="U37" s="254">
        <f t="shared" ref="U37:U57" si="7">SUM(E37-R37)</f>
        <v>0</v>
      </c>
      <c r="V37" s="255">
        <v>2015</v>
      </c>
      <c r="W37" s="234" t="s">
        <v>46</v>
      </c>
    </row>
    <row r="38" spans="1:28" x14ac:dyDescent="0.2">
      <c r="A38" s="234">
        <v>57631</v>
      </c>
      <c r="B38" s="255">
        <v>2015</v>
      </c>
      <c r="C38" s="234" t="s">
        <v>33</v>
      </c>
      <c r="D38" s="256"/>
      <c r="E38" s="236">
        <v>316</v>
      </c>
      <c r="F38" s="237">
        <v>1</v>
      </c>
      <c r="G38" s="237">
        <v>32</v>
      </c>
      <c r="H38" s="237">
        <v>27</v>
      </c>
      <c r="I38" s="237">
        <v>52</v>
      </c>
      <c r="J38" s="237">
        <v>50</v>
      </c>
      <c r="K38" s="237">
        <f>154-10-112</f>
        <v>32</v>
      </c>
      <c r="L38" s="237">
        <v>40</v>
      </c>
      <c r="M38" s="237">
        <v>37</v>
      </c>
      <c r="N38" s="237">
        <v>44</v>
      </c>
      <c r="O38" s="237">
        <v>1</v>
      </c>
      <c r="P38" s="242"/>
      <c r="Q38" s="242"/>
      <c r="R38" s="238">
        <f t="shared" si="0"/>
        <v>316</v>
      </c>
      <c r="S38" s="239">
        <f>IFERROR((AVERAGE(F38:Q38)),0)</f>
        <v>31.6</v>
      </c>
      <c r="T38" s="240">
        <f>IFERROR((U38/S38),0)</f>
        <v>0</v>
      </c>
      <c r="U38" s="254">
        <f t="shared" si="7"/>
        <v>0</v>
      </c>
      <c r="V38" s="255">
        <v>2015</v>
      </c>
      <c r="W38" s="234" t="s">
        <v>33</v>
      </c>
    </row>
    <row r="39" spans="1:28" x14ac:dyDescent="0.2">
      <c r="A39" s="234">
        <v>57632</v>
      </c>
      <c r="B39" s="255">
        <v>2015</v>
      </c>
      <c r="C39" s="234" t="s">
        <v>31</v>
      </c>
      <c r="D39" s="256"/>
      <c r="E39" s="236">
        <v>431</v>
      </c>
      <c r="F39" s="246"/>
      <c r="G39" s="246"/>
      <c r="H39" s="246"/>
      <c r="I39" s="246"/>
      <c r="J39" s="246"/>
      <c r="K39" s="246"/>
      <c r="L39" s="246"/>
      <c r="M39" s="246">
        <v>24</v>
      </c>
      <c r="N39" s="246"/>
      <c r="O39" s="246"/>
      <c r="P39" s="237">
        <v>56</v>
      </c>
      <c r="Q39" s="237">
        <v>9</v>
      </c>
      <c r="R39" s="238">
        <f t="shared" si="0"/>
        <v>89</v>
      </c>
      <c r="S39" s="239">
        <f>IFERROR((AVERAGE(F39:Q39)),0)</f>
        <v>29.666666666666668</v>
      </c>
      <c r="T39" s="240">
        <f>IFERROR((U39/S39),0)</f>
        <v>11.52808988764045</v>
      </c>
      <c r="U39" s="261">
        <f t="shared" si="7"/>
        <v>342</v>
      </c>
      <c r="V39" s="255">
        <v>2015</v>
      </c>
      <c r="W39" s="234" t="s">
        <v>31</v>
      </c>
    </row>
    <row r="40" spans="1:28" x14ac:dyDescent="0.2">
      <c r="A40" s="234"/>
      <c r="B40" s="255">
        <v>2015</v>
      </c>
      <c r="C40" s="234" t="s">
        <v>128</v>
      </c>
      <c r="D40" s="256"/>
      <c r="E40" s="236">
        <v>0</v>
      </c>
      <c r="F40" s="246"/>
      <c r="G40" s="246"/>
      <c r="H40" s="246"/>
      <c r="I40" s="246"/>
      <c r="J40" s="246"/>
      <c r="K40" s="246"/>
      <c r="L40" s="246"/>
      <c r="M40" s="246"/>
      <c r="N40" s="246"/>
      <c r="O40" s="246"/>
      <c r="P40" s="246"/>
      <c r="Q40" s="246"/>
      <c r="R40" s="238">
        <f t="shared" si="0"/>
        <v>0</v>
      </c>
      <c r="S40" s="239">
        <f>IFERROR((AVERAGE(F40:Q40)),0)</f>
        <v>0</v>
      </c>
      <c r="T40" s="240">
        <f t="shared" ref="T40:T51" si="8">IFERROR((U40/S40),0)</f>
        <v>0</v>
      </c>
      <c r="U40" s="261">
        <f t="shared" si="7"/>
        <v>0</v>
      </c>
      <c r="V40" s="255">
        <v>2015</v>
      </c>
      <c r="W40" s="234" t="s">
        <v>128</v>
      </c>
    </row>
    <row r="41" spans="1:28" x14ac:dyDescent="0.2">
      <c r="A41" s="234">
        <v>57630</v>
      </c>
      <c r="B41" s="255">
        <v>2015</v>
      </c>
      <c r="C41" s="234" t="s">
        <v>25</v>
      </c>
      <c r="D41" s="256"/>
      <c r="E41" s="236">
        <v>518</v>
      </c>
      <c r="F41" s="246"/>
      <c r="G41" s="246"/>
      <c r="H41" s="246"/>
      <c r="I41" s="246"/>
      <c r="J41" s="246"/>
      <c r="K41" s="246"/>
      <c r="L41" s="246"/>
      <c r="M41" s="246">
        <v>1</v>
      </c>
      <c r="N41" s="246"/>
      <c r="O41" s="246">
        <v>42</v>
      </c>
      <c r="P41" s="246">
        <v>0</v>
      </c>
      <c r="Q41" s="246">
        <v>13</v>
      </c>
      <c r="R41" s="238">
        <f t="shared" si="0"/>
        <v>56</v>
      </c>
      <c r="S41" s="239">
        <f t="shared" ref="S41:S51" si="9">IFERROR((AVERAGE(F41:Q41)),0)</f>
        <v>14</v>
      </c>
      <c r="T41" s="240">
        <f t="shared" si="8"/>
        <v>33</v>
      </c>
      <c r="U41" s="261">
        <f t="shared" si="7"/>
        <v>462</v>
      </c>
      <c r="V41" s="255">
        <v>2015</v>
      </c>
      <c r="W41" s="234" t="s">
        <v>25</v>
      </c>
    </row>
    <row r="42" spans="1:28" x14ac:dyDescent="0.2">
      <c r="A42" s="234">
        <v>22382</v>
      </c>
      <c r="B42" s="255">
        <v>2015</v>
      </c>
      <c r="C42" s="234" t="s">
        <v>23</v>
      </c>
      <c r="D42" s="256"/>
      <c r="E42" s="236">
        <v>431</v>
      </c>
      <c r="F42" s="246"/>
      <c r="G42" s="246"/>
      <c r="H42" s="246"/>
      <c r="I42" s="246"/>
      <c r="J42" s="246"/>
      <c r="K42" s="246"/>
      <c r="L42" s="246"/>
      <c r="M42" s="246">
        <v>95</v>
      </c>
      <c r="N42" s="246"/>
      <c r="O42" s="246">
        <v>0</v>
      </c>
      <c r="P42" s="246">
        <v>0</v>
      </c>
      <c r="Q42" s="246">
        <v>0</v>
      </c>
      <c r="R42" s="238">
        <f t="shared" si="0"/>
        <v>95</v>
      </c>
      <c r="S42" s="239">
        <f t="shared" si="9"/>
        <v>23.75</v>
      </c>
      <c r="T42" s="240">
        <f t="shared" si="8"/>
        <v>14.147368421052631</v>
      </c>
      <c r="U42" s="261">
        <f t="shared" si="7"/>
        <v>336</v>
      </c>
      <c r="V42" s="255">
        <v>2015</v>
      </c>
      <c r="W42" s="234" t="s">
        <v>23</v>
      </c>
    </row>
    <row r="43" spans="1:28" x14ac:dyDescent="0.2">
      <c r="A43" s="234">
        <v>84802</v>
      </c>
      <c r="B43" s="255">
        <v>2015</v>
      </c>
      <c r="C43" s="234" t="s">
        <v>93</v>
      </c>
      <c r="D43" s="256"/>
      <c r="E43" s="236">
        <v>225</v>
      </c>
      <c r="F43" s="246"/>
      <c r="G43" s="246"/>
      <c r="H43" s="246"/>
      <c r="I43" s="246"/>
      <c r="J43" s="246"/>
      <c r="K43" s="246"/>
      <c r="L43" s="246"/>
      <c r="M43" s="246">
        <v>1</v>
      </c>
      <c r="N43" s="246"/>
      <c r="O43" s="246"/>
      <c r="P43" s="246"/>
      <c r="Q43" s="246">
        <v>0</v>
      </c>
      <c r="R43" s="238">
        <f t="shared" si="0"/>
        <v>1</v>
      </c>
      <c r="S43" s="239">
        <f t="shared" si="9"/>
        <v>0.5</v>
      </c>
      <c r="T43" s="240">
        <f t="shared" si="8"/>
        <v>448</v>
      </c>
      <c r="U43" s="261">
        <f t="shared" si="7"/>
        <v>224</v>
      </c>
      <c r="V43" s="255">
        <v>2015</v>
      </c>
      <c r="W43" s="234" t="s">
        <v>93</v>
      </c>
    </row>
    <row r="44" spans="1:28" x14ac:dyDescent="0.2">
      <c r="A44" s="234">
        <v>22384</v>
      </c>
      <c r="B44" s="255">
        <v>2015</v>
      </c>
      <c r="C44" s="234" t="s">
        <v>26</v>
      </c>
      <c r="D44" s="256"/>
      <c r="E44" s="236">
        <v>0</v>
      </c>
      <c r="F44" s="246"/>
      <c r="G44" s="246"/>
      <c r="H44" s="246"/>
      <c r="I44" s="246"/>
      <c r="J44" s="246"/>
      <c r="K44" s="246"/>
      <c r="L44" s="246"/>
      <c r="M44" s="246"/>
      <c r="N44" s="246"/>
      <c r="O44" s="246"/>
      <c r="P44" s="246"/>
      <c r="Q44" s="246"/>
      <c r="R44" s="238">
        <f t="shared" si="0"/>
        <v>0</v>
      </c>
      <c r="S44" s="239">
        <f t="shared" si="9"/>
        <v>0</v>
      </c>
      <c r="T44" s="240">
        <f t="shared" si="8"/>
        <v>0</v>
      </c>
      <c r="U44" s="261">
        <f t="shared" si="7"/>
        <v>0</v>
      </c>
      <c r="V44" s="255">
        <v>2015</v>
      </c>
      <c r="W44" s="234" t="s">
        <v>26</v>
      </c>
    </row>
    <row r="45" spans="1:28" x14ac:dyDescent="0.2">
      <c r="A45" s="234">
        <v>27736</v>
      </c>
      <c r="B45" s="255">
        <v>2015</v>
      </c>
      <c r="C45" s="234" t="s">
        <v>56</v>
      </c>
      <c r="D45" s="256"/>
      <c r="E45" s="236">
        <v>363</v>
      </c>
      <c r="F45" s="246"/>
      <c r="G45" s="246"/>
      <c r="H45" s="246"/>
      <c r="I45" s="246"/>
      <c r="J45" s="246"/>
      <c r="K45" s="246"/>
      <c r="L45" s="246"/>
      <c r="M45" s="246">
        <v>1</v>
      </c>
      <c r="N45" s="246">
        <v>10</v>
      </c>
      <c r="O45" s="246">
        <v>6</v>
      </c>
      <c r="P45" s="246">
        <v>26</v>
      </c>
      <c r="Q45" s="246">
        <v>21</v>
      </c>
      <c r="R45" s="238">
        <f t="shared" si="0"/>
        <v>64</v>
      </c>
      <c r="S45" s="239">
        <f t="shared" si="9"/>
        <v>12.8</v>
      </c>
      <c r="T45" s="240">
        <f t="shared" si="8"/>
        <v>23.359375</v>
      </c>
      <c r="U45" s="261">
        <f t="shared" si="7"/>
        <v>299</v>
      </c>
      <c r="V45" s="255">
        <v>2015</v>
      </c>
      <c r="W45" s="234" t="s">
        <v>56</v>
      </c>
    </row>
    <row r="46" spans="1:28" x14ac:dyDescent="0.2">
      <c r="A46" s="234">
        <v>28361</v>
      </c>
      <c r="B46" s="255">
        <v>2015</v>
      </c>
      <c r="C46" s="234" t="s">
        <v>24</v>
      </c>
      <c r="D46" s="256"/>
      <c r="E46" s="236">
        <v>115</v>
      </c>
      <c r="F46" s="246"/>
      <c r="G46" s="246"/>
      <c r="H46" s="246"/>
      <c r="I46" s="246"/>
      <c r="J46" s="246"/>
      <c r="K46" s="246"/>
      <c r="L46" s="246"/>
      <c r="M46" s="246"/>
      <c r="N46" s="246"/>
      <c r="O46" s="246"/>
      <c r="P46" s="246"/>
      <c r="Q46" s="246">
        <v>0</v>
      </c>
      <c r="R46" s="238">
        <f t="shared" si="0"/>
        <v>0</v>
      </c>
      <c r="S46" s="239">
        <f t="shared" si="9"/>
        <v>0</v>
      </c>
      <c r="T46" s="240">
        <f t="shared" si="8"/>
        <v>0</v>
      </c>
      <c r="U46" s="261">
        <f t="shared" si="7"/>
        <v>115</v>
      </c>
      <c r="V46" s="255">
        <v>2015</v>
      </c>
      <c r="W46" s="234" t="s">
        <v>24</v>
      </c>
    </row>
    <row r="47" spans="1:28" x14ac:dyDescent="0.2">
      <c r="A47" s="234">
        <v>22921</v>
      </c>
      <c r="B47" s="255">
        <v>2015</v>
      </c>
      <c r="C47" s="234" t="s">
        <v>22</v>
      </c>
      <c r="D47" s="256"/>
      <c r="E47" s="236">
        <v>671</v>
      </c>
      <c r="F47" s="246"/>
      <c r="G47" s="246"/>
      <c r="H47" s="246"/>
      <c r="I47" s="246"/>
      <c r="J47" s="246"/>
      <c r="K47" s="246"/>
      <c r="L47" s="246"/>
      <c r="M47" s="246"/>
      <c r="N47" s="246"/>
      <c r="O47" s="246"/>
      <c r="P47" s="246"/>
      <c r="Q47" s="246">
        <v>0</v>
      </c>
      <c r="R47" s="238">
        <f t="shared" si="0"/>
        <v>0</v>
      </c>
      <c r="S47" s="239">
        <f t="shared" si="9"/>
        <v>0</v>
      </c>
      <c r="T47" s="240">
        <f t="shared" si="8"/>
        <v>0</v>
      </c>
      <c r="U47" s="261">
        <f t="shared" si="7"/>
        <v>671</v>
      </c>
      <c r="V47" s="255">
        <v>2015</v>
      </c>
      <c r="W47" s="234" t="s">
        <v>22</v>
      </c>
    </row>
    <row r="48" spans="1:28" x14ac:dyDescent="0.2">
      <c r="A48" s="250">
        <v>34641</v>
      </c>
      <c r="B48" s="255">
        <v>2015</v>
      </c>
      <c r="C48" s="250" t="s">
        <v>52</v>
      </c>
      <c r="D48" s="256"/>
      <c r="E48" s="236">
        <v>275</v>
      </c>
      <c r="F48" s="246"/>
      <c r="G48" s="246"/>
      <c r="H48" s="246"/>
      <c r="I48" s="246"/>
      <c r="J48" s="246"/>
      <c r="K48" s="246"/>
      <c r="L48" s="246"/>
      <c r="M48" s="246"/>
      <c r="N48" s="246"/>
      <c r="O48" s="246"/>
      <c r="P48" s="246"/>
      <c r="Q48" s="246">
        <v>65</v>
      </c>
      <c r="R48" s="238">
        <f t="shared" si="0"/>
        <v>65</v>
      </c>
      <c r="S48" s="239">
        <f t="shared" si="9"/>
        <v>65</v>
      </c>
      <c r="T48" s="240">
        <f t="shared" si="8"/>
        <v>3.2307692307692308</v>
      </c>
      <c r="U48" s="261">
        <f t="shared" si="7"/>
        <v>210</v>
      </c>
      <c r="V48" s="255">
        <v>2015</v>
      </c>
      <c r="W48" s="250" t="s">
        <v>52</v>
      </c>
    </row>
    <row r="49" spans="1:30" x14ac:dyDescent="0.2">
      <c r="A49" s="234">
        <v>18004</v>
      </c>
      <c r="B49" s="255">
        <v>2015</v>
      </c>
      <c r="C49" s="234" t="s">
        <v>99</v>
      </c>
      <c r="D49" s="256"/>
      <c r="E49" s="236">
        <v>252</v>
      </c>
      <c r="F49" s="246"/>
      <c r="G49" s="246"/>
      <c r="H49" s="246"/>
      <c r="I49" s="246"/>
      <c r="J49" s="246"/>
      <c r="K49" s="246"/>
      <c r="L49" s="246"/>
      <c r="M49" s="246">
        <v>1</v>
      </c>
      <c r="N49" s="246"/>
      <c r="O49" s="246">
        <v>11</v>
      </c>
      <c r="P49" s="246">
        <v>4</v>
      </c>
      <c r="Q49" s="246">
        <v>16</v>
      </c>
      <c r="R49" s="238">
        <f t="shared" si="0"/>
        <v>32</v>
      </c>
      <c r="S49" s="239">
        <f t="shared" si="9"/>
        <v>8</v>
      </c>
      <c r="T49" s="240">
        <f t="shared" si="8"/>
        <v>27.5</v>
      </c>
      <c r="U49" s="261">
        <f t="shared" si="7"/>
        <v>220</v>
      </c>
      <c r="V49" s="255">
        <v>2015</v>
      </c>
      <c r="W49" s="234" t="s">
        <v>99</v>
      </c>
    </row>
    <row r="50" spans="1:30" x14ac:dyDescent="0.2">
      <c r="A50" s="234">
        <v>86051</v>
      </c>
      <c r="B50" s="255">
        <v>2015</v>
      </c>
      <c r="C50" s="234" t="s">
        <v>94</v>
      </c>
      <c r="D50" s="256"/>
      <c r="E50" s="236">
        <v>421</v>
      </c>
      <c r="F50" s="246"/>
      <c r="G50" s="246"/>
      <c r="H50" s="246"/>
      <c r="I50" s="246"/>
      <c r="J50" s="246"/>
      <c r="K50" s="246"/>
      <c r="L50" s="246"/>
      <c r="M50" s="246"/>
      <c r="N50" s="246"/>
      <c r="O50" s="246"/>
      <c r="P50" s="246"/>
      <c r="Q50" s="246">
        <v>29</v>
      </c>
      <c r="R50" s="238">
        <f t="shared" si="0"/>
        <v>29</v>
      </c>
      <c r="S50" s="239">
        <f t="shared" si="9"/>
        <v>29</v>
      </c>
      <c r="T50" s="240">
        <f t="shared" si="8"/>
        <v>13.517241379310345</v>
      </c>
      <c r="U50" s="261">
        <f>SUM(E50-R50)</f>
        <v>392</v>
      </c>
      <c r="V50" s="255">
        <v>2015</v>
      </c>
      <c r="W50" s="234" t="s">
        <v>94</v>
      </c>
    </row>
    <row r="51" spans="1:30" x14ac:dyDescent="0.2">
      <c r="A51" s="234">
        <v>28381</v>
      </c>
      <c r="B51" s="255">
        <v>2015</v>
      </c>
      <c r="C51" s="234" t="s">
        <v>100</v>
      </c>
      <c r="D51" s="256"/>
      <c r="E51" s="236"/>
      <c r="F51" s="246"/>
      <c r="G51" s="246"/>
      <c r="H51" s="246"/>
      <c r="I51" s="246"/>
      <c r="J51" s="246"/>
      <c r="K51" s="246"/>
      <c r="L51" s="246"/>
      <c r="M51" s="246"/>
      <c r="N51" s="246"/>
      <c r="O51" s="246"/>
      <c r="P51" s="246"/>
      <c r="Q51" s="246"/>
      <c r="R51" s="238">
        <f t="shared" si="0"/>
        <v>0</v>
      </c>
      <c r="S51" s="239">
        <f t="shared" si="9"/>
        <v>0</v>
      </c>
      <c r="T51" s="240">
        <f t="shared" si="8"/>
        <v>0</v>
      </c>
      <c r="U51" s="261">
        <f t="shared" si="7"/>
        <v>0</v>
      </c>
      <c r="V51" s="255">
        <v>2015</v>
      </c>
      <c r="W51" s="234" t="s">
        <v>100</v>
      </c>
    </row>
    <row r="52" spans="1:30" x14ac:dyDescent="0.2">
      <c r="A52" s="226"/>
      <c r="B52" s="226"/>
      <c r="C52" s="226"/>
      <c r="D52" s="226"/>
      <c r="E52" s="226"/>
      <c r="F52" s="226"/>
      <c r="G52" s="226"/>
      <c r="H52" s="226"/>
      <c r="I52" s="226"/>
      <c r="J52" s="226"/>
      <c r="K52" s="226"/>
      <c r="L52" s="226"/>
      <c r="M52" s="226"/>
      <c r="N52" s="226"/>
      <c r="O52" s="243"/>
      <c r="P52" s="243"/>
      <c r="Q52" s="226"/>
      <c r="R52" s="226"/>
      <c r="S52" s="226"/>
      <c r="T52" s="226"/>
      <c r="U52" s="226"/>
      <c r="V52" s="226"/>
      <c r="W52" s="226"/>
    </row>
    <row r="53" spans="1:30" x14ac:dyDescent="0.2">
      <c r="A53" s="234"/>
      <c r="B53" s="233">
        <v>2012</v>
      </c>
      <c r="C53" s="234"/>
      <c r="D53" s="262"/>
      <c r="E53" s="263">
        <f t="shared" ref="E53:R53" si="10">SUM(E10:E11)</f>
        <v>304</v>
      </c>
      <c r="F53" s="263">
        <f t="shared" si="10"/>
        <v>45</v>
      </c>
      <c r="G53" s="263">
        <f t="shared" si="10"/>
        <v>28</v>
      </c>
      <c r="H53" s="263">
        <f t="shared" si="10"/>
        <v>21</v>
      </c>
      <c r="I53" s="263">
        <f t="shared" si="10"/>
        <v>43</v>
      </c>
      <c r="J53" s="263">
        <f t="shared" si="10"/>
        <v>43</v>
      </c>
      <c r="K53" s="263">
        <f t="shared" si="10"/>
        <v>16</v>
      </c>
      <c r="L53" s="263">
        <f t="shared" si="10"/>
        <v>15</v>
      </c>
      <c r="M53" s="263">
        <f t="shared" si="10"/>
        <v>15</v>
      </c>
      <c r="N53" s="263">
        <f t="shared" si="10"/>
        <v>23</v>
      </c>
      <c r="O53" s="263">
        <f t="shared" si="10"/>
        <v>28</v>
      </c>
      <c r="P53" s="263">
        <f t="shared" si="10"/>
        <v>22</v>
      </c>
      <c r="Q53" s="263">
        <f t="shared" si="10"/>
        <v>0</v>
      </c>
      <c r="R53" s="238">
        <f t="shared" si="10"/>
        <v>299</v>
      </c>
      <c r="S53" s="239">
        <f>AVERAGE(F53:Q53)</f>
        <v>24.916666666666668</v>
      </c>
      <c r="T53" s="240">
        <f>U53/S53</f>
        <v>0.20066889632107021</v>
      </c>
      <c r="U53" s="261">
        <f t="shared" si="7"/>
        <v>5</v>
      </c>
      <c r="V53" s="233">
        <v>2012</v>
      </c>
      <c r="W53" s="234"/>
    </row>
    <row r="54" spans="1:30" x14ac:dyDescent="0.2">
      <c r="A54" s="234"/>
      <c r="B54" s="233">
        <v>2013</v>
      </c>
      <c r="C54" s="234"/>
      <c r="D54" s="262"/>
      <c r="E54" s="263">
        <f t="shared" ref="E54:R54" si="11">SUM(E13:E21)</f>
        <v>2192</v>
      </c>
      <c r="F54" s="263">
        <f t="shared" si="11"/>
        <v>232</v>
      </c>
      <c r="G54" s="263">
        <f t="shared" si="11"/>
        <v>169</v>
      </c>
      <c r="H54" s="263">
        <f t="shared" si="11"/>
        <v>151</v>
      </c>
      <c r="I54" s="263">
        <f t="shared" si="11"/>
        <v>241</v>
      </c>
      <c r="J54" s="263">
        <f t="shared" si="11"/>
        <v>172</v>
      </c>
      <c r="K54" s="263">
        <f t="shared" si="11"/>
        <v>221</v>
      </c>
      <c r="L54" s="263">
        <f t="shared" si="11"/>
        <v>215</v>
      </c>
      <c r="M54" s="263">
        <f t="shared" si="11"/>
        <v>162</v>
      </c>
      <c r="N54" s="263">
        <f t="shared" si="11"/>
        <v>169</v>
      </c>
      <c r="O54" s="263">
        <f t="shared" si="11"/>
        <v>97</v>
      </c>
      <c r="P54" s="263">
        <f t="shared" si="11"/>
        <v>47</v>
      </c>
      <c r="Q54" s="263">
        <f t="shared" si="11"/>
        <v>18</v>
      </c>
      <c r="R54" s="238">
        <f t="shared" si="11"/>
        <v>1894</v>
      </c>
      <c r="S54" s="264">
        <f>AVERAGE(F54:Q54)</f>
        <v>157.83333333333334</v>
      </c>
      <c r="T54" s="265">
        <f>U54/S54</f>
        <v>1.8880675818373811</v>
      </c>
      <c r="U54" s="261">
        <f t="shared" si="7"/>
        <v>298</v>
      </c>
      <c r="V54" s="233">
        <v>2013</v>
      </c>
      <c r="W54" s="234"/>
    </row>
    <row r="55" spans="1:30" x14ac:dyDescent="0.2">
      <c r="A55" s="234"/>
      <c r="B55" s="233">
        <v>2014</v>
      </c>
      <c r="C55" s="234"/>
      <c r="D55" s="262"/>
      <c r="E55" s="263">
        <f t="shared" ref="E55:R55" si="12">SUM(E23:E35)</f>
        <v>4243</v>
      </c>
      <c r="F55" s="263">
        <f t="shared" si="12"/>
        <v>151</v>
      </c>
      <c r="G55" s="263">
        <f t="shared" si="12"/>
        <v>90</v>
      </c>
      <c r="H55" s="263">
        <f t="shared" si="12"/>
        <v>82</v>
      </c>
      <c r="I55" s="263">
        <f t="shared" si="12"/>
        <v>100</v>
      </c>
      <c r="J55" s="263">
        <f t="shared" si="12"/>
        <v>85</v>
      </c>
      <c r="K55" s="263">
        <f t="shared" si="12"/>
        <v>94</v>
      </c>
      <c r="L55" s="263">
        <f t="shared" si="12"/>
        <v>203</v>
      </c>
      <c r="M55" s="263">
        <f t="shared" si="12"/>
        <v>302</v>
      </c>
      <c r="N55" s="263">
        <f t="shared" si="12"/>
        <v>195</v>
      </c>
      <c r="O55" s="263">
        <f t="shared" si="12"/>
        <v>218</v>
      </c>
      <c r="P55" s="263">
        <f t="shared" si="12"/>
        <v>313</v>
      </c>
      <c r="Q55" s="263">
        <f t="shared" si="12"/>
        <v>331</v>
      </c>
      <c r="R55" s="238">
        <f t="shared" si="12"/>
        <v>2164</v>
      </c>
      <c r="S55" s="264">
        <f>AVERAGE(F55:Q55)</f>
        <v>180.33333333333334</v>
      </c>
      <c r="T55" s="265">
        <f>U55/S55</f>
        <v>11.528650646950092</v>
      </c>
      <c r="U55" s="261">
        <f t="shared" si="7"/>
        <v>2079</v>
      </c>
      <c r="V55" s="233">
        <v>2014</v>
      </c>
      <c r="W55" s="234"/>
    </row>
    <row r="56" spans="1:30" x14ac:dyDescent="0.2">
      <c r="A56" s="234"/>
      <c r="B56" s="233">
        <v>2015</v>
      </c>
      <c r="C56" s="234"/>
      <c r="D56" s="262"/>
      <c r="E56" s="263">
        <f t="shared" ref="E56:Q56" si="13">SUM(E37:E51)</f>
        <v>4418</v>
      </c>
      <c r="F56" s="263">
        <f t="shared" si="13"/>
        <v>2</v>
      </c>
      <c r="G56" s="263">
        <f t="shared" si="13"/>
        <v>47</v>
      </c>
      <c r="H56" s="263">
        <f t="shared" si="13"/>
        <v>56</v>
      </c>
      <c r="I56" s="263">
        <f t="shared" si="13"/>
        <v>99</v>
      </c>
      <c r="J56" s="263">
        <f t="shared" si="13"/>
        <v>90</v>
      </c>
      <c r="K56" s="263">
        <f t="shared" si="13"/>
        <v>65</v>
      </c>
      <c r="L56" s="263">
        <f t="shared" si="13"/>
        <v>85</v>
      </c>
      <c r="M56" s="263">
        <f t="shared" si="13"/>
        <v>197</v>
      </c>
      <c r="N56" s="263">
        <f t="shared" si="13"/>
        <v>113</v>
      </c>
      <c r="O56" s="263">
        <f t="shared" si="13"/>
        <v>105</v>
      </c>
      <c r="P56" s="263">
        <f t="shared" si="13"/>
        <v>123</v>
      </c>
      <c r="Q56" s="263">
        <f t="shared" si="13"/>
        <v>165</v>
      </c>
      <c r="R56" s="238">
        <f>SUM(R24:R33)</f>
        <v>1612</v>
      </c>
      <c r="S56" s="264">
        <f>AVERAGE(F56:Q56)</f>
        <v>95.583333333333329</v>
      </c>
      <c r="T56" s="265">
        <f>U56/S56</f>
        <v>29.356582388840454</v>
      </c>
      <c r="U56" s="261">
        <f t="shared" si="7"/>
        <v>2806</v>
      </c>
      <c r="V56" s="233">
        <v>2015</v>
      </c>
      <c r="W56" s="234"/>
    </row>
    <row r="57" spans="1:30" x14ac:dyDescent="0.2">
      <c r="A57" s="234"/>
      <c r="B57" s="266" t="s">
        <v>59</v>
      </c>
      <c r="C57" s="234"/>
      <c r="D57" s="262"/>
      <c r="E57" s="267">
        <f>SUM(E53:E56)</f>
        <v>11157</v>
      </c>
      <c r="F57" s="267">
        <f t="shared" ref="F57:Q57" si="14">SUM(F53:F56)</f>
        <v>430</v>
      </c>
      <c r="G57" s="267">
        <f t="shared" si="14"/>
        <v>334</v>
      </c>
      <c r="H57" s="267">
        <f t="shared" si="14"/>
        <v>310</v>
      </c>
      <c r="I57" s="267">
        <f t="shared" si="14"/>
        <v>483</v>
      </c>
      <c r="J57" s="267">
        <f t="shared" si="14"/>
        <v>390</v>
      </c>
      <c r="K57" s="267">
        <f t="shared" si="14"/>
        <v>396</v>
      </c>
      <c r="L57" s="267">
        <f t="shared" si="14"/>
        <v>518</v>
      </c>
      <c r="M57" s="267">
        <f t="shared" si="14"/>
        <v>676</v>
      </c>
      <c r="N57" s="267">
        <f t="shared" si="14"/>
        <v>500</v>
      </c>
      <c r="O57" s="267">
        <f t="shared" si="14"/>
        <v>448</v>
      </c>
      <c r="P57" s="267">
        <f t="shared" si="14"/>
        <v>505</v>
      </c>
      <c r="Q57" s="267">
        <f t="shared" si="14"/>
        <v>514</v>
      </c>
      <c r="R57" s="238">
        <f>SUM(R53:R56)</f>
        <v>5969</v>
      </c>
      <c r="S57" s="268">
        <f>SUM(S53:S56)</f>
        <v>458.66666666666669</v>
      </c>
      <c r="T57" s="240">
        <f>U57/S57</f>
        <v>11.311046511627907</v>
      </c>
      <c r="U57" s="261">
        <f t="shared" si="7"/>
        <v>5188</v>
      </c>
      <c r="V57" s="266" t="s">
        <v>59</v>
      </c>
      <c r="W57" s="234"/>
    </row>
    <row r="58" spans="1:30" x14ac:dyDescent="0.2">
      <c r="A58" s="226"/>
      <c r="B58" s="269"/>
      <c r="C58" s="269"/>
      <c r="D58" s="270"/>
      <c r="E58" s="271"/>
      <c r="F58" s="271"/>
      <c r="G58" s="271"/>
      <c r="H58" s="271"/>
      <c r="I58" s="271"/>
      <c r="J58" s="271"/>
      <c r="K58" s="272"/>
      <c r="L58" s="272"/>
      <c r="M58" s="272"/>
      <c r="N58" s="272"/>
      <c r="O58" s="272"/>
      <c r="P58" s="272"/>
      <c r="Q58" s="272"/>
      <c r="R58" s="269"/>
      <c r="S58" s="270"/>
      <c r="T58" s="273"/>
      <c r="U58" s="274"/>
      <c r="V58" s="269"/>
      <c r="W58" s="269"/>
    </row>
    <row r="59" spans="1:30" x14ac:dyDescent="0.2">
      <c r="D59" s="275"/>
      <c r="E59" s="276"/>
      <c r="F59" s="276"/>
      <c r="G59" s="276"/>
      <c r="H59" s="276"/>
      <c r="I59" s="276"/>
      <c r="J59" s="276"/>
      <c r="K59" s="221"/>
      <c r="L59" s="221"/>
      <c r="M59" s="221"/>
      <c r="N59" s="221"/>
      <c r="O59" s="221"/>
      <c r="P59" s="221"/>
      <c r="Q59" s="221"/>
      <c r="S59" s="275"/>
      <c r="T59" s="277"/>
    </row>
    <row r="60" spans="1:30" ht="15.75" x14ac:dyDescent="0.25">
      <c r="B60" s="278" t="s">
        <v>129</v>
      </c>
      <c r="C60" s="278"/>
      <c r="D60" s="275"/>
      <c r="E60" s="221"/>
      <c r="F60" s="221"/>
      <c r="G60" s="221"/>
      <c r="H60" s="221"/>
      <c r="I60" s="221"/>
      <c r="J60" s="221"/>
      <c r="K60" s="221"/>
      <c r="L60" s="221"/>
      <c r="M60" s="221"/>
      <c r="N60" s="221"/>
      <c r="O60" s="221"/>
      <c r="P60" s="221"/>
      <c r="Q60" s="221"/>
      <c r="S60" s="275"/>
      <c r="T60" s="277"/>
      <c r="V60" s="278" t="s">
        <v>129</v>
      </c>
      <c r="W60" s="278"/>
    </row>
    <row r="61" spans="1:30" x14ac:dyDescent="0.2">
      <c r="D61" s="275"/>
      <c r="E61" s="221"/>
      <c r="F61" s="221"/>
      <c r="G61" s="221"/>
      <c r="H61" s="221"/>
      <c r="I61" s="221"/>
      <c r="J61" s="221"/>
      <c r="K61" s="221"/>
      <c r="L61" s="221"/>
      <c r="M61" s="221"/>
      <c r="N61" s="221"/>
      <c r="O61" s="221"/>
      <c r="P61" s="221"/>
      <c r="Q61" s="221"/>
      <c r="S61" s="275"/>
      <c r="T61" s="277"/>
    </row>
    <row r="62" spans="1:30" x14ac:dyDescent="0.2">
      <c r="A62" s="226"/>
      <c r="B62" s="226"/>
      <c r="C62" s="226"/>
      <c r="D62" s="226"/>
      <c r="E62" s="226"/>
      <c r="F62" s="226"/>
      <c r="G62" s="226"/>
      <c r="H62" s="226"/>
      <c r="I62" s="226"/>
      <c r="J62" s="226"/>
      <c r="K62" s="226"/>
      <c r="L62" s="226"/>
      <c r="M62" s="226"/>
      <c r="N62" s="226"/>
      <c r="O62" s="243"/>
      <c r="P62" s="243"/>
      <c r="Q62" s="226"/>
      <c r="R62" s="226"/>
      <c r="S62" s="226"/>
      <c r="T62" s="226"/>
      <c r="U62" s="226"/>
      <c r="V62" s="226"/>
      <c r="W62" s="226"/>
    </row>
    <row r="63" spans="1:30" x14ac:dyDescent="0.2">
      <c r="A63" s="234">
        <v>100465</v>
      </c>
      <c r="B63" s="255">
        <v>2014</v>
      </c>
      <c r="C63" s="234" t="s">
        <v>130</v>
      </c>
      <c r="D63" s="256">
        <v>9.2100000000000009</v>
      </c>
      <c r="E63" s="237">
        <v>327</v>
      </c>
      <c r="F63" s="246"/>
      <c r="G63" s="246"/>
      <c r="H63" s="246"/>
      <c r="I63" s="246"/>
      <c r="J63" s="246"/>
      <c r="K63" s="246">
        <v>12</v>
      </c>
      <c r="L63" s="246"/>
      <c r="M63" s="246"/>
      <c r="N63" s="246">
        <v>31</v>
      </c>
      <c r="O63" s="246">
        <v>0</v>
      </c>
      <c r="P63" s="246">
        <v>0</v>
      </c>
      <c r="Q63" s="246">
        <v>0</v>
      </c>
      <c r="R63" s="238">
        <f>SUM(F63:Q63)</f>
        <v>43</v>
      </c>
      <c r="S63" s="239">
        <f>IFERROR((AVERAGE(F63:Q63)),0)</f>
        <v>8.6</v>
      </c>
      <c r="T63" s="240">
        <f>IFERROR((U63/S63),0)</f>
        <v>33.02325581395349</v>
      </c>
      <c r="U63" s="261">
        <f>SUM(E63-R63)</f>
        <v>284</v>
      </c>
      <c r="V63" s="255">
        <v>2014</v>
      </c>
      <c r="W63" s="234" t="s">
        <v>130</v>
      </c>
      <c r="AD63" s="220">
        <v>1</v>
      </c>
    </row>
    <row r="64" spans="1:30" x14ac:dyDescent="0.2">
      <c r="A64" s="234">
        <v>97511</v>
      </c>
      <c r="B64" s="248">
        <v>2014</v>
      </c>
      <c r="C64" s="234" t="s">
        <v>25</v>
      </c>
      <c r="D64" s="235">
        <v>6.92</v>
      </c>
      <c r="E64" s="236">
        <v>388</v>
      </c>
      <c r="F64" s="246"/>
      <c r="G64" s="246"/>
      <c r="H64" s="246"/>
      <c r="I64" s="246"/>
      <c r="J64" s="246">
        <v>1</v>
      </c>
      <c r="K64" s="246">
        <v>6</v>
      </c>
      <c r="L64" s="246"/>
      <c r="M64" s="246"/>
      <c r="N64" s="246">
        <v>43</v>
      </c>
      <c r="O64" s="246">
        <v>0</v>
      </c>
      <c r="P64" s="246">
        <v>0</v>
      </c>
      <c r="Q64" s="246">
        <v>0</v>
      </c>
      <c r="R64" s="238">
        <f>SUM(F64:Q64)</f>
        <v>50</v>
      </c>
      <c r="S64" s="239">
        <f>IFERROR((AVERAGE(F64:Q64)),0)</f>
        <v>8.3333333333333339</v>
      </c>
      <c r="T64" s="240">
        <f>IFERROR((U64/S64),0)</f>
        <v>40.559999999999995</v>
      </c>
      <c r="U64" s="261">
        <f>SUM(E64-R64)</f>
        <v>338</v>
      </c>
      <c r="V64" s="248">
        <v>2015</v>
      </c>
      <c r="W64" s="234" t="s">
        <v>25</v>
      </c>
    </row>
    <row r="65" spans="1:23" x14ac:dyDescent="0.2">
      <c r="A65" s="234">
        <v>102768</v>
      </c>
      <c r="B65" s="255">
        <v>2014</v>
      </c>
      <c r="C65" s="234" t="s">
        <v>131</v>
      </c>
      <c r="D65" s="256">
        <v>2.42</v>
      </c>
      <c r="E65" s="236">
        <v>136</v>
      </c>
      <c r="F65" s="246"/>
      <c r="G65" s="246"/>
      <c r="H65" s="246"/>
      <c r="I65" s="246"/>
      <c r="J65" s="246"/>
      <c r="K65" s="246"/>
      <c r="L65" s="246"/>
      <c r="M65" s="246"/>
      <c r="N65" s="246">
        <v>20</v>
      </c>
      <c r="O65" s="246">
        <v>0</v>
      </c>
      <c r="P65" s="246">
        <v>0</v>
      </c>
      <c r="Q65" s="246">
        <v>0</v>
      </c>
      <c r="R65" s="238">
        <f>SUM(F65:Q65)</f>
        <v>20</v>
      </c>
      <c r="S65" s="239">
        <f>IFERROR((AVERAGE(F65:Q65)),0)</f>
        <v>5</v>
      </c>
      <c r="T65" s="240">
        <f>IFERROR((U65/S65),0)</f>
        <v>23.2</v>
      </c>
      <c r="U65" s="261">
        <f>SUM(E65-R65)</f>
        <v>116</v>
      </c>
      <c r="V65" s="255">
        <v>2014</v>
      </c>
      <c r="W65" s="234" t="s">
        <v>131</v>
      </c>
    </row>
    <row r="66" spans="1:23" x14ac:dyDescent="0.2">
      <c r="A66" s="234">
        <v>101639</v>
      </c>
      <c r="B66" s="255">
        <v>2014</v>
      </c>
      <c r="C66" s="234" t="s">
        <v>120</v>
      </c>
      <c r="D66" s="256">
        <v>7.96</v>
      </c>
      <c r="E66" s="236">
        <v>446</v>
      </c>
      <c r="F66" s="246"/>
      <c r="G66" s="246"/>
      <c r="H66" s="246"/>
      <c r="I66" s="246"/>
      <c r="J66" s="246"/>
      <c r="K66" s="246"/>
      <c r="L66" s="246"/>
      <c r="M66" s="246"/>
      <c r="N66" s="246">
        <v>46</v>
      </c>
      <c r="O66" s="246">
        <v>0</v>
      </c>
      <c r="P66" s="246">
        <v>0</v>
      </c>
      <c r="Q66" s="246">
        <v>0</v>
      </c>
      <c r="R66" s="238">
        <f>SUM(F66:Q66)</f>
        <v>46</v>
      </c>
      <c r="S66" s="239">
        <f>IFERROR((AVERAGE(F66:Q66)),0)</f>
        <v>11.5</v>
      </c>
      <c r="T66" s="240">
        <f>IFERROR((U66/S66),0)</f>
        <v>34.782608695652172</v>
      </c>
      <c r="U66" s="261">
        <f>SUM(E66-R66)</f>
        <v>400</v>
      </c>
      <c r="V66" s="255">
        <v>2014</v>
      </c>
      <c r="W66" s="234" t="s">
        <v>120</v>
      </c>
    </row>
    <row r="67" spans="1:23" x14ac:dyDescent="0.2">
      <c r="A67" s="234">
        <v>100463</v>
      </c>
      <c r="B67" s="255">
        <v>2014</v>
      </c>
      <c r="C67" s="234" t="s">
        <v>132</v>
      </c>
      <c r="D67" s="256">
        <v>2.0699999999999998</v>
      </c>
      <c r="E67" s="236">
        <v>116</v>
      </c>
      <c r="F67" s="246"/>
      <c r="G67" s="246"/>
      <c r="H67" s="246"/>
      <c r="I67" s="246"/>
      <c r="J67" s="246"/>
      <c r="K67" s="246">
        <v>4</v>
      </c>
      <c r="L67" s="246"/>
      <c r="M67" s="246"/>
      <c r="N67" s="246">
        <v>47</v>
      </c>
      <c r="O67" s="246">
        <v>0</v>
      </c>
      <c r="P67" s="246">
        <v>0</v>
      </c>
      <c r="Q67" s="246">
        <v>0</v>
      </c>
      <c r="R67" s="238">
        <f>SUM(F67:Q67)</f>
        <v>51</v>
      </c>
      <c r="S67" s="239">
        <f>IFERROR((AVERAGE(F67:Q67)),0)</f>
        <v>10.199999999999999</v>
      </c>
      <c r="T67" s="240">
        <f>IFERROR((U67/S67),0)</f>
        <v>6.3725490196078436</v>
      </c>
      <c r="U67" s="261">
        <f>SUM(E67-R67)</f>
        <v>65</v>
      </c>
      <c r="V67" s="255">
        <v>2014</v>
      </c>
      <c r="W67" s="234" t="s">
        <v>132</v>
      </c>
    </row>
    <row r="68" spans="1:23" ht="14.25" customHeight="1" x14ac:dyDescent="0.2">
      <c r="A68" s="226"/>
      <c r="B68" s="226"/>
      <c r="C68" s="226"/>
      <c r="D68" s="226"/>
      <c r="E68" s="226"/>
      <c r="F68" s="226"/>
      <c r="G68" s="226"/>
      <c r="H68" s="226"/>
      <c r="I68" s="226"/>
      <c r="J68" s="226"/>
      <c r="K68" s="226"/>
      <c r="L68" s="226"/>
      <c r="M68" s="226"/>
      <c r="N68" s="226"/>
      <c r="O68" s="243"/>
      <c r="P68" s="243"/>
      <c r="Q68" s="226"/>
      <c r="R68" s="226"/>
      <c r="S68" s="226"/>
      <c r="T68" s="226"/>
      <c r="U68" s="226"/>
      <c r="V68" s="226"/>
      <c r="W68" s="226"/>
    </row>
    <row r="69" spans="1:23" x14ac:dyDescent="0.2">
      <c r="A69" s="234">
        <v>97509</v>
      </c>
      <c r="B69" s="255">
        <v>2015</v>
      </c>
      <c r="C69" s="234" t="s">
        <v>107</v>
      </c>
      <c r="D69" s="256">
        <v>6.58</v>
      </c>
      <c r="E69" s="236">
        <v>369</v>
      </c>
      <c r="F69" s="246"/>
      <c r="G69" s="246"/>
      <c r="H69" s="246"/>
      <c r="I69" s="246"/>
      <c r="J69" s="246">
        <v>1</v>
      </c>
      <c r="K69" s="246">
        <v>7</v>
      </c>
      <c r="L69" s="246"/>
      <c r="M69" s="246"/>
      <c r="N69" s="246">
        <v>30</v>
      </c>
      <c r="O69" s="246">
        <v>0</v>
      </c>
      <c r="P69" s="246">
        <v>26</v>
      </c>
      <c r="Q69" s="246">
        <v>18</v>
      </c>
      <c r="R69" s="238">
        <f t="shared" ref="R69:R76" si="15">SUM(F69:Q69)</f>
        <v>82</v>
      </c>
      <c r="S69" s="239">
        <f t="shared" ref="S69:S76" si="16">IFERROR((AVERAGE(F69:Q69)),0)</f>
        <v>13.666666666666666</v>
      </c>
      <c r="T69" s="240">
        <f t="shared" ref="T69:T79" si="17">IFERROR((U69/S69),0)</f>
        <v>21</v>
      </c>
      <c r="U69" s="261">
        <f t="shared" ref="U69:U76" si="18">SUM(E69-R69)</f>
        <v>287</v>
      </c>
      <c r="V69" s="255">
        <v>2015</v>
      </c>
      <c r="W69" s="234" t="s">
        <v>107</v>
      </c>
    </row>
    <row r="70" spans="1:23" x14ac:dyDescent="0.2">
      <c r="A70" s="234">
        <v>101636</v>
      </c>
      <c r="B70" s="248">
        <v>2015</v>
      </c>
      <c r="C70" s="234" t="s">
        <v>31</v>
      </c>
      <c r="D70" s="256">
        <v>4</v>
      </c>
      <c r="E70" s="236">
        <v>225</v>
      </c>
      <c r="F70" s="246"/>
      <c r="G70" s="246"/>
      <c r="H70" s="246"/>
      <c r="I70" s="246"/>
      <c r="J70" s="246"/>
      <c r="K70" s="246"/>
      <c r="L70" s="246"/>
      <c r="M70" s="246"/>
      <c r="N70" s="246">
        <v>52</v>
      </c>
      <c r="O70" s="246">
        <v>0</v>
      </c>
      <c r="P70" s="246">
        <v>0</v>
      </c>
      <c r="Q70" s="246">
        <v>0</v>
      </c>
      <c r="R70" s="238">
        <f t="shared" si="15"/>
        <v>52</v>
      </c>
      <c r="S70" s="239">
        <f t="shared" si="16"/>
        <v>13</v>
      </c>
      <c r="T70" s="240">
        <f t="shared" si="17"/>
        <v>13.307692307692308</v>
      </c>
      <c r="U70" s="261">
        <f t="shared" si="18"/>
        <v>173</v>
      </c>
      <c r="V70" s="248">
        <v>2015</v>
      </c>
      <c r="W70" s="234" t="s">
        <v>31</v>
      </c>
    </row>
    <row r="71" spans="1:23" x14ac:dyDescent="0.2">
      <c r="A71" s="234">
        <v>101819</v>
      </c>
      <c r="B71" s="295" t="s">
        <v>133</v>
      </c>
      <c r="C71" s="234" t="s">
        <v>134</v>
      </c>
      <c r="D71" s="235">
        <v>2.35</v>
      </c>
      <c r="E71" s="236">
        <v>132</v>
      </c>
      <c r="F71" s="246"/>
      <c r="G71" s="246"/>
      <c r="H71" s="246"/>
      <c r="I71" s="246"/>
      <c r="J71" s="246"/>
      <c r="K71" s="246">
        <v>7</v>
      </c>
      <c r="L71" s="246"/>
      <c r="M71" s="246"/>
      <c r="N71" s="246">
        <v>28</v>
      </c>
      <c r="O71" s="246">
        <v>0</v>
      </c>
      <c r="P71" s="246">
        <v>2</v>
      </c>
      <c r="Q71" s="246">
        <v>13</v>
      </c>
      <c r="R71" s="238">
        <f t="shared" si="15"/>
        <v>50</v>
      </c>
      <c r="S71" s="239">
        <f>IFERROR((AVERAGE(F71:Q71)),0)</f>
        <v>10</v>
      </c>
      <c r="T71" s="240">
        <f t="shared" si="17"/>
        <v>8.1999999999999993</v>
      </c>
      <c r="U71" s="261">
        <f>SUM(E71-R71)</f>
        <v>82</v>
      </c>
      <c r="V71" s="248" t="s">
        <v>35</v>
      </c>
      <c r="W71" s="234" t="s">
        <v>134</v>
      </c>
    </row>
    <row r="72" spans="1:23" x14ac:dyDescent="0.2">
      <c r="A72" s="234">
        <v>101638</v>
      </c>
      <c r="B72" s="248">
        <v>2015</v>
      </c>
      <c r="C72" s="234" t="s">
        <v>26</v>
      </c>
      <c r="D72" s="235"/>
      <c r="E72" s="236">
        <v>350</v>
      </c>
      <c r="F72" s="246"/>
      <c r="G72" s="246"/>
      <c r="H72" s="246"/>
      <c r="I72" s="246"/>
      <c r="J72" s="246"/>
      <c r="K72" s="246"/>
      <c r="L72" s="246"/>
      <c r="M72" s="246"/>
      <c r="N72" s="246">
        <v>51</v>
      </c>
      <c r="O72" s="246">
        <v>0</v>
      </c>
      <c r="P72" s="246">
        <v>0</v>
      </c>
      <c r="Q72" s="246">
        <v>0</v>
      </c>
      <c r="R72" s="238">
        <f t="shared" si="15"/>
        <v>51</v>
      </c>
      <c r="S72" s="239">
        <f>IFERROR((AVERAGE(F72:Q72)),0)</f>
        <v>12.75</v>
      </c>
      <c r="T72" s="240">
        <f>IFERROR((U72/S72),0)</f>
        <v>23.450980392156861</v>
      </c>
      <c r="U72" s="261">
        <f>SUM(E72-R72)</f>
        <v>299</v>
      </c>
      <c r="V72" s="248"/>
      <c r="W72" s="234"/>
    </row>
    <row r="73" spans="1:23" x14ac:dyDescent="0.2">
      <c r="A73" s="234">
        <v>100464</v>
      </c>
      <c r="B73" s="248">
        <v>2015</v>
      </c>
      <c r="C73" s="234" t="s">
        <v>110</v>
      </c>
      <c r="D73" s="235">
        <v>6.5</v>
      </c>
      <c r="E73" s="236">
        <v>364</v>
      </c>
      <c r="F73" s="246"/>
      <c r="G73" s="246"/>
      <c r="H73" s="246"/>
      <c r="I73" s="246"/>
      <c r="J73" s="246"/>
      <c r="K73" s="246"/>
      <c r="L73" s="246"/>
      <c r="M73" s="246"/>
      <c r="N73" s="246">
        <v>35</v>
      </c>
      <c r="O73" s="246">
        <v>0</v>
      </c>
      <c r="P73" s="246">
        <v>44</v>
      </c>
      <c r="Q73" s="246">
        <v>24</v>
      </c>
      <c r="R73" s="238">
        <f t="shared" si="15"/>
        <v>103</v>
      </c>
      <c r="S73" s="239">
        <f t="shared" si="16"/>
        <v>25.75</v>
      </c>
      <c r="T73" s="240">
        <f t="shared" si="17"/>
        <v>10.135922330097088</v>
      </c>
      <c r="U73" s="261">
        <f t="shared" si="18"/>
        <v>261</v>
      </c>
      <c r="V73" s="248">
        <v>2015</v>
      </c>
      <c r="W73" s="234" t="s">
        <v>110</v>
      </c>
    </row>
    <row r="74" spans="1:23" x14ac:dyDescent="0.2">
      <c r="A74" s="234">
        <v>100465</v>
      </c>
      <c r="B74" s="248">
        <v>2015</v>
      </c>
      <c r="C74" s="234" t="s">
        <v>135</v>
      </c>
      <c r="D74" s="235"/>
      <c r="E74" s="236">
        <v>189</v>
      </c>
      <c r="F74" s="246"/>
      <c r="G74" s="246"/>
      <c r="H74" s="246"/>
      <c r="I74" s="246"/>
      <c r="J74" s="246"/>
      <c r="K74" s="246"/>
      <c r="L74" s="246"/>
      <c r="M74" s="246"/>
      <c r="N74" s="246"/>
      <c r="O74" s="246">
        <v>0</v>
      </c>
      <c r="P74" s="246">
        <v>5</v>
      </c>
      <c r="Q74" s="246">
        <v>1</v>
      </c>
      <c r="R74" s="238">
        <f t="shared" si="15"/>
        <v>6</v>
      </c>
      <c r="S74" s="239">
        <f>IFERROR((AVERAGE(F74:Q74)),0)</f>
        <v>2</v>
      </c>
      <c r="T74" s="240"/>
      <c r="U74" s="261">
        <f t="shared" si="18"/>
        <v>183</v>
      </c>
      <c r="V74" s="248">
        <v>2015</v>
      </c>
      <c r="W74" s="234" t="s">
        <v>135</v>
      </c>
    </row>
    <row r="75" spans="1:23" x14ac:dyDescent="0.2">
      <c r="A75" s="234">
        <v>100463</v>
      </c>
      <c r="B75" s="248">
        <v>2015</v>
      </c>
      <c r="C75" s="234" t="s">
        <v>136</v>
      </c>
      <c r="D75" s="235"/>
      <c r="E75" s="236">
        <v>153</v>
      </c>
      <c r="F75" s="246"/>
      <c r="G75" s="246"/>
      <c r="H75" s="246"/>
      <c r="I75" s="246"/>
      <c r="J75" s="246"/>
      <c r="K75" s="246"/>
      <c r="L75" s="246"/>
      <c r="M75" s="246"/>
      <c r="N75" s="246"/>
      <c r="O75" s="246">
        <v>0</v>
      </c>
      <c r="P75" s="246">
        <v>0</v>
      </c>
      <c r="Q75" s="246">
        <v>0</v>
      </c>
      <c r="R75" s="238">
        <f t="shared" si="15"/>
        <v>0</v>
      </c>
      <c r="S75" s="239">
        <f>IFERROR((AVERAGE(F75:Q75)),0)</f>
        <v>0</v>
      </c>
      <c r="T75" s="240"/>
      <c r="U75" s="261">
        <f t="shared" si="18"/>
        <v>153</v>
      </c>
      <c r="V75" s="248">
        <v>2015</v>
      </c>
      <c r="W75" s="234" t="s">
        <v>136</v>
      </c>
    </row>
    <row r="76" spans="1:23" x14ac:dyDescent="0.2">
      <c r="A76" s="234">
        <v>97510</v>
      </c>
      <c r="B76" s="255">
        <v>2015</v>
      </c>
      <c r="C76" s="234" t="s">
        <v>23</v>
      </c>
      <c r="D76" s="256">
        <v>0</v>
      </c>
      <c r="E76" s="236">
        <v>0</v>
      </c>
      <c r="F76" s="246"/>
      <c r="G76" s="246"/>
      <c r="H76" s="246"/>
      <c r="I76" s="246"/>
      <c r="J76" s="246"/>
      <c r="K76" s="246"/>
      <c r="L76" s="246"/>
      <c r="M76" s="246"/>
      <c r="N76" s="246">
        <v>0</v>
      </c>
      <c r="O76" s="246">
        <v>0</v>
      </c>
      <c r="P76" s="246">
        <v>0</v>
      </c>
      <c r="Q76" s="246">
        <v>0</v>
      </c>
      <c r="R76" s="238">
        <f t="shared" si="15"/>
        <v>0</v>
      </c>
      <c r="S76" s="239">
        <f t="shared" si="16"/>
        <v>0</v>
      </c>
      <c r="T76" s="240">
        <f t="shared" si="17"/>
        <v>0</v>
      </c>
      <c r="U76" s="261">
        <f t="shared" si="18"/>
        <v>0</v>
      </c>
      <c r="V76" s="255">
        <v>2015</v>
      </c>
      <c r="W76" s="234" t="s">
        <v>23</v>
      </c>
    </row>
    <row r="77" spans="1:23" x14ac:dyDescent="0.2">
      <c r="A77" s="226"/>
      <c r="B77" s="269"/>
      <c r="C77" s="269"/>
      <c r="D77" s="270"/>
      <c r="E77" s="272"/>
      <c r="F77" s="272"/>
      <c r="G77" s="272"/>
      <c r="H77" s="272"/>
      <c r="I77" s="272"/>
      <c r="J77" s="272"/>
      <c r="K77" s="272"/>
      <c r="L77" s="272"/>
      <c r="M77" s="272"/>
      <c r="N77" s="272"/>
      <c r="O77" s="272"/>
      <c r="P77" s="272"/>
      <c r="Q77" s="272"/>
      <c r="R77" s="269"/>
      <c r="S77" s="270"/>
      <c r="T77" s="273"/>
      <c r="U77" s="274"/>
      <c r="V77" s="269"/>
      <c r="W77" s="269"/>
    </row>
    <row r="78" spans="1:23" x14ac:dyDescent="0.2">
      <c r="A78" s="234"/>
      <c r="B78" s="234">
        <v>2014</v>
      </c>
      <c r="C78" s="234"/>
      <c r="D78" s="262"/>
      <c r="E78" s="267">
        <f t="shared" ref="E78:R78" si="19">SUM(E63:E67)</f>
        <v>1413</v>
      </c>
      <c r="F78" s="267">
        <f t="shared" si="19"/>
        <v>0</v>
      </c>
      <c r="G78" s="267">
        <f t="shared" si="19"/>
        <v>0</v>
      </c>
      <c r="H78" s="267">
        <f t="shared" si="19"/>
        <v>0</v>
      </c>
      <c r="I78" s="267">
        <f t="shared" si="19"/>
        <v>0</v>
      </c>
      <c r="J78" s="267">
        <f t="shared" si="19"/>
        <v>1</v>
      </c>
      <c r="K78" s="267">
        <f t="shared" si="19"/>
        <v>22</v>
      </c>
      <c r="L78" s="267">
        <f t="shared" si="19"/>
        <v>0</v>
      </c>
      <c r="M78" s="267">
        <f t="shared" si="19"/>
        <v>0</v>
      </c>
      <c r="N78" s="267">
        <f t="shared" si="19"/>
        <v>187</v>
      </c>
      <c r="O78" s="267">
        <f t="shared" si="19"/>
        <v>0</v>
      </c>
      <c r="P78" s="267">
        <f t="shared" si="19"/>
        <v>0</v>
      </c>
      <c r="Q78" s="267">
        <f t="shared" si="19"/>
        <v>0</v>
      </c>
      <c r="R78" s="238">
        <f t="shared" si="19"/>
        <v>210</v>
      </c>
      <c r="S78" s="239">
        <f>IFERROR((AVERAGE(F78:Q78)),0)</f>
        <v>17.5</v>
      </c>
      <c r="T78" s="240">
        <f t="shared" si="17"/>
        <v>68.742857142857147</v>
      </c>
      <c r="U78" s="261">
        <f>SUM(E78-R78)</f>
        <v>1203</v>
      </c>
      <c r="V78" s="234">
        <v>2014</v>
      </c>
      <c r="W78" s="234"/>
    </row>
    <row r="79" spans="1:23" x14ac:dyDescent="0.2">
      <c r="A79" s="234"/>
      <c r="B79" s="234">
        <v>2015</v>
      </c>
      <c r="C79" s="234"/>
      <c r="D79" s="262"/>
      <c r="E79" s="267">
        <f t="shared" ref="E79:R79" si="20">SUM(E69:E76)</f>
        <v>1782</v>
      </c>
      <c r="F79" s="267">
        <f t="shared" si="20"/>
        <v>0</v>
      </c>
      <c r="G79" s="267">
        <f t="shared" si="20"/>
        <v>0</v>
      </c>
      <c r="H79" s="267">
        <f t="shared" si="20"/>
        <v>0</v>
      </c>
      <c r="I79" s="267">
        <f t="shared" si="20"/>
        <v>0</v>
      </c>
      <c r="J79" s="267">
        <f t="shared" si="20"/>
        <v>1</v>
      </c>
      <c r="K79" s="267">
        <f t="shared" si="20"/>
        <v>14</v>
      </c>
      <c r="L79" s="267">
        <f t="shared" si="20"/>
        <v>0</v>
      </c>
      <c r="M79" s="267">
        <f t="shared" si="20"/>
        <v>0</v>
      </c>
      <c r="N79" s="267">
        <f t="shared" si="20"/>
        <v>196</v>
      </c>
      <c r="O79" s="267">
        <f t="shared" si="20"/>
        <v>0</v>
      </c>
      <c r="P79" s="267">
        <f t="shared" si="20"/>
        <v>77</v>
      </c>
      <c r="Q79" s="267">
        <f t="shared" si="20"/>
        <v>56</v>
      </c>
      <c r="R79" s="238">
        <f t="shared" si="20"/>
        <v>344</v>
      </c>
      <c r="S79" s="239">
        <f>IFERROR((AVERAGE(F79:Q79)),0)</f>
        <v>28.666666666666668</v>
      </c>
      <c r="T79" s="240">
        <f t="shared" si="17"/>
        <v>50.162790697674417</v>
      </c>
      <c r="U79" s="261">
        <f>SUM(E79-R79)</f>
        <v>1438</v>
      </c>
      <c r="V79" s="234">
        <v>2015</v>
      </c>
      <c r="W79" s="234"/>
    </row>
    <row r="80" spans="1:23" x14ac:dyDescent="0.2">
      <c r="B80" s="266" t="s">
        <v>59</v>
      </c>
      <c r="C80" s="234"/>
      <c r="D80" s="234"/>
      <c r="E80" s="279">
        <f>SUM(E78:E79)</f>
        <v>3195</v>
      </c>
      <c r="F80" s="279">
        <f>SUM(F78:F79)</f>
        <v>0</v>
      </c>
      <c r="G80" s="279">
        <f t="shared" ref="G80:Q80" si="21">SUM(G78:G79)</f>
        <v>0</v>
      </c>
      <c r="H80" s="279">
        <f t="shared" si="21"/>
        <v>0</v>
      </c>
      <c r="I80" s="279">
        <f t="shared" si="21"/>
        <v>0</v>
      </c>
      <c r="J80" s="279">
        <f t="shared" si="21"/>
        <v>2</v>
      </c>
      <c r="K80" s="279">
        <f t="shared" si="21"/>
        <v>36</v>
      </c>
      <c r="L80" s="279">
        <f t="shared" si="21"/>
        <v>0</v>
      </c>
      <c r="M80" s="279">
        <f t="shared" si="21"/>
        <v>0</v>
      </c>
      <c r="N80" s="279">
        <f t="shared" si="21"/>
        <v>383</v>
      </c>
      <c r="O80" s="279">
        <f t="shared" si="21"/>
        <v>0</v>
      </c>
      <c r="P80" s="279">
        <f t="shared" si="21"/>
        <v>77</v>
      </c>
      <c r="Q80" s="279">
        <f t="shared" si="21"/>
        <v>56</v>
      </c>
      <c r="R80" s="234">
        <f>SUM(R78:R79)</f>
        <v>554</v>
      </c>
      <c r="S80" s="234">
        <f>SUM(S78:S79)</f>
        <v>46.166666666666671</v>
      </c>
      <c r="T80" s="234">
        <f>SUM(T78:T79)</f>
        <v>118.90564784053157</v>
      </c>
      <c r="U80" s="280">
        <f>SUM(U78:U79)</f>
        <v>2641</v>
      </c>
      <c r="V80" s="266" t="s">
        <v>59</v>
      </c>
      <c r="W80" s="234"/>
    </row>
    <row r="81" spans="1:23" x14ac:dyDescent="0.2">
      <c r="A81" s="226"/>
      <c r="B81" s="269"/>
      <c r="C81" s="269"/>
      <c r="D81" s="270"/>
      <c r="E81" s="272"/>
      <c r="F81" s="272"/>
      <c r="G81" s="272"/>
      <c r="H81" s="272"/>
      <c r="I81" s="272"/>
      <c r="J81" s="272"/>
      <c r="K81" s="272"/>
      <c r="L81" s="272"/>
      <c r="M81" s="272"/>
      <c r="N81" s="272"/>
      <c r="O81" s="272"/>
      <c r="P81" s="272"/>
      <c r="Q81" s="272"/>
      <c r="R81" s="269"/>
      <c r="S81" s="270"/>
      <c r="T81" s="273"/>
      <c r="U81" s="274"/>
      <c r="V81" s="269"/>
      <c r="W81" s="269"/>
    </row>
    <row r="83" spans="1:23" x14ac:dyDescent="0.2">
      <c r="A83" s="281"/>
      <c r="B83" s="282"/>
      <c r="C83" s="282"/>
      <c r="D83" s="283"/>
      <c r="E83" s="271"/>
      <c r="F83" s="271"/>
      <c r="G83" s="271"/>
      <c r="H83" s="271"/>
      <c r="I83" s="271"/>
      <c r="J83" s="271"/>
      <c r="K83" s="271"/>
      <c r="L83" s="271"/>
      <c r="M83" s="271"/>
      <c r="N83" s="271"/>
      <c r="O83" s="271"/>
      <c r="P83" s="271"/>
      <c r="Q83" s="271"/>
      <c r="R83" s="282"/>
      <c r="S83" s="283"/>
      <c r="T83" s="284"/>
      <c r="U83" s="282"/>
      <c r="V83" s="282"/>
      <c r="W83" s="282"/>
    </row>
    <row r="84" spans="1:23" ht="15.75" x14ac:dyDescent="0.25">
      <c r="B84" s="278" t="s">
        <v>137</v>
      </c>
      <c r="D84" s="275"/>
      <c r="E84" s="221"/>
      <c r="F84" s="221"/>
      <c r="G84" s="221"/>
      <c r="H84" s="221"/>
      <c r="I84" s="221"/>
      <c r="J84" s="221"/>
      <c r="K84" s="221"/>
      <c r="L84" s="221"/>
      <c r="M84" s="221"/>
      <c r="N84" s="221"/>
      <c r="O84" s="221"/>
      <c r="P84" s="221"/>
      <c r="Q84" s="221"/>
      <c r="S84" s="275"/>
      <c r="T84" s="277"/>
      <c r="V84" s="278" t="s">
        <v>137</v>
      </c>
    </row>
    <row r="85" spans="1:23" x14ac:dyDescent="0.2">
      <c r="A85" s="234"/>
      <c r="B85" s="233">
        <v>2012</v>
      </c>
      <c r="C85" s="234"/>
      <c r="D85" s="262"/>
      <c r="E85" s="263">
        <f t="shared" ref="E85:R85" si="22">E53</f>
        <v>304</v>
      </c>
      <c r="F85" s="263">
        <f t="shared" si="22"/>
        <v>45</v>
      </c>
      <c r="G85" s="263">
        <f t="shared" si="22"/>
        <v>28</v>
      </c>
      <c r="H85" s="263">
        <f t="shared" si="22"/>
        <v>21</v>
      </c>
      <c r="I85" s="263">
        <f t="shared" si="22"/>
        <v>43</v>
      </c>
      <c r="J85" s="263">
        <f t="shared" si="22"/>
        <v>43</v>
      </c>
      <c r="K85" s="263">
        <f t="shared" si="22"/>
        <v>16</v>
      </c>
      <c r="L85" s="263">
        <f t="shared" si="22"/>
        <v>15</v>
      </c>
      <c r="M85" s="263">
        <f t="shared" si="22"/>
        <v>15</v>
      </c>
      <c r="N85" s="263">
        <f t="shared" si="22"/>
        <v>23</v>
      </c>
      <c r="O85" s="263">
        <f t="shared" si="22"/>
        <v>28</v>
      </c>
      <c r="P85" s="263">
        <f t="shared" si="22"/>
        <v>22</v>
      </c>
      <c r="Q85" s="263">
        <f t="shared" si="22"/>
        <v>0</v>
      </c>
      <c r="R85" s="238">
        <f t="shared" si="22"/>
        <v>299</v>
      </c>
      <c r="S85" s="239">
        <f>AVERAGE(F85:Q85)</f>
        <v>24.916666666666668</v>
      </c>
      <c r="T85" s="240">
        <f>U85/S85</f>
        <v>0.20066889632107021</v>
      </c>
      <c r="U85" s="261">
        <f>SUM(E85-R85)</f>
        <v>5</v>
      </c>
      <c r="V85" s="233">
        <v>2012</v>
      </c>
      <c r="W85" s="234"/>
    </row>
    <row r="86" spans="1:23" x14ac:dyDescent="0.2">
      <c r="A86" s="234"/>
      <c r="B86" s="233">
        <v>2013</v>
      </c>
      <c r="C86" s="234"/>
      <c r="D86" s="262"/>
      <c r="E86" s="263">
        <f t="shared" ref="E86:R86" si="23">E54</f>
        <v>2192</v>
      </c>
      <c r="F86" s="263">
        <f t="shared" si="23"/>
        <v>232</v>
      </c>
      <c r="G86" s="263">
        <f t="shared" si="23"/>
        <v>169</v>
      </c>
      <c r="H86" s="263">
        <f t="shared" si="23"/>
        <v>151</v>
      </c>
      <c r="I86" s="263">
        <f t="shared" si="23"/>
        <v>241</v>
      </c>
      <c r="J86" s="263">
        <f t="shared" si="23"/>
        <v>172</v>
      </c>
      <c r="K86" s="263">
        <f t="shared" si="23"/>
        <v>221</v>
      </c>
      <c r="L86" s="263">
        <f t="shared" si="23"/>
        <v>215</v>
      </c>
      <c r="M86" s="263">
        <f t="shared" si="23"/>
        <v>162</v>
      </c>
      <c r="N86" s="263">
        <f t="shared" si="23"/>
        <v>169</v>
      </c>
      <c r="O86" s="263">
        <f t="shared" si="23"/>
        <v>97</v>
      </c>
      <c r="P86" s="263">
        <f t="shared" si="23"/>
        <v>47</v>
      </c>
      <c r="Q86" s="263">
        <f t="shared" si="23"/>
        <v>18</v>
      </c>
      <c r="R86" s="238">
        <f t="shared" si="23"/>
        <v>1894</v>
      </c>
      <c r="S86" s="264">
        <f>AVERAGE(F86:Q86)</f>
        <v>157.83333333333334</v>
      </c>
      <c r="T86" s="265">
        <f>U86/S86</f>
        <v>1.8880675818373811</v>
      </c>
      <c r="U86" s="261">
        <f>SUM(E86-R86)</f>
        <v>298</v>
      </c>
      <c r="V86" s="233">
        <v>2013</v>
      </c>
      <c r="W86" s="234"/>
    </row>
    <row r="87" spans="1:23" x14ac:dyDescent="0.2">
      <c r="A87" s="234"/>
      <c r="B87" s="233">
        <v>2014</v>
      </c>
      <c r="C87" s="234"/>
      <c r="D87" s="262"/>
      <c r="E87" s="263">
        <f t="shared" ref="E87:Q87" si="24">E78+E55</f>
        <v>5656</v>
      </c>
      <c r="F87" s="263">
        <f t="shared" si="24"/>
        <v>151</v>
      </c>
      <c r="G87" s="263">
        <f t="shared" si="24"/>
        <v>90</v>
      </c>
      <c r="H87" s="263">
        <f t="shared" si="24"/>
        <v>82</v>
      </c>
      <c r="I87" s="263">
        <f t="shared" si="24"/>
        <v>100</v>
      </c>
      <c r="J87" s="263">
        <f t="shared" si="24"/>
        <v>86</v>
      </c>
      <c r="K87" s="263">
        <f t="shared" si="24"/>
        <v>116</v>
      </c>
      <c r="L87" s="263">
        <f t="shared" si="24"/>
        <v>203</v>
      </c>
      <c r="M87" s="263">
        <f t="shared" si="24"/>
        <v>302</v>
      </c>
      <c r="N87" s="263">
        <f t="shared" si="24"/>
        <v>382</v>
      </c>
      <c r="O87" s="263">
        <f t="shared" si="24"/>
        <v>218</v>
      </c>
      <c r="P87" s="263">
        <f t="shared" si="24"/>
        <v>313</v>
      </c>
      <c r="Q87" s="263">
        <f t="shared" si="24"/>
        <v>331</v>
      </c>
      <c r="R87" s="238">
        <f>R55+R78</f>
        <v>2374</v>
      </c>
      <c r="S87" s="264">
        <f>AVERAGE(F87:Q87)</f>
        <v>197.83333333333334</v>
      </c>
      <c r="T87" s="265">
        <f>U87/S87</f>
        <v>16.589721988205561</v>
      </c>
      <c r="U87" s="261">
        <f>SUM(E87-R87)</f>
        <v>3282</v>
      </c>
      <c r="V87" s="233">
        <v>2014</v>
      </c>
      <c r="W87" s="234"/>
    </row>
    <row r="88" spans="1:23" x14ac:dyDescent="0.2">
      <c r="A88" s="234"/>
      <c r="B88" s="233">
        <v>2015</v>
      </c>
      <c r="C88" s="234"/>
      <c r="D88" s="262"/>
      <c r="E88" s="263">
        <f t="shared" ref="E88:Q88" si="25">E79+E56</f>
        <v>6200</v>
      </c>
      <c r="F88" s="263">
        <f t="shared" si="25"/>
        <v>2</v>
      </c>
      <c r="G88" s="263">
        <f t="shared" si="25"/>
        <v>47</v>
      </c>
      <c r="H88" s="263">
        <f t="shared" si="25"/>
        <v>56</v>
      </c>
      <c r="I88" s="263">
        <f t="shared" si="25"/>
        <v>99</v>
      </c>
      <c r="J88" s="263">
        <f t="shared" si="25"/>
        <v>91</v>
      </c>
      <c r="K88" s="263">
        <f t="shared" si="25"/>
        <v>79</v>
      </c>
      <c r="L88" s="263">
        <f t="shared" si="25"/>
        <v>85</v>
      </c>
      <c r="M88" s="263">
        <f t="shared" si="25"/>
        <v>197</v>
      </c>
      <c r="N88" s="263">
        <f t="shared" si="25"/>
        <v>309</v>
      </c>
      <c r="O88" s="263">
        <f t="shared" si="25"/>
        <v>105</v>
      </c>
      <c r="P88" s="263">
        <f t="shared" si="25"/>
        <v>200</v>
      </c>
      <c r="Q88" s="263">
        <f t="shared" si="25"/>
        <v>221</v>
      </c>
      <c r="R88" s="238">
        <f>R56+R79</f>
        <v>1956</v>
      </c>
      <c r="S88" s="264">
        <f>AVERAGE(F88:Q88)</f>
        <v>124.25</v>
      </c>
      <c r="T88" s="265">
        <f>U88/S88</f>
        <v>34.156941649899395</v>
      </c>
      <c r="U88" s="261">
        <f>SUM(E88-R88)</f>
        <v>4244</v>
      </c>
      <c r="V88" s="233">
        <v>2015</v>
      </c>
      <c r="W88" s="234"/>
    </row>
    <row r="89" spans="1:23" x14ac:dyDescent="0.2">
      <c r="A89" s="234"/>
      <c r="B89" s="266" t="s">
        <v>59</v>
      </c>
      <c r="C89" s="234"/>
      <c r="D89" s="262"/>
      <c r="E89" s="267">
        <f>SUM(E85:E88)</f>
        <v>14352</v>
      </c>
      <c r="F89" s="267">
        <f t="shared" ref="F89:Q89" si="26">SUM(F85:F88)</f>
        <v>430</v>
      </c>
      <c r="G89" s="267">
        <f t="shared" si="26"/>
        <v>334</v>
      </c>
      <c r="H89" s="267">
        <f t="shared" si="26"/>
        <v>310</v>
      </c>
      <c r="I89" s="267">
        <f t="shared" si="26"/>
        <v>483</v>
      </c>
      <c r="J89" s="267">
        <f t="shared" si="26"/>
        <v>392</v>
      </c>
      <c r="K89" s="267">
        <f t="shared" si="26"/>
        <v>432</v>
      </c>
      <c r="L89" s="267">
        <f t="shared" si="26"/>
        <v>518</v>
      </c>
      <c r="M89" s="267">
        <f t="shared" si="26"/>
        <v>676</v>
      </c>
      <c r="N89" s="267">
        <f t="shared" si="26"/>
        <v>883</v>
      </c>
      <c r="O89" s="267">
        <f t="shared" si="26"/>
        <v>448</v>
      </c>
      <c r="P89" s="267">
        <f t="shared" si="26"/>
        <v>582</v>
      </c>
      <c r="Q89" s="267">
        <f t="shared" si="26"/>
        <v>570</v>
      </c>
      <c r="R89" s="238">
        <f>SUM(R85:R88)</f>
        <v>6523</v>
      </c>
      <c r="S89" s="268">
        <f>SUM(S85:S88)</f>
        <v>504.83333333333337</v>
      </c>
      <c r="T89" s="240">
        <f>U89/S89</f>
        <v>15.508088478045558</v>
      </c>
      <c r="U89" s="261">
        <f>SUM(E89-R89)</f>
        <v>7829</v>
      </c>
      <c r="V89" s="266" t="s">
        <v>59</v>
      </c>
      <c r="W89" s="234"/>
    </row>
    <row r="90" spans="1:23" x14ac:dyDescent="0.2">
      <c r="A90" s="226"/>
      <c r="B90" s="269"/>
      <c r="C90" s="269"/>
      <c r="D90" s="270"/>
      <c r="E90" s="272"/>
      <c r="F90" s="272"/>
      <c r="G90" s="272"/>
      <c r="H90" s="272"/>
      <c r="I90" s="272"/>
      <c r="J90" s="272"/>
      <c r="K90" s="272"/>
      <c r="L90" s="272"/>
      <c r="M90" s="272"/>
      <c r="N90" s="272"/>
      <c r="O90" s="272"/>
      <c r="P90" s="272"/>
      <c r="Q90" s="272"/>
      <c r="R90" s="269"/>
      <c r="S90" s="270"/>
      <c r="T90" s="273"/>
      <c r="U90" s="274"/>
      <c r="V90" s="269"/>
      <c r="W90" s="269"/>
    </row>
    <row r="91" spans="1:23" ht="15.75" thickBot="1" x14ac:dyDescent="0.25">
      <c r="E91" s="221"/>
      <c r="F91" s="221"/>
      <c r="G91" s="221"/>
      <c r="H91" s="221"/>
      <c r="I91" s="221"/>
      <c r="J91" s="221"/>
      <c r="K91" s="221"/>
      <c r="L91" s="221"/>
      <c r="M91" s="221"/>
      <c r="N91" s="221"/>
      <c r="O91" s="221"/>
      <c r="P91" s="221"/>
      <c r="Q91" s="221"/>
      <c r="S91" s="275"/>
      <c r="T91" s="277"/>
      <c r="U91" s="285"/>
    </row>
    <row r="92" spans="1:23" ht="48" thickBot="1" x14ac:dyDescent="0.3">
      <c r="B92" s="286" t="s">
        <v>60</v>
      </c>
      <c r="C92" s="287"/>
      <c r="D92" s="287"/>
      <c r="E92" s="127" t="s">
        <v>138</v>
      </c>
      <c r="F92" s="449" t="s">
        <v>139</v>
      </c>
      <c r="G92" s="450"/>
      <c r="H92" s="450"/>
      <c r="I92" s="450"/>
      <c r="J92" s="450"/>
      <c r="K92" s="450"/>
      <c r="L92" s="450"/>
      <c r="M92" s="450"/>
      <c r="N92" s="450"/>
      <c r="O92" s="450"/>
      <c r="P92" s="450"/>
      <c r="Q92" s="450"/>
      <c r="R92" s="119" t="s">
        <v>63</v>
      </c>
      <c r="S92" s="288"/>
      <c r="T92" s="288"/>
      <c r="V92" s="286" t="s">
        <v>60</v>
      </c>
      <c r="W92" s="287"/>
    </row>
    <row r="93" spans="1:23" ht="15.75" x14ac:dyDescent="0.25">
      <c r="B93" s="289"/>
      <c r="C93" s="289"/>
      <c r="D93" s="289"/>
      <c r="E93" s="290"/>
      <c r="F93" s="291"/>
      <c r="G93" s="291"/>
      <c r="H93" s="291"/>
      <c r="I93" s="291"/>
      <c r="J93" s="291"/>
      <c r="K93" s="291"/>
      <c r="L93" s="291"/>
      <c r="M93" s="291"/>
      <c r="N93" s="291"/>
      <c r="O93" s="291"/>
      <c r="P93" s="291"/>
      <c r="Q93" s="292"/>
      <c r="R93" s="289"/>
      <c r="U93" s="288"/>
      <c r="V93" s="289"/>
      <c r="W93" s="289"/>
    </row>
    <row r="94" spans="1:23" x14ac:dyDescent="0.2">
      <c r="B94" s="234"/>
      <c r="C94" s="234"/>
      <c r="D94" s="234"/>
      <c r="E94" s="291"/>
      <c r="F94" s="236"/>
      <c r="G94" s="236"/>
      <c r="H94" s="236"/>
      <c r="I94" s="236"/>
      <c r="J94" s="236"/>
      <c r="K94" s="236"/>
      <c r="L94" s="236"/>
      <c r="M94" s="236"/>
      <c r="N94" s="236"/>
      <c r="O94" s="236"/>
      <c r="P94" s="236"/>
      <c r="Q94" s="293"/>
      <c r="R94" s="234"/>
      <c r="V94" s="234"/>
      <c r="W94" s="234"/>
    </row>
    <row r="95" spans="1:23" x14ac:dyDescent="0.2">
      <c r="B95" s="228"/>
      <c r="C95" s="228"/>
      <c r="D95" s="228"/>
      <c r="E95" s="229"/>
      <c r="F95" s="229"/>
      <c r="G95" s="229"/>
      <c r="H95" s="229"/>
      <c r="I95" s="229"/>
      <c r="J95" s="229"/>
      <c r="K95" s="229"/>
      <c r="L95" s="229"/>
      <c r="M95" s="229"/>
      <c r="N95" s="229"/>
      <c r="O95" s="229"/>
      <c r="P95" s="229"/>
      <c r="Q95" s="294"/>
      <c r="R95" s="228"/>
      <c r="V95" s="228"/>
      <c r="W95" s="228"/>
    </row>
    <row r="96" spans="1:23" x14ac:dyDescent="0.2">
      <c r="B96" s="234"/>
      <c r="C96" s="234"/>
      <c r="D96" s="234"/>
      <c r="E96" s="236"/>
      <c r="F96" s="236"/>
      <c r="G96" s="236"/>
      <c r="H96" s="236"/>
      <c r="I96" s="236"/>
      <c r="J96" s="236"/>
      <c r="K96" s="236"/>
      <c r="L96" s="236"/>
      <c r="M96" s="236"/>
      <c r="N96" s="236"/>
      <c r="O96" s="236"/>
      <c r="P96" s="236"/>
      <c r="Q96" s="293"/>
      <c r="R96" s="234"/>
      <c r="V96" s="234"/>
      <c r="W96" s="234"/>
    </row>
    <row r="97" spans="2:23" x14ac:dyDescent="0.2">
      <c r="B97" s="234"/>
      <c r="C97" s="234"/>
      <c r="D97" s="234"/>
      <c r="E97" s="236"/>
      <c r="F97" s="236"/>
      <c r="G97" s="236"/>
      <c r="H97" s="236"/>
      <c r="I97" s="236"/>
      <c r="J97" s="236"/>
      <c r="K97" s="236"/>
      <c r="L97" s="236"/>
      <c r="M97" s="236"/>
      <c r="N97" s="236"/>
      <c r="O97" s="236"/>
      <c r="P97" s="236"/>
      <c r="Q97" s="293"/>
      <c r="R97" s="234"/>
      <c r="V97" s="234"/>
      <c r="W97" s="234"/>
    </row>
    <row r="98" spans="2:23" x14ac:dyDescent="0.2">
      <c r="B98" s="282"/>
      <c r="C98" s="282"/>
      <c r="D98" s="282"/>
      <c r="E98" s="271"/>
      <c r="F98" s="271"/>
      <c r="G98" s="271"/>
      <c r="H98" s="271"/>
      <c r="I98" s="271"/>
      <c r="J98" s="271"/>
      <c r="K98" s="271"/>
      <c r="L98" s="271"/>
      <c r="M98" s="271"/>
      <c r="N98" s="271"/>
      <c r="O98" s="271"/>
      <c r="P98" s="271"/>
      <c r="Q98" s="271"/>
      <c r="R98" s="228"/>
      <c r="V98" s="282"/>
      <c r="W98" s="282"/>
    </row>
    <row r="99" spans="2:23" ht="15.75" thickBot="1" x14ac:dyDescent="0.25">
      <c r="E99" s="221"/>
      <c r="F99" s="221"/>
      <c r="G99" s="221"/>
      <c r="H99" s="221"/>
      <c r="I99" s="221"/>
      <c r="J99" s="221"/>
      <c r="K99" s="221"/>
      <c r="L99" s="221"/>
      <c r="M99" s="221"/>
      <c r="N99" s="221"/>
      <c r="O99" s="221"/>
      <c r="P99" s="221"/>
      <c r="Q99" s="221"/>
    </row>
    <row r="100" spans="2:23" ht="63.75" thickBot="1" x14ac:dyDescent="0.3">
      <c r="B100" s="451" t="s">
        <v>60</v>
      </c>
      <c r="C100" s="452"/>
      <c r="D100" s="453"/>
      <c r="E100" s="127" t="s">
        <v>64</v>
      </c>
      <c r="F100" s="449" t="s">
        <v>140</v>
      </c>
      <c r="G100" s="450"/>
      <c r="H100" s="450"/>
      <c r="I100" s="450"/>
      <c r="J100" s="450"/>
      <c r="K100" s="450"/>
      <c r="L100" s="450"/>
      <c r="M100" s="450"/>
      <c r="N100" s="450"/>
      <c r="O100" s="450"/>
      <c r="P100" s="450"/>
      <c r="Q100" s="454"/>
      <c r="R100" s="119" t="s">
        <v>66</v>
      </c>
    </row>
    <row r="101" spans="2:23" ht="15.75" x14ac:dyDescent="0.25">
      <c r="B101" s="289"/>
      <c r="C101" s="289"/>
      <c r="D101" s="289"/>
      <c r="E101" s="122"/>
      <c r="F101" s="291"/>
      <c r="G101" s="291"/>
      <c r="H101" s="291"/>
      <c r="I101" s="291"/>
      <c r="J101" s="291"/>
      <c r="K101" s="291"/>
      <c r="L101" s="291"/>
      <c r="M101" s="291"/>
      <c r="N101" s="291"/>
      <c r="O101" s="291"/>
      <c r="P101" s="291"/>
      <c r="Q101" s="291"/>
      <c r="R101" s="289"/>
      <c r="V101" s="289"/>
      <c r="W101" s="289"/>
    </row>
    <row r="102" spans="2:23" x14ac:dyDescent="0.2">
      <c r="B102" s="234"/>
      <c r="C102" s="234"/>
      <c r="D102" s="234"/>
      <c r="E102" s="291"/>
      <c r="F102" s="236"/>
      <c r="G102" s="236"/>
      <c r="H102" s="236"/>
      <c r="I102" s="236"/>
      <c r="J102" s="236"/>
      <c r="K102" s="236"/>
      <c r="L102" s="236"/>
      <c r="M102" s="236"/>
      <c r="N102" s="236"/>
      <c r="O102" s="236"/>
      <c r="P102" s="236"/>
      <c r="Q102" s="236"/>
      <c r="R102" s="234"/>
      <c r="V102" s="234"/>
      <c r="W102" s="234"/>
    </row>
    <row r="103" spans="2:23" x14ac:dyDescent="0.2">
      <c r="B103" s="228"/>
      <c r="C103" s="228"/>
      <c r="D103" s="228"/>
      <c r="E103" s="229"/>
      <c r="F103" s="229"/>
      <c r="G103" s="229"/>
      <c r="H103" s="229"/>
      <c r="I103" s="229"/>
      <c r="J103" s="229"/>
      <c r="K103" s="229"/>
      <c r="L103" s="229"/>
      <c r="M103" s="229"/>
      <c r="N103" s="229"/>
      <c r="O103" s="229"/>
      <c r="P103" s="229"/>
      <c r="Q103" s="229"/>
      <c r="R103" s="228"/>
      <c r="V103" s="228"/>
      <c r="W103" s="228"/>
    </row>
    <row r="104" spans="2:23" x14ac:dyDescent="0.2">
      <c r="B104" s="234"/>
      <c r="C104" s="234"/>
      <c r="D104" s="234"/>
      <c r="E104" s="236"/>
      <c r="F104" s="236"/>
      <c r="G104" s="236"/>
      <c r="H104" s="236"/>
      <c r="I104" s="236"/>
      <c r="J104" s="236"/>
      <c r="K104" s="236"/>
      <c r="L104" s="236"/>
      <c r="M104" s="236"/>
      <c r="N104" s="236"/>
      <c r="O104" s="236"/>
      <c r="P104" s="236"/>
      <c r="Q104" s="236"/>
      <c r="R104" s="234"/>
      <c r="V104" s="234"/>
      <c r="W104" s="234"/>
    </row>
    <row r="105" spans="2:23" x14ac:dyDescent="0.2">
      <c r="B105" s="234"/>
      <c r="C105" s="234"/>
      <c r="D105" s="234"/>
      <c r="E105" s="236"/>
      <c r="F105" s="236"/>
      <c r="G105" s="236"/>
      <c r="H105" s="236"/>
      <c r="I105" s="236"/>
      <c r="J105" s="236"/>
      <c r="K105" s="236"/>
      <c r="L105" s="236"/>
      <c r="M105" s="236"/>
      <c r="N105" s="236"/>
      <c r="O105" s="236"/>
      <c r="P105" s="236"/>
      <c r="Q105" s="236"/>
      <c r="R105" s="234"/>
      <c r="V105" s="234"/>
      <c r="W105" s="234"/>
    </row>
  </sheetData>
  <mergeCells count="3">
    <mergeCell ref="F92:Q92"/>
    <mergeCell ref="B100:D100"/>
    <mergeCell ref="F100:Q100"/>
  </mergeCells>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2009</vt:lpstr>
      <vt:lpstr>2010</vt:lpstr>
      <vt:lpstr>2011</vt:lpstr>
      <vt:lpstr>hp</vt:lpstr>
      <vt:lpstr>2013</vt:lpstr>
      <vt:lpstr>2014</vt:lpstr>
      <vt:lpstr>2015</vt:lpstr>
      <vt:lpstr>2015 Tasting Room and Bulk Wine</vt:lpstr>
      <vt:lpstr>2016</vt:lpstr>
      <vt:lpstr>2017</vt:lpstr>
      <vt:lpstr>2018</vt:lpstr>
      <vt:lpstr>2019</vt:lpstr>
      <vt:lpstr>2020</vt:lpstr>
      <vt:lpstr>2021</vt:lpstr>
      <vt:lpstr>2022</vt:lpstr>
      <vt:lpstr>'2010'!Print_Area</vt:lpstr>
      <vt:lpstr>'2019'!Print_Area</vt:lpstr>
      <vt:lpstr>'2021'!Print_Area</vt:lpstr>
      <vt:lpstr>'2022'!Print_Area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Ashton Lough</dc:creator>
  <cp:lastModifiedBy>Jason Stephens</cp:lastModifiedBy>
  <cp:revision/>
  <cp:lastPrinted>2022-08-09T19:36:55Z</cp:lastPrinted>
  <dcterms:created xsi:type="dcterms:W3CDTF">2007-08-31T21:08:41Z</dcterms:created>
  <dcterms:modified xsi:type="dcterms:W3CDTF">2022-08-09T19:37:05Z</dcterms:modified>
</cp:coreProperties>
</file>